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75" windowWidth="15360" windowHeight="7770" tabRatio="909" activeTab="3"/>
  </bookViews>
  <sheets>
    <sheet name="Instructions" sheetId="1" r:id="rId1"/>
    <sheet name="inputPrYr" sheetId="2" r:id="rId2"/>
    <sheet name="inputOth" sheetId="43" r:id="rId3"/>
    <sheet name="cert" sheetId="3" r:id="rId4"/>
    <sheet name="computation" sheetId="24" r:id="rId5"/>
    <sheet name="mvalloc" sheetId="5" r:id="rId6"/>
    <sheet name="transfers" sheetId="32" r:id="rId7"/>
    <sheet name="debt" sheetId="22" r:id="rId8"/>
    <sheet name="lpform" sheetId="23" r:id="rId9"/>
    <sheet name="010" sheetId="7" r:id="rId10"/>
    <sheet name="010-detail1" sheetId="9" r:id="rId11"/>
    <sheet name="010-detail2" sheetId="45" r:id="rId12"/>
    <sheet name="010-detail3" sheetId="46" r:id="rId13"/>
    <sheet name="010-detail4" sheetId="47" r:id="rId14"/>
    <sheet name="090" sheetId="34" r:id="rId15"/>
    <sheet name="020-040" sheetId="8" r:id="rId16"/>
    <sheet name="110" sheetId="14" r:id="rId17"/>
    <sheet name="140-190" sheetId="15" r:id="rId18"/>
    <sheet name="250-280" sheetId="16" r:id="rId19"/>
    <sheet name="360-370" sheetId="17" r:id="rId20"/>
    <sheet name="450-530" sheetId="18" r:id="rId21"/>
    <sheet name="550-560" sheetId="19" r:id="rId22"/>
    <sheet name="650-670" sheetId="55" r:id="rId23"/>
    <sheet name="700-720" sheetId="54" r:id="rId24"/>
    <sheet name="760-820" sheetId="53" r:id="rId25"/>
    <sheet name="920" sheetId="52" r:id="rId26"/>
    <sheet name="800" sheetId="35" r:id="rId27"/>
    <sheet name="900" sheetId="36" r:id="rId28"/>
    <sheet name="NonBudA" sheetId="39" r:id="rId29"/>
    <sheet name="NonBudB" sheetId="40" r:id="rId30"/>
    <sheet name="NonBudC" sheetId="41" r:id="rId31"/>
    <sheet name="NonBudD" sheetId="42" r:id="rId32"/>
    <sheet name="NonBudE" sheetId="56" r:id="rId33"/>
    <sheet name="summ" sheetId="21" r:id="rId34"/>
    <sheet name="nhood" sheetId="44" r:id="rId35"/>
    <sheet name="ordinance" sheetId="33" r:id="rId36"/>
    <sheet name="legend" sheetId="25" r:id="rId37"/>
  </sheets>
  <definedNames>
    <definedName name="_xlnm.Print_Area" localSheetId="9">'010'!$A$1:$E$118</definedName>
    <definedName name="_xlnm.Print_Area" localSheetId="10">'010-detail1'!$A$1:$D$67</definedName>
    <definedName name="_xlnm.Print_Area" localSheetId="11">'010-detail2'!$A$1:$D$67</definedName>
    <definedName name="_xlnm.Print_Area" localSheetId="12">'010-detail3'!$A$1:$D$67</definedName>
    <definedName name="_xlnm.Print_Area" localSheetId="13">'010-detail4'!$A$1:$D$67</definedName>
    <definedName name="_xlnm.Print_Area" localSheetId="15">'020-040'!$A$1:$E$74</definedName>
    <definedName name="_xlnm.Print_Area" localSheetId="14">'090'!$A$1:$E$74</definedName>
    <definedName name="_xlnm.Print_Area" localSheetId="16">'110'!$A$1:$E$76</definedName>
    <definedName name="_xlnm.Print_Area" localSheetId="17">'140-190'!$A$1:$E$74</definedName>
    <definedName name="_xlnm.Print_Area" localSheetId="18">'250-280'!$A$1:$E$74</definedName>
    <definedName name="_xlnm.Print_Area" localSheetId="19">'360-370'!$A$1:$E$74</definedName>
    <definedName name="_xlnm.Print_Area" localSheetId="20">'450-530'!$A$1:$E$74</definedName>
    <definedName name="_xlnm.Print_Area" localSheetId="21">'550-560'!$A$1:$E$74</definedName>
    <definedName name="_xlnm.Print_Area" localSheetId="22">'650-670'!$A$1:$E$74</definedName>
    <definedName name="_xlnm.Print_Area" localSheetId="23">'700-720'!$A$1:$E$74</definedName>
    <definedName name="_xlnm.Print_Area" localSheetId="24">'760-820'!$A$1:$E$74</definedName>
    <definedName name="_xlnm.Print_Area" localSheetId="26">'800'!$A$1:$E$74</definedName>
    <definedName name="_xlnm.Print_Area" localSheetId="27">'900'!$A$1:$E$74</definedName>
    <definedName name="_xlnm.Print_Area" localSheetId="25">'920'!$A$1:$E$74</definedName>
    <definedName name="_xlnm.Print_Area" localSheetId="1">inputPrYr!$A$1:$E$112</definedName>
    <definedName name="_xlnm.Print_Area" localSheetId="8">lpform!$A$1:$H$38</definedName>
    <definedName name="_xlnm.Print_Area" localSheetId="34">nhood!$A$1:$F$74</definedName>
    <definedName name="_xlnm.Print_Area" localSheetId="28">NonBudA!$A$1:$L$33</definedName>
    <definedName name="_xlnm.Print_Area" localSheetId="29">NonBudB!$A$1:$L$33</definedName>
    <definedName name="_xlnm.Print_Area" localSheetId="30">NonBudC!$A$1:$L$35</definedName>
    <definedName name="_xlnm.Print_Area" localSheetId="33">summ!$A$1:$H$67</definedName>
  </definedNames>
  <calcPr calcId="125725"/>
</workbook>
</file>

<file path=xl/calcChain.xml><?xml version="1.0" encoding="utf-8"?>
<calcChain xmlns="http://schemas.openxmlformats.org/spreadsheetml/2006/main">
  <c r="H2" i="21"/>
  <c r="E49" i="32"/>
  <c r="D49"/>
  <c r="B30" i="41"/>
  <c r="B25"/>
  <c r="B23"/>
  <c r="B18"/>
  <c r="B12"/>
  <c r="B20" s="1"/>
  <c r="E47" i="32"/>
  <c r="D47"/>
  <c r="E26"/>
  <c r="D26"/>
  <c r="C22"/>
  <c r="C21"/>
  <c r="E18"/>
  <c r="D18"/>
  <c r="C18"/>
  <c r="C16"/>
  <c r="C14"/>
  <c r="J22" i="42"/>
  <c r="F21"/>
  <c r="F20"/>
  <c r="F10"/>
  <c r="F9"/>
  <c r="B21"/>
  <c r="J21" i="40"/>
  <c r="J20"/>
  <c r="H20"/>
  <c r="B24"/>
  <c r="B23"/>
  <c r="B22"/>
  <c r="B21"/>
  <c r="B20"/>
  <c r="B12"/>
  <c r="B10"/>
  <c r="B20" i="39"/>
  <c r="B21"/>
  <c r="E35" i="36"/>
  <c r="D35"/>
  <c r="E34"/>
  <c r="D34"/>
  <c r="E36"/>
  <c r="C34"/>
  <c r="C35"/>
  <c r="E27"/>
  <c r="D27"/>
  <c r="C27"/>
  <c r="H23"/>
  <c r="G23"/>
  <c r="F23"/>
  <c r="E20"/>
  <c r="D20"/>
  <c r="C20"/>
  <c r="E17"/>
  <c r="D17"/>
  <c r="C17"/>
  <c r="C16"/>
  <c r="E13"/>
  <c r="D13"/>
  <c r="C13"/>
  <c r="E12"/>
  <c r="D12"/>
  <c r="C12"/>
  <c r="E11"/>
  <c r="D11"/>
  <c r="C11"/>
  <c r="E8" i="52"/>
  <c r="D8"/>
  <c r="E24"/>
  <c r="E21"/>
  <c r="E20"/>
  <c r="D21"/>
  <c r="D20"/>
  <c r="C21"/>
  <c r="C20"/>
  <c r="C8"/>
  <c r="H69" i="35"/>
  <c r="G69"/>
  <c r="F69"/>
  <c r="H68"/>
  <c r="G68"/>
  <c r="F68"/>
  <c r="H27"/>
  <c r="G27"/>
  <c r="F27"/>
  <c r="D35"/>
  <c r="C35"/>
  <c r="E37"/>
  <c r="D37"/>
  <c r="C37"/>
  <c r="C34"/>
  <c r="C31"/>
  <c r="E34"/>
  <c r="E36"/>
  <c r="D36"/>
  <c r="C36"/>
  <c r="E35"/>
  <c r="D34"/>
  <c r="E31"/>
  <c r="D31"/>
  <c r="E13"/>
  <c r="E10"/>
  <c r="E8"/>
  <c r="D13"/>
  <c r="D10"/>
  <c r="D8"/>
  <c r="C13"/>
  <c r="C10"/>
  <c r="C8"/>
  <c r="E57" i="53"/>
  <c r="D57"/>
  <c r="E21"/>
  <c r="D21"/>
  <c r="C21"/>
  <c r="E57" i="54"/>
  <c r="D57"/>
  <c r="C57"/>
  <c r="E8" i="55"/>
  <c r="D8"/>
  <c r="E22" i="18"/>
  <c r="D22"/>
  <c r="C22"/>
  <c r="E13"/>
  <c r="E12"/>
  <c r="E8"/>
  <c r="D13"/>
  <c r="D12"/>
  <c r="D8"/>
  <c r="C13"/>
  <c r="C8"/>
  <c r="D49" i="17"/>
  <c r="E55"/>
  <c r="D55"/>
  <c r="C55"/>
  <c r="E41"/>
  <c r="E49"/>
  <c r="E44"/>
  <c r="E42"/>
  <c r="D44"/>
  <c r="D42"/>
  <c r="D41"/>
  <c r="C49"/>
  <c r="C44"/>
  <c r="C42"/>
  <c r="C41"/>
  <c r="E19"/>
  <c r="D19"/>
  <c r="C19"/>
  <c r="E8"/>
  <c r="D8"/>
  <c r="C8"/>
  <c r="E20" i="16"/>
  <c r="D20"/>
  <c r="C20"/>
  <c r="E56" i="15"/>
  <c r="C56"/>
  <c r="E45"/>
  <c r="E44"/>
  <c r="D47"/>
  <c r="D45"/>
  <c r="D44"/>
  <c r="E21"/>
  <c r="D21"/>
  <c r="C21"/>
  <c r="E58" i="14"/>
  <c r="D58"/>
  <c r="C59"/>
  <c r="C58"/>
  <c r="D27" i="8"/>
  <c r="C38" i="34"/>
  <c r="C18"/>
  <c r="C7" i="7"/>
  <c r="F55"/>
  <c r="C18"/>
  <c r="C9"/>
  <c r="B18" i="47"/>
  <c r="B17"/>
  <c r="C61" i="46"/>
  <c r="D61"/>
  <c r="B61"/>
  <c r="B59"/>
  <c r="D52"/>
  <c r="C51"/>
  <c r="B51"/>
  <c r="D44"/>
  <c r="C44"/>
  <c r="D32"/>
  <c r="C32"/>
  <c r="B32"/>
  <c r="D59" i="45" l="1"/>
  <c r="C59"/>
  <c r="B59"/>
  <c r="D52"/>
  <c r="C52"/>
  <c r="B52"/>
  <c r="D45"/>
  <c r="C45"/>
  <c r="B45"/>
  <c r="D38"/>
  <c r="C38"/>
  <c r="B38"/>
  <c r="D32"/>
  <c r="C32"/>
  <c r="B32"/>
  <c r="D25"/>
  <c r="C25"/>
  <c r="B25"/>
  <c r="D18"/>
  <c r="C18"/>
  <c r="B18"/>
  <c r="D52" i="9"/>
  <c r="C52"/>
  <c r="B52"/>
  <c r="E44" i="7"/>
  <c r="C55"/>
  <c r="C34"/>
  <c r="L31" i="22" l="1"/>
  <c r="K31"/>
  <c r="J31"/>
  <c r="I31"/>
  <c r="F31"/>
  <c r="L29"/>
  <c r="K29"/>
  <c r="J29"/>
  <c r="I29"/>
  <c r="L28"/>
  <c r="K28"/>
  <c r="J28"/>
  <c r="I28"/>
  <c r="L30"/>
  <c r="K30"/>
  <c r="I30"/>
  <c r="J30"/>
  <c r="K21"/>
  <c r="I21"/>
  <c r="K12"/>
  <c r="I12"/>
  <c r="K10"/>
  <c r="I10"/>
  <c r="F10"/>
  <c r="K11"/>
  <c r="I11"/>
  <c r="F11"/>
  <c r="D88" i="2" l="1"/>
  <c r="D15"/>
  <c r="A13"/>
  <c r="E48" i="32" l="1"/>
  <c r="C48"/>
  <c r="E10" i="8" l="1"/>
  <c r="F28" i="42" l="1"/>
  <c r="E54" i="14"/>
  <c r="D9" i="8"/>
  <c r="B49" i="9"/>
  <c r="F9" i="8" l="1"/>
  <c r="D48" i="32" l="1"/>
  <c r="H11" i="23"/>
  <c r="G11"/>
  <c r="E108" i="2"/>
  <c r="D108"/>
  <c r="D89"/>
  <c r="A29"/>
  <c r="D18" i="56" l="1"/>
  <c r="D19" s="1"/>
  <c r="D54" i="14"/>
  <c r="D53" s="1"/>
  <c r="C54"/>
  <c r="C53" s="1"/>
  <c r="D50" i="32"/>
  <c r="D49" i="21" s="1"/>
  <c r="C51" i="17"/>
  <c r="C50" s="1"/>
  <c r="D31" i="8"/>
  <c r="D20"/>
  <c r="D19" s="1"/>
  <c r="B9" i="5"/>
  <c r="B7"/>
  <c r="B8"/>
  <c r="B10"/>
  <c r="B11"/>
  <c r="B12"/>
  <c r="B13"/>
  <c r="B14"/>
  <c r="B15"/>
  <c r="B16"/>
  <c r="B17"/>
  <c r="B18"/>
  <c r="C21"/>
  <c r="D22"/>
  <c r="E23"/>
  <c r="F24"/>
  <c r="E8" i="44"/>
  <c r="E28" i="8" s="1"/>
  <c r="E31" s="1"/>
  <c r="D36"/>
  <c r="E36" s="1"/>
  <c r="D9" i="7"/>
  <c r="C29" i="47"/>
  <c r="D93" i="7" s="1"/>
  <c r="B112"/>
  <c r="B29" i="47"/>
  <c r="C93" i="7" s="1"/>
  <c r="B63" i="46"/>
  <c r="C90" i="7" s="1"/>
  <c r="B22" i="9"/>
  <c r="C68" i="7" s="1"/>
  <c r="C8" i="5"/>
  <c r="E11" i="34" s="1"/>
  <c r="C10" i="5"/>
  <c r="C11"/>
  <c r="C12"/>
  <c r="C13"/>
  <c r="C14"/>
  <c r="C15"/>
  <c r="C16"/>
  <c r="C17"/>
  <c r="C18"/>
  <c r="D8"/>
  <c r="E12" i="34" s="1"/>
  <c r="D10" i="5"/>
  <c r="D11"/>
  <c r="D12"/>
  <c r="D13"/>
  <c r="D14"/>
  <c r="D15"/>
  <c r="D16"/>
  <c r="D17"/>
  <c r="D18"/>
  <c r="E8"/>
  <c r="E13" i="34" s="1"/>
  <c r="E10" i="5"/>
  <c r="E11"/>
  <c r="E12"/>
  <c r="E13"/>
  <c r="E14"/>
  <c r="E15"/>
  <c r="E16"/>
  <c r="E17"/>
  <c r="E18"/>
  <c r="E14" i="7"/>
  <c r="E15"/>
  <c r="E16"/>
  <c r="F8" i="5"/>
  <c r="F10"/>
  <c r="F11"/>
  <c r="F12"/>
  <c r="F13"/>
  <c r="F14"/>
  <c r="F15"/>
  <c r="F16"/>
  <c r="F17"/>
  <c r="F18"/>
  <c r="E23" i="36"/>
  <c r="D15" i="9"/>
  <c r="E67" i="7" s="1"/>
  <c r="D22" i="9"/>
  <c r="E68" i="7" s="1"/>
  <c r="D29" i="9"/>
  <c r="E69" i="7" s="1"/>
  <c r="D35" i="9"/>
  <c r="E70" i="7" s="1"/>
  <c r="D42" i="9"/>
  <c r="E71" i="7" s="1"/>
  <c r="D49" i="9"/>
  <c r="E72" i="7" s="1"/>
  <c r="D56" i="9"/>
  <c r="E73" i="7" s="1"/>
  <c r="D63" i="9"/>
  <c r="E74" i="7" s="1"/>
  <c r="D15" i="45"/>
  <c r="E75" i="7" s="1"/>
  <c r="D22" i="45"/>
  <c r="E76" i="7" s="1"/>
  <c r="D29" i="45"/>
  <c r="E77" i="7" s="1"/>
  <c r="D35" i="45"/>
  <c r="E78" i="7" s="1"/>
  <c r="D42" i="45"/>
  <c r="E79" i="7" s="1"/>
  <c r="D49" i="45"/>
  <c r="E80" i="7" s="1"/>
  <c r="D56" i="45"/>
  <c r="E81" i="7" s="1"/>
  <c r="D63" i="45"/>
  <c r="E82" i="7" s="1"/>
  <c r="D15" i="46"/>
  <c r="E83" i="7" s="1"/>
  <c r="D22" i="46"/>
  <c r="E84" i="7" s="1"/>
  <c r="D29" i="46"/>
  <c r="E85" i="7" s="1"/>
  <c r="D35" i="46"/>
  <c r="E86" i="7" s="1"/>
  <c r="D49" i="46"/>
  <c r="E88" i="7" s="1"/>
  <c r="D56" i="46"/>
  <c r="E89" i="7" s="1"/>
  <c r="D63" i="46"/>
  <c r="E90" i="7" s="1"/>
  <c r="D15" i="47"/>
  <c r="E91" i="7" s="1"/>
  <c r="D22" i="47"/>
  <c r="E92" i="7" s="1"/>
  <c r="D29" i="47"/>
  <c r="E93" i="7" s="1"/>
  <c r="D35" i="47"/>
  <c r="E94" i="7" s="1"/>
  <c r="E6" i="44"/>
  <c r="E107" i="7" s="1"/>
  <c r="E7" i="44"/>
  <c r="E63" i="34" s="1"/>
  <c r="E66" s="1"/>
  <c r="E9" i="44"/>
  <c r="E63" i="8" s="1"/>
  <c r="E66" s="1"/>
  <c r="E65" s="1"/>
  <c r="E33" i="14"/>
  <c r="D23" i="3" s="1"/>
  <c r="E70" i="14"/>
  <c r="D24" i="3" s="1"/>
  <c r="E33" i="15"/>
  <c r="D25" i="3" s="1"/>
  <c r="E68" i="15"/>
  <c r="D26" i="3" s="1"/>
  <c r="E32" i="16"/>
  <c r="D27" i="3" s="1"/>
  <c r="E68" i="16"/>
  <c r="D28" i="3" s="1"/>
  <c r="E30" i="17"/>
  <c r="D29" i="3" s="1"/>
  <c r="E69" i="17"/>
  <c r="D30" i="3" s="1"/>
  <c r="E32" i="18"/>
  <c r="D31" i="3" s="1"/>
  <c r="E68" i="18"/>
  <c r="D32" i="3" s="1"/>
  <c r="E32" i="19"/>
  <c r="D33" i="3" s="1"/>
  <c r="E29" i="55"/>
  <c r="D35" i="3" s="1"/>
  <c r="E68" i="55"/>
  <c r="D36" i="3" s="1"/>
  <c r="E32" i="54"/>
  <c r="D37" i="3" s="1"/>
  <c r="E68" i="54"/>
  <c r="D38" i="3" s="1"/>
  <c r="E33" i="53"/>
  <c r="D39" i="3" s="1"/>
  <c r="E68" i="53"/>
  <c r="D40" i="3" s="1"/>
  <c r="E33" i="52"/>
  <c r="D41" i="3" s="1"/>
  <c r="E68" i="35"/>
  <c r="F41" i="21" s="1"/>
  <c r="E68" i="36"/>
  <c r="H68" s="1"/>
  <c r="B15" i="9"/>
  <c r="C67" i="7" s="1"/>
  <c r="B29" i="9"/>
  <c r="C69" i="7" s="1"/>
  <c r="B35" i="9"/>
  <c r="C70" i="7" s="1"/>
  <c r="B42" i="9"/>
  <c r="C71" i="7" s="1"/>
  <c r="C72"/>
  <c r="B56" i="9"/>
  <c r="C73" i="7" s="1"/>
  <c r="B63" i="9"/>
  <c r="C74" i="7" s="1"/>
  <c r="B15" i="45"/>
  <c r="C75" i="7" s="1"/>
  <c r="B22" i="45"/>
  <c r="C76" i="7" s="1"/>
  <c r="B29" i="45"/>
  <c r="C77" i="7" s="1"/>
  <c r="B35" i="45"/>
  <c r="C78" i="7" s="1"/>
  <c r="B42" i="45"/>
  <c r="C79" i="7" s="1"/>
  <c r="B49" i="45"/>
  <c r="C80" i="7" s="1"/>
  <c r="B56" i="45"/>
  <c r="C81" i="7" s="1"/>
  <c r="B63" i="45"/>
  <c r="C82" i="7" s="1"/>
  <c r="B15" i="46"/>
  <c r="C83" i="7" s="1"/>
  <c r="B22" i="46"/>
  <c r="C84" i="7" s="1"/>
  <c r="B29" i="46"/>
  <c r="C85" i="7" s="1"/>
  <c r="B35" i="46"/>
  <c r="C86" i="7" s="1"/>
  <c r="B49" i="46"/>
  <c r="C88" i="7" s="1"/>
  <c r="B56" i="46"/>
  <c r="C89" i="7" s="1"/>
  <c r="B15" i="47"/>
  <c r="C91" i="7" s="1"/>
  <c r="B22" i="47"/>
  <c r="C92" i="7" s="1"/>
  <c r="C15" i="9"/>
  <c r="D67" i="7" s="1"/>
  <c r="C22" i="9"/>
  <c r="D68" i="7" s="1"/>
  <c r="C29" i="9"/>
  <c r="D69" i="7" s="1"/>
  <c r="C35" i="9"/>
  <c r="D70" i="7" s="1"/>
  <c r="C42" i="9"/>
  <c r="D71" i="7" s="1"/>
  <c r="C49" i="9"/>
  <c r="D72" i="7" s="1"/>
  <c r="C56" i="9"/>
  <c r="D73" i="7" s="1"/>
  <c r="C63" i="9"/>
  <c r="D74" i="7" s="1"/>
  <c r="C15" i="45"/>
  <c r="D75" i="7" s="1"/>
  <c r="C22" i="45"/>
  <c r="D76" i="7" s="1"/>
  <c r="C29" i="45"/>
  <c r="D77" i="7" s="1"/>
  <c r="C35" i="45"/>
  <c r="D78" i="7" s="1"/>
  <c r="C42" i="45"/>
  <c r="D79" i="7" s="1"/>
  <c r="C49" i="45"/>
  <c r="D80" i="7" s="1"/>
  <c r="C56" i="45"/>
  <c r="D81" i="7" s="1"/>
  <c r="C63" i="45"/>
  <c r="D82" i="7" s="1"/>
  <c r="C15" i="46"/>
  <c r="D83" i="7" s="1"/>
  <c r="C22" i="46"/>
  <c r="D84" i="7" s="1"/>
  <c r="C29" i="46"/>
  <c r="D85" i="7" s="1"/>
  <c r="C35" i="46"/>
  <c r="D86" i="7" s="1"/>
  <c r="C42" i="46"/>
  <c r="D87" i="7" s="1"/>
  <c r="C49" i="46"/>
  <c r="D88" i="7" s="1"/>
  <c r="C56" i="46"/>
  <c r="D89" i="7" s="1"/>
  <c r="C63" i="46"/>
  <c r="D90" i="7" s="1"/>
  <c r="D115"/>
  <c r="E115" s="1"/>
  <c r="D9" i="34"/>
  <c r="D35" s="1"/>
  <c r="D34" s="1"/>
  <c r="C35"/>
  <c r="C36" s="1"/>
  <c r="C66"/>
  <c r="C65" s="1"/>
  <c r="D66"/>
  <c r="D19" i="21" s="1"/>
  <c r="E14" i="34"/>
  <c r="D71"/>
  <c r="E71" s="1"/>
  <c r="C20" i="8"/>
  <c r="C21" s="1"/>
  <c r="C31"/>
  <c r="B20" i="21" s="1"/>
  <c r="D44" i="8"/>
  <c r="D55" s="1"/>
  <c r="D54" s="1"/>
  <c r="C66"/>
  <c r="D66"/>
  <c r="D21" i="21" s="1"/>
  <c r="E46" i="8"/>
  <c r="E47"/>
  <c r="E48"/>
  <c r="E49"/>
  <c r="D71"/>
  <c r="E71" s="1"/>
  <c r="F22" i="21"/>
  <c r="F28"/>
  <c r="F29"/>
  <c r="F32"/>
  <c r="F35"/>
  <c r="F37"/>
  <c r="D20"/>
  <c r="D33" i="14"/>
  <c r="D22" i="21" s="1"/>
  <c r="D70" i="14"/>
  <c r="D23" i="21" s="1"/>
  <c r="D33" i="15"/>
  <c r="D24" i="21" s="1"/>
  <c r="D68" i="15"/>
  <c r="D25" i="21" s="1"/>
  <c r="D32" i="16"/>
  <c r="D26" i="21" s="1"/>
  <c r="D68" i="16"/>
  <c r="D27" i="21"/>
  <c r="D30" i="17"/>
  <c r="D28" i="21" s="1"/>
  <c r="D69" i="17"/>
  <c r="D29" i="21" s="1"/>
  <c r="D32" i="18"/>
  <c r="D30" i="21" s="1"/>
  <c r="D68" i="18"/>
  <c r="D31" i="21" s="1"/>
  <c r="D32" i="19"/>
  <c r="D32" i="21" s="1"/>
  <c r="D68" i="19"/>
  <c r="D33" i="21" s="1"/>
  <c r="D29" i="55"/>
  <c r="D34" i="21" s="1"/>
  <c r="D68" i="55"/>
  <c r="D35" i="21" s="1"/>
  <c r="D32" i="54"/>
  <c r="D36" i="21" s="1"/>
  <c r="D68" i="54"/>
  <c r="D37" i="21" s="1"/>
  <c r="D33" i="53"/>
  <c r="D38" i="21" s="1"/>
  <c r="D68" i="53"/>
  <c r="D39" i="21" s="1"/>
  <c r="D33" i="52"/>
  <c r="D40" i="21" s="1"/>
  <c r="D68" i="35"/>
  <c r="D68" i="36"/>
  <c r="G68" s="1"/>
  <c r="B53" i="21"/>
  <c r="B51"/>
  <c r="C50" i="32"/>
  <c r="B49" i="21" s="1"/>
  <c r="B21"/>
  <c r="C33" i="14"/>
  <c r="B22" i="21" s="1"/>
  <c r="C70" i="14"/>
  <c r="B23" i="21" s="1"/>
  <c r="C33" i="15"/>
  <c r="B24" i="21" s="1"/>
  <c r="C68" i="15"/>
  <c r="B25" i="21" s="1"/>
  <c r="C32" i="16"/>
  <c r="B26" i="21" s="1"/>
  <c r="C68" i="16"/>
  <c r="B27" i="21" s="1"/>
  <c r="C30" i="17"/>
  <c r="B28" i="21" s="1"/>
  <c r="C69" i="17"/>
  <c r="B29" i="21" s="1"/>
  <c r="C32" i="18"/>
  <c r="B30" i="21" s="1"/>
  <c r="C68" i="18"/>
  <c r="B31" i="21" s="1"/>
  <c r="C32" i="19"/>
  <c r="B32" i="21" s="1"/>
  <c r="C68" i="19"/>
  <c r="B33" i="21" s="1"/>
  <c r="C29" i="55"/>
  <c r="B34" i="21"/>
  <c r="C68" i="55"/>
  <c r="B35" i="21" s="1"/>
  <c r="C32" i="54"/>
  <c r="B36" i="21" s="1"/>
  <c r="C68" i="54"/>
  <c r="B37" i="21" s="1"/>
  <c r="C33" i="53"/>
  <c r="B38" i="21" s="1"/>
  <c r="C68" i="53"/>
  <c r="B39" i="21" s="1"/>
  <c r="C33" i="52"/>
  <c r="B40" i="21" s="1"/>
  <c r="C68" i="35"/>
  <c r="C67" s="1"/>
  <c r="C68" i="36"/>
  <c r="F68" s="1"/>
  <c r="B28" i="39"/>
  <c r="F28"/>
  <c r="H28"/>
  <c r="J28"/>
  <c r="B28" i="40"/>
  <c r="D28"/>
  <c r="H28"/>
  <c r="J28"/>
  <c r="D30" i="41"/>
  <c r="H30"/>
  <c r="F30"/>
  <c r="J30"/>
  <c r="B28" i="42"/>
  <c r="D28"/>
  <c r="J28"/>
  <c r="H28"/>
  <c r="B28" i="56"/>
  <c r="D28"/>
  <c r="C48" i="3"/>
  <c r="A47" i="21"/>
  <c r="A48" i="3"/>
  <c r="I5" i="56"/>
  <c r="G5"/>
  <c r="E5"/>
  <c r="C5"/>
  <c r="A5"/>
  <c r="K7"/>
  <c r="B18"/>
  <c r="B19" s="1"/>
  <c r="F18"/>
  <c r="F19" s="1"/>
  <c r="F29" s="1"/>
  <c r="F30" s="1"/>
  <c r="H18"/>
  <c r="J18"/>
  <c r="K18"/>
  <c r="F28"/>
  <c r="H28"/>
  <c r="J28"/>
  <c r="J19"/>
  <c r="J29" s="1"/>
  <c r="J30" s="1"/>
  <c r="H19"/>
  <c r="H29" s="1"/>
  <c r="H30" s="1"/>
  <c r="D29"/>
  <c r="D30" s="1"/>
  <c r="K1"/>
  <c r="F2" s="1"/>
  <c r="A1"/>
  <c r="H20" i="41"/>
  <c r="B21"/>
  <c r="F19" i="22"/>
  <c r="F57" i="21" s="1"/>
  <c r="F26" i="22"/>
  <c r="F37"/>
  <c r="F59" i="21" s="1"/>
  <c r="C19"/>
  <c r="C23" i="36"/>
  <c r="C27" i="35"/>
  <c r="B70" i="36"/>
  <c r="B70" i="35"/>
  <c r="B35" i="52"/>
  <c r="B70" i="53"/>
  <c r="B35"/>
  <c r="B70" i="54"/>
  <c r="B34"/>
  <c r="B70" i="55"/>
  <c r="B31"/>
  <c r="B70" i="19"/>
  <c r="B34"/>
  <c r="B70" i="18"/>
  <c r="B34"/>
  <c r="B71" i="17"/>
  <c r="B32"/>
  <c r="B70" i="16"/>
  <c r="B34"/>
  <c r="B70" i="15"/>
  <c r="B35"/>
  <c r="B72" i="14"/>
  <c r="B35"/>
  <c r="B68" i="34"/>
  <c r="C43" i="3"/>
  <c r="C42"/>
  <c r="C41"/>
  <c r="C40"/>
  <c r="C44"/>
  <c r="C39"/>
  <c r="C38"/>
  <c r="C37"/>
  <c r="C36"/>
  <c r="C35"/>
  <c r="C29"/>
  <c r="C24"/>
  <c r="C23"/>
  <c r="C55" i="8"/>
  <c r="C56" s="1"/>
  <c r="C67" s="1"/>
  <c r="D42" s="1"/>
  <c r="E50" i="32"/>
  <c r="F49" i="21" s="1"/>
  <c r="D42" i="46"/>
  <c r="E87" i="7" s="1"/>
  <c r="B42" i="46"/>
  <c r="C87" i="7" s="1"/>
  <c r="C22" i="47"/>
  <c r="D92" i="7" s="1"/>
  <c r="F53" i="21"/>
  <c r="A42"/>
  <c r="A41"/>
  <c r="A40"/>
  <c r="A39"/>
  <c r="A38"/>
  <c r="A37"/>
  <c r="A36"/>
  <c r="A35"/>
  <c r="A34"/>
  <c r="A33"/>
  <c r="A32"/>
  <c r="A94" i="7"/>
  <c r="A93"/>
  <c r="A92"/>
  <c r="C15" i="47"/>
  <c r="D91" i="7" s="1"/>
  <c r="A91"/>
  <c r="A90"/>
  <c r="A89"/>
  <c r="A88"/>
  <c r="A87"/>
  <c r="A86"/>
  <c r="A85"/>
  <c r="A84"/>
  <c r="A83"/>
  <c r="A82"/>
  <c r="A81"/>
  <c r="A80"/>
  <c r="A79"/>
  <c r="A78"/>
  <c r="A77"/>
  <c r="A76"/>
  <c r="A75"/>
  <c r="A74"/>
  <c r="A73"/>
  <c r="A72"/>
  <c r="A71"/>
  <c r="A70"/>
  <c r="A69"/>
  <c r="A68"/>
  <c r="A67"/>
  <c r="A83" i="43"/>
  <c r="A82"/>
  <c r="A43" i="3"/>
  <c r="A42"/>
  <c r="A41"/>
  <c r="A40"/>
  <c r="A39"/>
  <c r="A38"/>
  <c r="A37"/>
  <c r="A36"/>
  <c r="A35"/>
  <c r="A34"/>
  <c r="A81" i="43"/>
  <c r="A80"/>
  <c r="A79"/>
  <c r="A78"/>
  <c r="A77"/>
  <c r="A76"/>
  <c r="A75"/>
  <c r="A74"/>
  <c r="A73"/>
  <c r="A72"/>
  <c r="A71"/>
  <c r="A70"/>
  <c r="A69"/>
  <c r="A68"/>
  <c r="A67"/>
  <c r="A66"/>
  <c r="A65"/>
  <c r="A64"/>
  <c r="A63"/>
  <c r="A5" i="52"/>
  <c r="A41" i="53"/>
  <c r="A5"/>
  <c r="A40" i="54"/>
  <c r="A5"/>
  <c r="A37" i="55"/>
  <c r="A5"/>
  <c r="C53" i="52"/>
  <c r="C54" s="1"/>
  <c r="C69" s="1"/>
  <c r="B72" s="1"/>
  <c r="C68"/>
  <c r="B71" s="1"/>
  <c r="E1"/>
  <c r="A72" s="1"/>
  <c r="D53"/>
  <c r="D52" s="1"/>
  <c r="D68"/>
  <c r="E53"/>
  <c r="E68"/>
  <c r="E67"/>
  <c r="D67"/>
  <c r="C67"/>
  <c r="E52"/>
  <c r="C52"/>
  <c r="E5"/>
  <c r="E41" s="1"/>
  <c r="C17"/>
  <c r="C18" s="1"/>
  <c r="C34" s="1"/>
  <c r="A36"/>
  <c r="D17"/>
  <c r="D16" s="1"/>
  <c r="E17"/>
  <c r="E16" s="1"/>
  <c r="C16"/>
  <c r="A1"/>
  <c r="C54" i="53"/>
  <c r="C55" s="1"/>
  <c r="E1"/>
  <c r="A72" s="1"/>
  <c r="B71"/>
  <c r="D54"/>
  <c r="D53" s="1"/>
  <c r="E54"/>
  <c r="E53" s="1"/>
  <c r="C5"/>
  <c r="C41" s="1"/>
  <c r="C17"/>
  <c r="C18" s="1"/>
  <c r="A37"/>
  <c r="A36"/>
  <c r="D17"/>
  <c r="D16" s="1"/>
  <c r="E17"/>
  <c r="E16" s="1"/>
  <c r="C32"/>
  <c r="A1"/>
  <c r="C53" i="54"/>
  <c r="C54" s="1"/>
  <c r="E1"/>
  <c r="A72" s="1"/>
  <c r="D53"/>
  <c r="D52" s="1"/>
  <c r="E53"/>
  <c r="E52" s="1"/>
  <c r="C17"/>
  <c r="C18" s="1"/>
  <c r="D17"/>
  <c r="D16" s="1"/>
  <c r="E17"/>
  <c r="E16" s="1"/>
  <c r="A1"/>
  <c r="C52" i="55"/>
  <c r="C53" s="1"/>
  <c r="E1"/>
  <c r="E5" s="1"/>
  <c r="E37" s="1"/>
  <c r="D52"/>
  <c r="E52"/>
  <c r="E67"/>
  <c r="D67"/>
  <c r="E51"/>
  <c r="D51"/>
  <c r="C16"/>
  <c r="C17" s="1"/>
  <c r="C30" s="1"/>
  <c r="D16"/>
  <c r="D15" s="1"/>
  <c r="E16"/>
  <c r="E15" s="1"/>
  <c r="D28"/>
  <c r="C28"/>
  <c r="C15"/>
  <c r="A1"/>
  <c r="A40" i="19"/>
  <c r="D42" i="47"/>
  <c r="D49"/>
  <c r="D56"/>
  <c r="D63"/>
  <c r="C42"/>
  <c r="C49"/>
  <c r="C56"/>
  <c r="C63"/>
  <c r="B35"/>
  <c r="C94" i="7" s="1"/>
  <c r="B42" i="47"/>
  <c r="B49"/>
  <c r="B56"/>
  <c r="B63"/>
  <c r="D1"/>
  <c r="D5" s="1"/>
  <c r="A1"/>
  <c r="D1" i="46"/>
  <c r="D5" s="1"/>
  <c r="A1"/>
  <c r="D1" i="45"/>
  <c r="D5" s="1"/>
  <c r="A1"/>
  <c r="J17" i="42"/>
  <c r="J18" s="1"/>
  <c r="H17"/>
  <c r="H18" s="1"/>
  <c r="F17"/>
  <c r="F18" s="1"/>
  <c r="F29" s="1"/>
  <c r="F30" s="1"/>
  <c r="D17"/>
  <c r="D18"/>
  <c r="D29" s="1"/>
  <c r="D30" s="1"/>
  <c r="B17"/>
  <c r="B18" s="1"/>
  <c r="B29" s="1"/>
  <c r="J20" i="41"/>
  <c r="J21" s="1"/>
  <c r="H21"/>
  <c r="H31" s="1"/>
  <c r="H32" s="1"/>
  <c r="F20"/>
  <c r="F21" s="1"/>
  <c r="F31" s="1"/>
  <c r="F32" s="1"/>
  <c r="D20"/>
  <c r="D21" s="1"/>
  <c r="J17" i="40"/>
  <c r="J18" s="1"/>
  <c r="H17"/>
  <c r="H18" s="1"/>
  <c r="F17"/>
  <c r="F18" s="1"/>
  <c r="F29" s="1"/>
  <c r="F30" s="1"/>
  <c r="F28"/>
  <c r="D17"/>
  <c r="D18" s="1"/>
  <c r="B17"/>
  <c r="B18" s="1"/>
  <c r="J17" i="39"/>
  <c r="J18" s="1"/>
  <c r="J29" s="1"/>
  <c r="J30" s="1"/>
  <c r="H17"/>
  <c r="H18" s="1"/>
  <c r="F17"/>
  <c r="F18" s="1"/>
  <c r="F29" s="1"/>
  <c r="F30" s="1"/>
  <c r="D17"/>
  <c r="D18" s="1"/>
  <c r="D28"/>
  <c r="B17"/>
  <c r="B18" s="1"/>
  <c r="B29" s="1"/>
  <c r="I5" i="42"/>
  <c r="G5"/>
  <c r="E5"/>
  <c r="C5"/>
  <c r="A5"/>
  <c r="E28" i="24"/>
  <c r="G11"/>
  <c r="E14"/>
  <c r="E15"/>
  <c r="E19"/>
  <c r="E20"/>
  <c r="E21"/>
  <c r="G24"/>
  <c r="D29" i="2"/>
  <c r="J5" i="24" s="1"/>
  <c r="J6"/>
  <c r="K1" i="42"/>
  <c r="F2" s="1"/>
  <c r="K1" i="41"/>
  <c r="F2" s="1"/>
  <c r="K1" i="40"/>
  <c r="F2" s="1"/>
  <c r="K1" i="39"/>
  <c r="F2" s="1"/>
  <c r="A12" i="21"/>
  <c r="E1" i="43"/>
  <c r="C51" i="3"/>
  <c r="D6" i="44"/>
  <c r="D7"/>
  <c r="D8"/>
  <c r="D9"/>
  <c r="D10"/>
  <c r="E10"/>
  <c r="D11"/>
  <c r="E11"/>
  <c r="D12"/>
  <c r="E12"/>
  <c r="D13"/>
  <c r="E13"/>
  <c r="D14"/>
  <c r="E14"/>
  <c r="D15"/>
  <c r="E15"/>
  <c r="D17"/>
  <c r="E17"/>
  <c r="D16"/>
  <c r="E16"/>
  <c r="F1"/>
  <c r="B3" s="1"/>
  <c r="A1"/>
  <c r="B17"/>
  <c r="B16"/>
  <c r="B15"/>
  <c r="B14"/>
  <c r="B13"/>
  <c r="B12"/>
  <c r="B11"/>
  <c r="B10"/>
  <c r="B9"/>
  <c r="B8"/>
  <c r="B7"/>
  <c r="B6"/>
  <c r="E18" i="18"/>
  <c r="E17" s="1"/>
  <c r="D18"/>
  <c r="D17" s="1"/>
  <c r="C18"/>
  <c r="C17" s="1"/>
  <c r="D23" i="36"/>
  <c r="E27" i="35"/>
  <c r="D27"/>
  <c r="E67"/>
  <c r="E68" i="19"/>
  <c r="E67"/>
  <c r="C67"/>
  <c r="E52"/>
  <c r="E51"/>
  <c r="D52"/>
  <c r="D51" s="1"/>
  <c r="C52"/>
  <c r="C51" s="1"/>
  <c r="E16"/>
  <c r="E15"/>
  <c r="D16"/>
  <c r="D15" s="1"/>
  <c r="C16"/>
  <c r="C15" s="1"/>
  <c r="E31"/>
  <c r="D31"/>
  <c r="C31"/>
  <c r="C67" i="18"/>
  <c r="E52"/>
  <c r="E51" s="1"/>
  <c r="D52"/>
  <c r="D51" s="1"/>
  <c r="C52"/>
  <c r="C51" s="1"/>
  <c r="D31"/>
  <c r="C31"/>
  <c r="D68" i="17"/>
  <c r="E51"/>
  <c r="E50" s="1"/>
  <c r="D51"/>
  <c r="D50" s="1"/>
  <c r="E15"/>
  <c r="E14" s="1"/>
  <c r="D15"/>
  <c r="D14" s="1"/>
  <c r="C15"/>
  <c r="C14" s="1"/>
  <c r="E29"/>
  <c r="D29"/>
  <c r="C29"/>
  <c r="E17" i="16"/>
  <c r="E16" s="1"/>
  <c r="D17"/>
  <c r="D16" s="1"/>
  <c r="C17"/>
  <c r="C16" s="1"/>
  <c r="E31"/>
  <c r="E51"/>
  <c r="E50"/>
  <c r="D51"/>
  <c r="D50"/>
  <c r="C51"/>
  <c r="C50"/>
  <c r="E67"/>
  <c r="D67"/>
  <c r="E17" i="15"/>
  <c r="E16" s="1"/>
  <c r="D17"/>
  <c r="D16" s="1"/>
  <c r="C17"/>
  <c r="C16" s="1"/>
  <c r="E32"/>
  <c r="C32"/>
  <c r="E52"/>
  <c r="E51" s="1"/>
  <c r="D52"/>
  <c r="D51" s="1"/>
  <c r="C52"/>
  <c r="C51" s="1"/>
  <c r="D67"/>
  <c r="C67"/>
  <c r="E18" i="14"/>
  <c r="E17" s="1"/>
  <c r="D18"/>
  <c r="D17" s="1"/>
  <c r="C18"/>
  <c r="C17" s="1"/>
  <c r="E32"/>
  <c r="D32"/>
  <c r="C32"/>
  <c r="D65" i="8"/>
  <c r="C65"/>
  <c r="C54"/>
  <c r="D30"/>
  <c r="D25" i="44"/>
  <c r="D27" s="1"/>
  <c r="D21"/>
  <c r="D23" s="1"/>
  <c r="C18"/>
  <c r="E1" i="34"/>
  <c r="A70" s="1"/>
  <c r="E1" i="8"/>
  <c r="A35" s="1"/>
  <c r="B33"/>
  <c r="B34" s="1"/>
  <c r="B68"/>
  <c r="E1" i="14"/>
  <c r="A37" s="1"/>
  <c r="E1" i="15"/>
  <c r="A37" s="1"/>
  <c r="E1" i="16"/>
  <c r="A36" s="1"/>
  <c r="E1" i="17"/>
  <c r="A34" s="1"/>
  <c r="E1" i="18"/>
  <c r="A36" s="1"/>
  <c r="E1" i="19"/>
  <c r="A36" s="1"/>
  <c r="E1" i="35"/>
  <c r="A72" s="1"/>
  <c r="E1" i="36"/>
  <c r="A72" s="1"/>
  <c r="C17" i="19"/>
  <c r="C33" s="1"/>
  <c r="B35"/>
  <c r="B71"/>
  <c r="C53" i="18"/>
  <c r="C69" s="1"/>
  <c r="B71"/>
  <c r="B33" i="17"/>
  <c r="C52" i="16"/>
  <c r="B71"/>
  <c r="B36" i="15"/>
  <c r="B71"/>
  <c r="C19" i="14"/>
  <c r="C34" s="1"/>
  <c r="B36"/>
  <c r="B70" i="8"/>
  <c r="B69"/>
  <c r="E1" i="7"/>
  <c r="A114" s="1"/>
  <c r="A62" i="43"/>
  <c r="A61"/>
  <c r="A60"/>
  <c r="A59"/>
  <c r="B57"/>
  <c r="C57"/>
  <c r="C21" i="21"/>
  <c r="C20"/>
  <c r="F1" i="5"/>
  <c r="F68" i="8"/>
  <c r="A36" i="43"/>
  <c r="A47" i="3"/>
  <c r="A46"/>
  <c r="A45"/>
  <c r="A44"/>
  <c r="A46" i="21"/>
  <c r="A45"/>
  <c r="A44"/>
  <c r="A43"/>
  <c r="L1" i="22"/>
  <c r="F7" s="1"/>
  <c r="A107" i="2"/>
  <c r="K7" i="42"/>
  <c r="A1"/>
  <c r="A1" i="41"/>
  <c r="A1" i="40"/>
  <c r="A1" i="39"/>
  <c r="A1" i="34"/>
  <c r="A1" i="22"/>
  <c r="J1" i="24"/>
  <c r="B38" s="1"/>
  <c r="A21" i="33"/>
  <c r="A27"/>
  <c r="A15"/>
  <c r="A4"/>
  <c r="B15" i="21"/>
  <c r="D15"/>
  <c r="F15"/>
  <c r="D32" i="43"/>
  <c r="F58" i="21"/>
  <c r="E21"/>
  <c r="E20"/>
  <c r="E19"/>
  <c r="E18"/>
  <c r="C47" i="3"/>
  <c r="C46"/>
  <c r="C45"/>
  <c r="D53" i="21"/>
  <c r="C37" i="8"/>
  <c r="A19" i="21"/>
  <c r="A31" i="43"/>
  <c r="A30"/>
  <c r="A29"/>
  <c r="A28"/>
  <c r="A27"/>
  <c r="A26"/>
  <c r="A25"/>
  <c r="A24"/>
  <c r="A23"/>
  <c r="A22"/>
  <c r="D102" i="2"/>
  <c r="C20" i="3"/>
  <c r="B20"/>
  <c r="B13" i="24"/>
  <c r="A8" i="5"/>
  <c r="A6"/>
  <c r="B6"/>
  <c r="C5"/>
  <c r="A1"/>
  <c r="F1" i="32"/>
  <c r="D7" s="1"/>
  <c r="A1"/>
  <c r="K6" i="22"/>
  <c r="L19"/>
  <c r="L26"/>
  <c r="L37"/>
  <c r="K19"/>
  <c r="K26"/>
  <c r="K37"/>
  <c r="J19"/>
  <c r="J26"/>
  <c r="J37"/>
  <c r="I19"/>
  <c r="I26"/>
  <c r="I37"/>
  <c r="H1" i="23"/>
  <c r="F9" s="1"/>
  <c r="C72" i="8"/>
  <c r="E6"/>
  <c r="D1" i="9"/>
  <c r="D5" s="1"/>
  <c r="C116" i="7"/>
  <c r="F1" i="3"/>
  <c r="B61" s="1"/>
  <c r="A2"/>
  <c r="A1" i="43"/>
  <c r="E6" i="34"/>
  <c r="D6"/>
  <c r="C6"/>
  <c r="E5" i="14"/>
  <c r="E41" s="1"/>
  <c r="D5"/>
  <c r="C5"/>
  <c r="C41" s="1"/>
  <c r="D5" i="15"/>
  <c r="D41" s="1"/>
  <c r="E5" i="16"/>
  <c r="E40" s="1"/>
  <c r="C5"/>
  <c r="C40" s="1"/>
  <c r="E5" i="17"/>
  <c r="D5"/>
  <c r="D38" s="1"/>
  <c r="C5"/>
  <c r="C38" s="1"/>
  <c r="E5" i="18"/>
  <c r="E40" s="1"/>
  <c r="E5" i="19"/>
  <c r="E40" s="1"/>
  <c r="D5"/>
  <c r="D40" s="1"/>
  <c r="C5"/>
  <c r="E5" i="35"/>
  <c r="C5"/>
  <c r="A5"/>
  <c r="A1"/>
  <c r="E5" i="36"/>
  <c r="D5"/>
  <c r="C5"/>
  <c r="A5"/>
  <c r="A1"/>
  <c r="I5" i="41"/>
  <c r="G5"/>
  <c r="E5"/>
  <c r="C5"/>
  <c r="A5"/>
  <c r="I5" i="40"/>
  <c r="G5"/>
  <c r="E5"/>
  <c r="C5"/>
  <c r="A5"/>
  <c r="I5" i="39"/>
  <c r="G5"/>
  <c r="E5"/>
  <c r="C5"/>
  <c r="A5"/>
  <c r="G16" i="21"/>
  <c r="D60"/>
  <c r="D59"/>
  <c r="D58"/>
  <c r="D57"/>
  <c r="B60"/>
  <c r="B59"/>
  <c r="B58"/>
  <c r="B57"/>
  <c r="B56"/>
  <c r="D56"/>
  <c r="F56"/>
  <c r="A105" i="2"/>
  <c r="A104"/>
  <c r="B101"/>
  <c r="B100"/>
  <c r="B99"/>
  <c r="B98"/>
  <c r="B97"/>
  <c r="B96"/>
  <c r="B95"/>
  <c r="B94"/>
  <c r="B93"/>
  <c r="B92"/>
  <c r="B91"/>
  <c r="A89"/>
  <c r="A51" i="43"/>
  <c r="A49"/>
  <c r="K7" i="41"/>
  <c r="K7" i="40"/>
  <c r="K7" i="39"/>
  <c r="C72" i="34"/>
  <c r="A7" i="33"/>
  <c r="A13"/>
  <c r="A18" i="5"/>
  <c r="A17"/>
  <c r="B22" i="3"/>
  <c r="B19"/>
  <c r="C34"/>
  <c r="C33"/>
  <c r="C32"/>
  <c r="C31"/>
  <c r="C30"/>
  <c r="C28"/>
  <c r="C27"/>
  <c r="C26"/>
  <c r="C25"/>
  <c r="C22"/>
  <c r="C21"/>
  <c r="A33"/>
  <c r="A32"/>
  <c r="A31"/>
  <c r="A30"/>
  <c r="A29"/>
  <c r="A28"/>
  <c r="A27"/>
  <c r="A26"/>
  <c r="A25"/>
  <c r="A24"/>
  <c r="A23"/>
  <c r="A22"/>
  <c r="A21"/>
  <c r="C50"/>
  <c r="A4"/>
  <c r="C1" i="24"/>
  <c r="A1" i="9"/>
  <c r="A64" i="7"/>
  <c r="A60"/>
  <c r="A6"/>
  <c r="A1"/>
  <c r="B90" i="2"/>
  <c r="A1" i="23"/>
  <c r="H28"/>
  <c r="G28"/>
  <c r="F28"/>
  <c r="F60" i="21" s="1"/>
  <c r="A16" i="5"/>
  <c r="A15"/>
  <c r="A14"/>
  <c r="A13"/>
  <c r="A12"/>
  <c r="A11"/>
  <c r="A10"/>
  <c r="A9"/>
  <c r="A7"/>
  <c r="A41" i="15"/>
  <c r="A5"/>
  <c r="A1"/>
  <c r="A40" i="16"/>
  <c r="A5"/>
  <c r="A1"/>
  <c r="E38" i="17"/>
  <c r="A38"/>
  <c r="A5"/>
  <c r="A1"/>
  <c r="A40" i="18"/>
  <c r="A5"/>
  <c r="A1"/>
  <c r="C40" i="19"/>
  <c r="A5"/>
  <c r="A1"/>
  <c r="A6" i="8"/>
  <c r="A41"/>
  <c r="A1"/>
  <c r="D41" i="14"/>
  <c r="A41"/>
  <c r="A5"/>
  <c r="A1"/>
  <c r="A31" i="21"/>
  <c r="A30"/>
  <c r="A29"/>
  <c r="A28"/>
  <c r="A27"/>
  <c r="A26"/>
  <c r="A25"/>
  <c r="A24"/>
  <c r="A23"/>
  <c r="A22"/>
  <c r="A21"/>
  <c r="A20"/>
  <c r="C18"/>
  <c r="A4"/>
  <c r="A18"/>
  <c r="C55" i="14"/>
  <c r="C71" s="1"/>
  <c r="E53"/>
  <c r="B73"/>
  <c r="C69"/>
  <c r="A56" i="43" l="1"/>
  <c r="A45"/>
  <c r="A15"/>
  <c r="G56" i="7"/>
  <c r="F9"/>
  <c r="B61" i="21"/>
  <c r="D61"/>
  <c r="B5" i="24"/>
  <c r="B24"/>
  <c r="J7"/>
  <c r="B31" i="41"/>
  <c r="B32" s="1"/>
  <c r="J31"/>
  <c r="J32" s="1"/>
  <c r="D31" i="16"/>
  <c r="F26" i="21"/>
  <c r="K17" i="42"/>
  <c r="J29" i="40"/>
  <c r="J30" s="1"/>
  <c r="H29"/>
  <c r="H30" s="1"/>
  <c r="D29"/>
  <c r="D30" s="1"/>
  <c r="H29" i="39"/>
  <c r="H30" s="1"/>
  <c r="K17"/>
  <c r="B71" i="36"/>
  <c r="E22"/>
  <c r="F40" i="21"/>
  <c r="E32" i="52"/>
  <c r="D32"/>
  <c r="C28" i="35"/>
  <c r="C69" s="1"/>
  <c r="C26"/>
  <c r="F39" i="21"/>
  <c r="E67" i="53"/>
  <c r="D67"/>
  <c r="C69"/>
  <c r="C67"/>
  <c r="C53"/>
  <c r="C34"/>
  <c r="B37" s="1"/>
  <c r="B36"/>
  <c r="C16"/>
  <c r="D67" i="54"/>
  <c r="C67"/>
  <c r="B71"/>
  <c r="C69"/>
  <c r="B72" s="1"/>
  <c r="E31"/>
  <c r="F36" i="21"/>
  <c r="D31" i="54"/>
  <c r="C33"/>
  <c r="D6" s="1"/>
  <c r="C67" i="55"/>
  <c r="C69"/>
  <c r="D38" s="1"/>
  <c r="D53" s="1"/>
  <c r="D69" s="1"/>
  <c r="E38" s="1"/>
  <c r="E53" s="1"/>
  <c r="E69" s="1"/>
  <c r="B71"/>
  <c r="F34" i="21"/>
  <c r="E28" i="55"/>
  <c r="B32"/>
  <c r="D67" i="19"/>
  <c r="F31" i="21"/>
  <c r="D67" i="18"/>
  <c r="F30" i="21"/>
  <c r="B35" i="18"/>
  <c r="C19"/>
  <c r="C33" s="1"/>
  <c r="D6" s="1"/>
  <c r="D19" s="1"/>
  <c r="D33" s="1"/>
  <c r="E6" s="1"/>
  <c r="E19" s="1"/>
  <c r="E33" s="1"/>
  <c r="E68" i="17"/>
  <c r="B72"/>
  <c r="C52"/>
  <c r="C70" s="1"/>
  <c r="D39" s="1"/>
  <c r="D52" s="1"/>
  <c r="D70" s="1"/>
  <c r="E39" s="1"/>
  <c r="E52" s="1"/>
  <c r="E70" s="1"/>
  <c r="C69" i="16"/>
  <c r="F27" i="21"/>
  <c r="C67" i="16"/>
  <c r="C31"/>
  <c r="B35"/>
  <c r="F24" i="21"/>
  <c r="F23"/>
  <c r="E69" i="14"/>
  <c r="D65" i="34"/>
  <c r="B19" i="21"/>
  <c r="C65" i="45"/>
  <c r="C65" i="9"/>
  <c r="K38" i="22"/>
  <c r="E48" i="21"/>
  <c r="E18" i="44"/>
  <c r="F21" i="21"/>
  <c r="C48"/>
  <c r="D51"/>
  <c r="C5" i="18"/>
  <c r="C40" s="1"/>
  <c r="C6" i="8"/>
  <c r="D41"/>
  <c r="E5" i="44"/>
  <c r="A18" i="43"/>
  <c r="A52"/>
  <c r="D5" i="18"/>
  <c r="D40" s="1"/>
  <c r="C5" i="15"/>
  <c r="C41" s="1"/>
  <c r="D6" i="8"/>
  <c r="C41"/>
  <c r="E7" i="32"/>
  <c r="A34" i="43"/>
  <c r="A70" i="15"/>
  <c r="A13" i="43"/>
  <c r="A50"/>
  <c r="D5" i="35"/>
  <c r="D5" i="16"/>
  <c r="D40" s="1"/>
  <c r="E5" i="15"/>
  <c r="E41" s="1"/>
  <c r="E41" i="8"/>
  <c r="A21" i="44"/>
  <c r="A35" i="54"/>
  <c r="E5" i="53"/>
  <c r="E41" s="1"/>
  <c r="J38" i="22"/>
  <c r="A36" i="15"/>
  <c r="D26" i="35"/>
  <c r="D18" i="44"/>
  <c r="A33" i="55"/>
  <c r="D5" i="53"/>
  <c r="D41" s="1"/>
  <c r="D42" i="3"/>
  <c r="I38" i="22"/>
  <c r="E26" i="35"/>
  <c r="G22" i="24"/>
  <c r="A70" i="55"/>
  <c r="A70" i="54"/>
  <c r="A70" i="53"/>
  <c r="A70" i="52"/>
  <c r="K30" i="41"/>
  <c r="B45" i="21" s="1"/>
  <c r="B41"/>
  <c r="C35" i="47"/>
  <c r="L38" i="22"/>
  <c r="A14" i="43"/>
  <c r="A5"/>
  <c r="A8"/>
  <c r="A7"/>
  <c r="A6"/>
  <c r="D65" i="47"/>
  <c r="A32" i="55"/>
  <c r="A72" i="15"/>
  <c r="D56" i="8"/>
  <c r="D67" s="1"/>
  <c r="E42" s="1"/>
  <c r="K20" i="41"/>
  <c r="K17" i="40"/>
  <c r="K28" i="39"/>
  <c r="B43" i="21" s="1"/>
  <c r="B29" i="56"/>
  <c r="K29" s="1"/>
  <c r="K28"/>
  <c r="B47" i="21" s="1"/>
  <c r="K19" i="56"/>
  <c r="J29" i="42"/>
  <c r="J30" s="1"/>
  <c r="K28"/>
  <c r="B46" i="21" s="1"/>
  <c r="D67" i="36"/>
  <c r="E67"/>
  <c r="F42" i="21"/>
  <c r="D43" i="3"/>
  <c r="D42" i="21"/>
  <c r="C67" i="36"/>
  <c r="B42" i="21"/>
  <c r="D22" i="36"/>
  <c r="C24"/>
  <c r="C69" s="1"/>
  <c r="D6" s="1"/>
  <c r="D24" s="1"/>
  <c r="D69" s="1"/>
  <c r="E6" s="1"/>
  <c r="E24" s="1"/>
  <c r="E69" s="1"/>
  <c r="C22"/>
  <c r="D41" i="21"/>
  <c r="D67" i="35"/>
  <c r="B71"/>
  <c r="C32" i="52"/>
  <c r="B36"/>
  <c r="E32" i="53"/>
  <c r="F38" i="21"/>
  <c r="D32" i="53"/>
  <c r="C52" i="54"/>
  <c r="E67"/>
  <c r="C31"/>
  <c r="B35"/>
  <c r="C16"/>
  <c r="B36"/>
  <c r="C51" i="55"/>
  <c r="C53" i="19"/>
  <c r="C69" s="1"/>
  <c r="B72" s="1"/>
  <c r="E67" i="18"/>
  <c r="E31"/>
  <c r="C68" i="17"/>
  <c r="C16"/>
  <c r="C31" s="1"/>
  <c r="D6" s="1"/>
  <c r="D16" s="1"/>
  <c r="D31" s="1"/>
  <c r="E6" s="1"/>
  <c r="E16" s="1"/>
  <c r="E31" s="1"/>
  <c r="C18" i="16"/>
  <c r="C33" s="1"/>
  <c r="B36" s="1"/>
  <c r="E67" i="15"/>
  <c r="F25" i="21"/>
  <c r="C53" i="15"/>
  <c r="C69" s="1"/>
  <c r="B72" s="1"/>
  <c r="D32"/>
  <c r="C18"/>
  <c r="C34" s="1"/>
  <c r="D69" i="14"/>
  <c r="A74"/>
  <c r="B74"/>
  <c r="D42"/>
  <c r="D55" s="1"/>
  <c r="D71" s="1"/>
  <c r="E42" s="1"/>
  <c r="E55" s="1"/>
  <c r="E71" s="1"/>
  <c r="C30" i="8"/>
  <c r="C32"/>
  <c r="B35" s="1"/>
  <c r="C19"/>
  <c r="C34" i="34"/>
  <c r="B69"/>
  <c r="C67"/>
  <c r="D7" s="1"/>
  <c r="D36" s="1"/>
  <c r="D67" s="1"/>
  <c r="E7" s="1"/>
  <c r="B65" i="47"/>
  <c r="D65" i="46"/>
  <c r="B65"/>
  <c r="C65"/>
  <c r="D65" i="45"/>
  <c r="B65"/>
  <c r="D65" i="9"/>
  <c r="B65"/>
  <c r="D6" i="7"/>
  <c r="D64" s="1"/>
  <c r="C6"/>
  <c r="C64" s="1"/>
  <c r="E6"/>
  <c r="E64" s="1"/>
  <c r="C56"/>
  <c r="C65" s="1"/>
  <c r="C54"/>
  <c r="F61" i="21"/>
  <c r="F38" i="22"/>
  <c r="G16" i="24"/>
  <c r="G26" s="1"/>
  <c r="G30" s="1"/>
  <c r="G32" s="1"/>
  <c r="J34" s="1"/>
  <c r="J36" s="1"/>
  <c r="D20" i="3"/>
  <c r="E69" i="34"/>
  <c r="E65"/>
  <c r="F19" i="21"/>
  <c r="F68" i="34"/>
  <c r="F20" i="21"/>
  <c r="E30" i="8"/>
  <c r="F33"/>
  <c r="E35" i="34"/>
  <c r="E34" s="1"/>
  <c r="B19" i="5"/>
  <c r="D26" s="1"/>
  <c r="D9" s="1"/>
  <c r="E55" i="8"/>
  <c r="E54" s="1"/>
  <c r="D55" i="7"/>
  <c r="G55" s="1"/>
  <c r="G9" i="23"/>
  <c r="A72" i="19"/>
  <c r="C5" i="45"/>
  <c r="C5" i="46"/>
  <c r="C5" i="47"/>
  <c r="C5" i="52"/>
  <c r="C41" s="1"/>
  <c r="E10" i="3"/>
  <c r="A7"/>
  <c r="H9" i="23"/>
  <c r="A70" i="19"/>
  <c r="A35"/>
  <c r="A72" i="18"/>
  <c r="A73" i="17"/>
  <c r="A71" i="15"/>
  <c r="A35"/>
  <c r="A72" i="14"/>
  <c r="A36"/>
  <c r="B5" i="45"/>
  <c r="B5" i="46"/>
  <c r="B5" i="47"/>
  <c r="D5" i="55"/>
  <c r="D37" s="1"/>
  <c r="A34" i="54"/>
  <c r="A37" i="52"/>
  <c r="D5"/>
  <c r="D41" s="1"/>
  <c r="C7" i="32"/>
  <c r="B9" i="24"/>
  <c r="C15"/>
  <c r="A42"/>
  <c r="A71" i="19"/>
  <c r="A34"/>
  <c r="A70" i="18"/>
  <c r="A35"/>
  <c r="A71" i="17"/>
  <c r="A33"/>
  <c r="A72" i="16"/>
  <c r="A69" i="8"/>
  <c r="A34"/>
  <c r="A69" i="34"/>
  <c r="C5" i="44"/>
  <c r="A31" i="55"/>
  <c r="C5"/>
  <c r="C37" s="1"/>
  <c r="A13" i="3"/>
  <c r="C5" i="9"/>
  <c r="I6" i="22"/>
  <c r="A3" i="24"/>
  <c r="B6"/>
  <c r="B11"/>
  <c r="C14"/>
  <c r="B18"/>
  <c r="B28"/>
  <c r="A113" i="7"/>
  <c r="A71" i="36"/>
  <c r="A71" i="35"/>
  <c r="A72" i="17"/>
  <c r="A32"/>
  <c r="A70" i="16"/>
  <c r="A35"/>
  <c r="A68" i="8"/>
  <c r="A70"/>
  <c r="A33"/>
  <c r="A68" i="34"/>
  <c r="B5" i="44"/>
  <c r="D5"/>
  <c r="A35" i="53"/>
  <c r="A35" i="52"/>
  <c r="B30" i="39"/>
  <c r="K21" i="41"/>
  <c r="D31"/>
  <c r="B30" i="42"/>
  <c r="H29"/>
  <c r="H30" s="1"/>
  <c r="K18"/>
  <c r="B33" i="55"/>
  <c r="D6"/>
  <c r="D17" s="1"/>
  <c r="D30" s="1"/>
  <c r="E6" s="1"/>
  <c r="E17" s="1"/>
  <c r="E30" s="1"/>
  <c r="D6" i="14"/>
  <c r="D19" s="1"/>
  <c r="D34" s="1"/>
  <c r="E6" s="1"/>
  <c r="E19" s="1"/>
  <c r="E34" s="1"/>
  <c r="B37"/>
  <c r="B37" i="15"/>
  <c r="D6"/>
  <c r="D18" s="1"/>
  <c r="D34" s="1"/>
  <c r="E6" s="1"/>
  <c r="E18" s="1"/>
  <c r="E34" s="1"/>
  <c r="B72" i="16"/>
  <c r="D41"/>
  <c r="D52" s="1"/>
  <c r="D69" s="1"/>
  <c r="E41" s="1"/>
  <c r="E52" s="1"/>
  <c r="E69" s="1"/>
  <c r="D41" i="18"/>
  <c r="D53" s="1"/>
  <c r="D69" s="1"/>
  <c r="E41" s="1"/>
  <c r="E53" s="1"/>
  <c r="E69" s="1"/>
  <c r="B72"/>
  <c r="D6" i="19"/>
  <c r="D17" s="1"/>
  <c r="D33" s="1"/>
  <c r="E6" s="1"/>
  <c r="E17" s="1"/>
  <c r="E33" s="1"/>
  <c r="B36"/>
  <c r="B72" i="35"/>
  <c r="D29" i="39"/>
  <c r="D30" s="1"/>
  <c r="K18"/>
  <c r="B29" i="40"/>
  <c r="K18"/>
  <c r="A72" i="55"/>
  <c r="A71"/>
  <c r="D6" i="53"/>
  <c r="D18" s="1"/>
  <c r="D34" s="1"/>
  <c r="E6" s="1"/>
  <c r="E18" s="1"/>
  <c r="E34" s="1"/>
  <c r="B72"/>
  <c r="D42"/>
  <c r="D55" s="1"/>
  <c r="D69" s="1"/>
  <c r="E42" s="1"/>
  <c r="E55" s="1"/>
  <c r="E69" s="1"/>
  <c r="B37" i="52"/>
  <c r="D6"/>
  <c r="D18" s="1"/>
  <c r="D34" s="1"/>
  <c r="E6" s="1"/>
  <c r="E18" s="1"/>
  <c r="E34" s="1"/>
  <c r="D9" i="3"/>
  <c r="A8"/>
  <c r="B5" i="9"/>
  <c r="A112" i="7"/>
  <c r="A70" i="36"/>
  <c r="A70" i="35"/>
  <c r="A71" i="18"/>
  <c r="A34"/>
  <c r="A71" i="16"/>
  <c r="A34"/>
  <c r="A73" i="14"/>
  <c r="A35"/>
  <c r="D34" i="3"/>
  <c r="F33" i="21"/>
  <c r="B72" i="55"/>
  <c r="D18" i="54"/>
  <c r="D33" s="1"/>
  <c r="E6" s="1"/>
  <c r="E18" s="1"/>
  <c r="E33" s="1"/>
  <c r="K28" i="40"/>
  <c r="A36" i="54"/>
  <c r="C5"/>
  <c r="C40" s="1"/>
  <c r="D5"/>
  <c r="D40" s="1"/>
  <c r="E5"/>
  <c r="E40" s="1"/>
  <c r="A71"/>
  <c r="A71" i="53"/>
  <c r="D42" i="52"/>
  <c r="D54" s="1"/>
  <c r="D69" s="1"/>
  <c r="E42" s="1"/>
  <c r="E54" s="1"/>
  <c r="E69" s="1"/>
  <c r="A71"/>
  <c r="D21" i="3"/>
  <c r="E34" i="8"/>
  <c r="C110" i="7"/>
  <c r="F110" s="1"/>
  <c r="D22" i="3"/>
  <c r="E69" i="8"/>
  <c r="E110" i="7"/>
  <c r="H110" s="1"/>
  <c r="K32" i="41" l="1"/>
  <c r="K30" i="56"/>
  <c r="B30"/>
  <c r="D6" i="35"/>
  <c r="D28" s="1"/>
  <c r="D69" s="1"/>
  <c r="E6" s="1"/>
  <c r="E28" s="1"/>
  <c r="E69" s="1"/>
  <c r="D41" i="54"/>
  <c r="D54" s="1"/>
  <c r="D69" s="1"/>
  <c r="E41" s="1"/>
  <c r="E54" s="1"/>
  <c r="E69" s="1"/>
  <c r="D41" i="19"/>
  <c r="D53" s="1"/>
  <c r="D69" s="1"/>
  <c r="E41" s="1"/>
  <c r="E53" s="1"/>
  <c r="E69" s="1"/>
  <c r="B36" i="18"/>
  <c r="B73" i="17"/>
  <c r="D6" i="16"/>
  <c r="D18" s="1"/>
  <c r="D33" s="1"/>
  <c r="E6" s="1"/>
  <c r="E18" s="1"/>
  <c r="E33" s="1"/>
  <c r="D42" i="15"/>
  <c r="D53" s="1"/>
  <c r="D69" s="1"/>
  <c r="E42" s="1"/>
  <c r="E53" s="1"/>
  <c r="E69" s="1"/>
  <c r="F28" i="5"/>
  <c r="F9" s="1"/>
  <c r="E27"/>
  <c r="E9" s="1"/>
  <c r="C25"/>
  <c r="C9" s="1"/>
  <c r="E12" i="8"/>
  <c r="D7" i="5"/>
  <c r="E12" i="7" s="1"/>
  <c r="D94"/>
  <c r="D110" s="1"/>
  <c r="G110" s="1"/>
  <c r="C65" i="47"/>
  <c r="D7" i="8"/>
  <c r="D21" s="1"/>
  <c r="D32" s="1"/>
  <c r="E7" s="1"/>
  <c r="K30" i="39"/>
  <c r="K30" i="42"/>
  <c r="B72" i="36"/>
  <c r="B34" i="17"/>
  <c r="B70" i="34"/>
  <c r="C111" i="7"/>
  <c r="B114" s="1"/>
  <c r="E36" i="34"/>
  <c r="E70" s="1"/>
  <c r="E72" s="1"/>
  <c r="E20" i="3" s="1"/>
  <c r="E56" i="8"/>
  <c r="E70" s="1"/>
  <c r="E72" s="1"/>
  <c r="D54" i="7"/>
  <c r="B113"/>
  <c r="B18" i="21"/>
  <c r="C109" i="7"/>
  <c r="B44" i="21"/>
  <c r="K30" i="40"/>
  <c r="K29" i="42"/>
  <c r="D19" i="3"/>
  <c r="D49" s="1"/>
  <c r="E113" i="7"/>
  <c r="F18" i="21"/>
  <c r="F48" s="1"/>
  <c r="F50" s="1"/>
  <c r="F112" i="7"/>
  <c r="E109"/>
  <c r="B30" i="40"/>
  <c r="K29"/>
  <c r="D32" i="41"/>
  <c r="K31"/>
  <c r="K29" i="39"/>
  <c r="D109" i="7" l="1"/>
  <c r="D18" i="21"/>
  <c r="D48" s="1"/>
  <c r="D50" s="1"/>
  <c r="E13" i="8"/>
  <c r="E7" i="5"/>
  <c r="E11" i="8"/>
  <c r="C7" i="5"/>
  <c r="F7"/>
  <c r="E14" i="8"/>
  <c r="D19" i="5"/>
  <c r="J38" i="24"/>
  <c r="J40" s="1"/>
  <c r="D7" i="7"/>
  <c r="D56" s="1"/>
  <c r="D111" s="1"/>
  <c r="E7" s="1"/>
  <c r="G19" i="21"/>
  <c r="H19" s="1"/>
  <c r="F20" i="3"/>
  <c r="E22"/>
  <c r="F22"/>
  <c r="G21" i="21"/>
  <c r="H21"/>
  <c r="B48"/>
  <c r="B50" s="1"/>
  <c r="E20" i="8" l="1"/>
  <c r="E19" s="1"/>
  <c r="E21"/>
  <c r="E35" s="1"/>
  <c r="E37" s="1"/>
  <c r="F37" s="1"/>
  <c r="F19" i="5"/>
  <c r="E17" i="7"/>
  <c r="E13"/>
  <c r="E19" i="5"/>
  <c r="C19"/>
  <c r="E11" i="7"/>
  <c r="D65"/>
  <c r="E55" l="1"/>
  <c r="H55" s="1"/>
  <c r="G20" i="21"/>
  <c r="H20" s="1"/>
  <c r="E21" i="3"/>
  <c r="F21" s="1"/>
  <c r="E54" i="7" l="1"/>
  <c r="E56"/>
  <c r="E65" s="1"/>
  <c r="E114" l="1"/>
  <c r="E116" s="1"/>
  <c r="F117" s="1"/>
  <c r="G18" i="21" l="1"/>
  <c r="G48" s="1"/>
  <c r="E19" i="3"/>
  <c r="E49" s="1"/>
  <c r="E52" s="1"/>
  <c r="F19" l="1"/>
  <c r="F49" s="1"/>
  <c r="H18" i="21"/>
  <c r="H48" s="1"/>
</calcChain>
</file>

<file path=xl/comments1.xml><?xml version="1.0" encoding="utf-8"?>
<comments xmlns="http://schemas.openxmlformats.org/spreadsheetml/2006/main">
  <authors>
    <author>Stephanie Richardson</author>
  </authors>
  <commentList>
    <comment ref="D49" authorId="0">
      <text>
        <r>
          <rPr>
            <b/>
            <sz val="9"/>
            <color indexed="81"/>
            <rFont val="Tahoma"/>
            <family val="2"/>
          </rPr>
          <t>Stephanie Richardson:</t>
        </r>
        <r>
          <rPr>
            <sz val="9"/>
            <color indexed="81"/>
            <rFont val="Tahoma"/>
            <family val="2"/>
          </rPr>
          <t xml:space="preserve">
All transfers shown as expense from non-budgeted funds!!!  The non-budgeted current year and proposed budget year amounts are not included on the Budget Summary page; therefore they must be subtracted from this list to get to the actual budgeted funds transfer total.</t>
        </r>
      </text>
    </comment>
    <comment ref="E49" authorId="0">
      <text>
        <r>
          <rPr>
            <b/>
            <sz val="9"/>
            <color indexed="81"/>
            <rFont val="Tahoma"/>
            <family val="2"/>
          </rPr>
          <t>Stephanie Richardson:</t>
        </r>
        <r>
          <rPr>
            <sz val="9"/>
            <color indexed="81"/>
            <rFont val="Tahoma"/>
            <family val="2"/>
          </rPr>
          <t xml:space="preserve">
All transfers shown as expense from non-budgeted funds!!!  The non-budgeted current year and proposed budget year amounts are not included on the Budget Summary page; therefore they must be subtracted from this list to get to the actual budgeted funds transfer total.</t>
        </r>
      </text>
    </comment>
  </commentList>
</comments>
</file>

<file path=xl/comments2.xml><?xml version="1.0" encoding="utf-8"?>
<comments xmlns="http://schemas.openxmlformats.org/spreadsheetml/2006/main">
  <authors>
    <author>srichardson</author>
  </authors>
  <commentList>
    <comment ref="C44" authorId="0">
      <text>
        <r>
          <rPr>
            <b/>
            <sz val="8"/>
            <color indexed="81"/>
            <rFont val="Tahoma"/>
            <family val="2"/>
          </rPr>
          <t>srichardson:</t>
        </r>
        <r>
          <rPr>
            <sz val="8"/>
            <color indexed="81"/>
            <rFont val="Tahoma"/>
            <family val="2"/>
          </rPr>
          <t xml:space="preserve">
Rounding $-2</t>
        </r>
      </text>
    </comment>
    <comment ref="E44" authorId="0">
      <text>
        <r>
          <rPr>
            <b/>
            <sz val="8"/>
            <color indexed="81"/>
            <rFont val="Tahoma"/>
            <family val="2"/>
          </rPr>
          <t>srichardson:</t>
        </r>
        <r>
          <rPr>
            <sz val="8"/>
            <color indexed="81"/>
            <rFont val="Tahoma"/>
            <family val="2"/>
          </rPr>
          <t xml:space="preserve">
Rounding $+2</t>
        </r>
      </text>
    </comment>
  </commentList>
</comments>
</file>

<file path=xl/sharedStrings.xml><?xml version="1.0" encoding="utf-8"?>
<sst xmlns="http://schemas.openxmlformats.org/spreadsheetml/2006/main" count="1863" uniqueCount="692">
  <si>
    <r>
      <t>9i. Each fund after the "unencumbered cash bal dec31", will show the budget authority expenditure amount, Violation of Budget Law, and Possible Cash Violation.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Yes</t>
    </r>
    <r>
      <rPr>
        <sz val="12"/>
        <rFont val="Times New Roman"/>
        <family val="1"/>
      </rPr>
      <t>" appears to indicate a violation.  Another comparison is made for the unencumbered cash balance dec 31 to determine if the fund ended with a negative cash balance and if so, then a "</t>
    </r>
    <r>
      <rPr>
        <b/>
        <sz val="12"/>
        <color indexed="10"/>
        <rFont val="Times New Roman"/>
        <family val="1"/>
      </rPr>
      <t>Yes</t>
    </r>
    <r>
      <rPr>
        <sz val="12"/>
        <rFont val="Times New Roman"/>
        <family val="1"/>
      </rPr>
      <t xml:space="preserve">" will appear for the violation. </t>
    </r>
    <r>
      <rPr>
        <b/>
        <sz val="12"/>
        <rFont val="Times New Roman"/>
        <family val="1"/>
      </rPr>
      <t>No Action is required at this time to correct the violation.</t>
    </r>
    <r>
      <rPr>
        <sz val="12"/>
        <rFont val="Times New Roman"/>
        <family val="1"/>
      </rPr>
      <t xml:space="preserve"> The purpose of this tool is to make you aware of the violation and corrective action should take place to prevent future occurrences. The actual year receipts and expenditures </t>
    </r>
    <r>
      <rPr>
        <b/>
        <u/>
        <sz val="12"/>
        <rFont val="Times New Roman"/>
        <family val="1"/>
      </rPr>
      <t>should always</t>
    </r>
    <r>
      <rPr>
        <sz val="12"/>
        <rFont val="Times New Roman"/>
        <family val="1"/>
      </rPr>
      <t xml:space="preserve"> reflect the events that had taking place even if a violation occurs. </t>
    </r>
  </si>
  <si>
    <t>The following were changed to this spreadsheet on 7/01/08</t>
  </si>
  <si>
    <t>4. Changed foot note to reflect the changes maded on 7/1/08 to the above tabs.</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</si>
  <si>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</si>
  <si>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</si>
  <si>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</si>
  <si>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r>
      <t>9f. The 2 non-budgeted pages (NonBudA to D) each are designed to hold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Neg Bal</t>
    </r>
    <r>
      <rPr>
        <sz val="12"/>
        <rFont val="Times New Roman"/>
        <family val="1"/>
      </rPr>
      <t xml:space="preserve">' under the unencumbered cash balance. </t>
    </r>
    <r>
      <rPr>
        <u/>
        <sz val="12"/>
        <rFont val="Times New Roman"/>
        <family val="1"/>
      </rPr>
      <t>No correction is needed</t>
    </r>
    <r>
      <rPr>
        <sz val="12"/>
        <rFont val="Times New Roman"/>
        <family val="1"/>
      </rPr>
      <t xml:space="preserve">, as the negative balance represents the actual ending balance that occurred. This is only to be used to prevent future negative cash balances so as to not to incur a Cash Basis Violation. </t>
    </r>
  </si>
  <si>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</si>
  <si>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</si>
  <si>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</si>
  <si>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</si>
  <si>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</si>
  <si>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</si>
  <si>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</si>
  <si>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</si>
  <si>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</si>
  <si>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</si>
  <si>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</si>
  <si>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</si>
  <si>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</si>
  <si>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</si>
  <si>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</si>
  <si>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</si>
  <si>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</si>
  <si>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</si>
  <si>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</si>
  <si>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</si>
  <si>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</si>
  <si>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</si>
  <si>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</si>
  <si>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</si>
  <si>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</si>
  <si>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State Use Only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</si>
  <si>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</si>
  <si>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</si>
  <si>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</si>
  <si>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</si>
  <si>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</si>
  <si>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</si>
  <si>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</si>
  <si>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</si>
  <si>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</si>
  <si>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</si>
  <si>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</si>
  <si>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</si>
  <si>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</si>
  <si>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</si>
  <si>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</si>
  <si>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</si>
  <si>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</si>
  <si>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</si>
  <si>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</si>
  <si>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</si>
  <si>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</si>
  <si>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</si>
  <si>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Non-Appropriated Balance</t>
  </si>
  <si>
    <t>Tax Required</t>
  </si>
  <si>
    <t>%</t>
  </si>
  <si>
    <t>Page No.</t>
  </si>
  <si>
    <t>Page Total</t>
  </si>
  <si>
    <t xml:space="preserve">The governing body of </t>
  </si>
  <si>
    <t>and will be available at this hearing.</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</si>
  <si>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</si>
  <si>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</si>
  <si>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</si>
  <si>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</si>
  <si>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</si>
  <si>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</si>
  <si>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</si>
  <si>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</si>
  <si>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</si>
  <si>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</si>
  <si>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</si>
  <si>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</si>
  <si>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</si>
  <si>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</si>
  <si>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</si>
  <si>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</si>
  <si>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</si>
  <si>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</si>
  <si>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</si>
  <si>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</si>
  <si>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</si>
  <si>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Type of Debt</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</si>
  <si>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</si>
  <si>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</si>
  <si>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</si>
  <si>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</si>
  <si>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</si>
  <si>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</si>
  <si>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</si>
  <si>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</si>
  <si>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</si>
  <si>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</si>
  <si>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</si>
  <si>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</si>
  <si>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</si>
  <si>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</si>
  <si>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</si>
  <si>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</si>
  <si>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</si>
  <si>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</si>
  <si>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</si>
  <si>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To print the spreadsheets, you can either print one sheet at a time or all of the sheets at once.</t>
  </si>
  <si>
    <t>Computer Spreadsheet Preparation</t>
  </si>
  <si>
    <t>We, the undersigned,  officers of</t>
  </si>
  <si>
    <t>Received_______________</t>
  </si>
  <si>
    <t>Reviewed by___________</t>
  </si>
  <si>
    <t>Follow-up:  Yes___No___</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</si>
  <si>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</si>
  <si>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</si>
  <si>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</si>
  <si>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</si>
  <si>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</si>
  <si>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</si>
  <si>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</si>
  <si>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OPTIONAL DETAIL PAGE FOR ANY FUND</t>
  </si>
  <si>
    <t>STATEMENT OF INDEBTEDNESS</t>
  </si>
  <si>
    <t>16/20M Veh</t>
  </si>
  <si>
    <t>MVT</t>
  </si>
  <si>
    <t>RVT</t>
  </si>
  <si>
    <t>County Treasurers 16/20M Vehicle Estimate</t>
  </si>
  <si>
    <t>16/20M Vehicle Factor</t>
  </si>
  <si>
    <t>hearing and answering objections of taxpayers relating  to the proposed use of all funds and the amount of ad valorem tax.</t>
  </si>
  <si>
    <t>Amount of Levy</t>
  </si>
  <si>
    <t xml:space="preserve"> 1.</t>
  </si>
  <si>
    <t>+</t>
  </si>
  <si>
    <t>$</t>
  </si>
  <si>
    <t xml:space="preserve"> 2.</t>
  </si>
  <si>
    <t>-</t>
  </si>
  <si>
    <t xml:space="preserve"> 4.</t>
  </si>
  <si>
    <t xml:space="preserve"> 5.</t>
  </si>
  <si>
    <t>5a.</t>
  </si>
  <si>
    <t>12-825d</t>
  </si>
  <si>
    <t>12-1,118</t>
  </si>
  <si>
    <t>12-1-118</t>
  </si>
  <si>
    <t>12-1,117</t>
  </si>
  <si>
    <t>12-197</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</si>
  <si>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</si>
  <si>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</si>
  <si>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</si>
  <si>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</si>
  <si>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</si>
  <si>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</si>
  <si>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</si>
  <si>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</si>
  <si>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</si>
  <si>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</si>
  <si>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</si>
  <si>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</si>
  <si>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</si>
  <si>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</si>
  <si>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</si>
  <si>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</si>
  <si>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</si>
  <si>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</si>
  <si>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</si>
  <si>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</si>
  <si>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</si>
  <si>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</si>
  <si>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</si>
  <si>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</si>
  <si>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</si>
  <si>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</si>
  <si>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</si>
  <si>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</si>
  <si>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</si>
  <si>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</si>
  <si>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</si>
  <si>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</si>
  <si>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</si>
  <si>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</si>
  <si>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</si>
  <si>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</si>
  <si>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</si>
  <si>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</si>
  <si>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</si>
  <si>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</si>
  <si>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</si>
  <si>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</si>
  <si>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</si>
  <si>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</si>
  <si>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</si>
  <si>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</si>
  <si>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</si>
  <si>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</si>
  <si>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Page No. 7</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</si>
  <si>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</si>
  <si>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</si>
  <si>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</si>
  <si>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</si>
  <si>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</si>
  <si>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</si>
  <si>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</si>
  <si>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</si>
  <si>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</si>
  <si>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Page No. 7a</t>
  </si>
  <si>
    <t>7b</t>
  </si>
  <si>
    <t xml:space="preserve">Fund </t>
  </si>
  <si>
    <t>Current</t>
  </si>
  <si>
    <t>Proposed</t>
  </si>
  <si>
    <t>The General fund has a detail page (general-detail) which can be used to disclose more insight of the expenditures by a department.  The expenditures categories can be changed or additional lines can be added if needed.  If used, ensure the amounts agree with the General fund page amounts.</t>
  </si>
  <si>
    <t>City 2 Spreadsheet Instructions</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</si>
  <si>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</si>
  <si>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</si>
  <si>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Current Year Estimate</t>
  </si>
  <si>
    <t>Proposed Budget Year</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</si>
  <si>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</si>
  <si>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</si>
  <si>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</si>
  <si>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</si>
  <si>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</si>
  <si>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</si>
  <si>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</si>
  <si>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</si>
  <si>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</si>
  <si>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</si>
  <si>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</si>
  <si>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</si>
  <si>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</si>
  <si>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Bond &amp; Interest</t>
  </si>
  <si>
    <t>16\20 M Vehicle Tax</t>
  </si>
  <si>
    <t>LAVTR</t>
  </si>
  <si>
    <t>City and County Revenue Sharing</t>
  </si>
  <si>
    <t>Slider</t>
  </si>
  <si>
    <t xml:space="preserve">   </t>
  </si>
  <si>
    <t>Rate used in this budget-this will be shown on all fund pages with a tax levy</t>
  </si>
  <si>
    <t>Enter year being budgeted (YYYY)</t>
  </si>
  <si>
    <t>10-113</t>
  </si>
  <si>
    <t xml:space="preserve">  G.O. Bonds</t>
  </si>
  <si>
    <t xml:space="preserve">  Revenue Bonds</t>
  </si>
  <si>
    <t xml:space="preserve">  Other</t>
  </si>
  <si>
    <t xml:space="preserve">  Lease Purchase Principal</t>
  </si>
  <si>
    <t>Other (non-tax levy) fund names:</t>
  </si>
  <si>
    <t xml:space="preserve">City Official Title: </t>
  </si>
  <si>
    <t xml:space="preserve">Prior Year Actual </t>
  </si>
  <si>
    <t>County Transfers Gas</t>
  </si>
  <si>
    <t>Ad Valorem</t>
  </si>
  <si>
    <t>Tax</t>
  </si>
  <si>
    <t>Beginning Amount</t>
  </si>
  <si>
    <t xml:space="preserve">of </t>
  </si>
  <si>
    <t>Outstanding</t>
  </si>
  <si>
    <t>Retirement</t>
  </si>
  <si>
    <t xml:space="preserve">Total Other </t>
  </si>
  <si>
    <t>Transfers</t>
  </si>
  <si>
    <t xml:space="preserve">Transferred </t>
  </si>
  <si>
    <t>Transferred</t>
  </si>
  <si>
    <t>Amount for</t>
  </si>
  <si>
    <t>Authorized by</t>
  </si>
  <si>
    <t>From:</t>
  </si>
  <si>
    <t>To:</t>
  </si>
  <si>
    <t xml:space="preserve"> Statute</t>
  </si>
  <si>
    <t>Adjustments</t>
  </si>
  <si>
    <t>Adjusted Totals</t>
  </si>
  <si>
    <t xml:space="preserve">Budget Tax Levy Amt </t>
  </si>
  <si>
    <t>Budgeted Fund</t>
  </si>
  <si>
    <t>adopt an ordinance to exceed this limit, publish the ordinance, and</t>
  </si>
  <si>
    <t>attach a copy of the published ordinance to this budget.</t>
  </si>
  <si>
    <t>Non-Budgeted Funds-C</t>
  </si>
  <si>
    <t>Non-Budgeted Funds-D</t>
  </si>
  <si>
    <t>Non-Budgeted Funds-B</t>
  </si>
  <si>
    <t>Non-Budgeted Funds-A</t>
  </si>
  <si>
    <t>Tax Levy Amount</t>
  </si>
  <si>
    <t>Estimate</t>
  </si>
  <si>
    <t xml:space="preserve"> Delinquency Computation % Rate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</si>
  <si>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</si>
  <si>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</si>
  <si>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</si>
  <si>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</si>
  <si>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</si>
  <si>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</si>
  <si>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</si>
  <si>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</si>
  <si>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</si>
  <si>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</si>
  <si>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</si>
  <si>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</si>
  <si>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</si>
  <si>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</si>
  <si>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</si>
  <si>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</si>
  <si>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</si>
  <si>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</si>
  <si>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</si>
  <si>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Read these instructions carefully.  If after reviewing them you still have questions, call Municipal Services at 785-296-2311 or e-mail : armunis@da.ks.gov</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</si>
  <si>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</si>
  <si>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</si>
  <si>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</si>
  <si>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</si>
  <si>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</si>
  <si>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</si>
  <si>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 xml:space="preserve">3.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</si>
  <si>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3a.  If someone other than a municipal employee assists in preparing the budget, please enter the person's or firm's name and address in the area provided. </t>
  </si>
  <si>
    <t>4a. Print the Ordinance page (ordinance) if the max levy is exceeded.  Complete the printed ordinance and have it published.  Ensure the published ordinance is attached to the budget.</t>
  </si>
  <si>
    <t>City 2 spreadsheets has General Fund page (general), Bond &amp; Interest page (bondint), 10 tax levy pages (levy page9 to levy page13), Special Highway page (Sp Hiway), 11 no levy fund pages (nolevypage15 to nolevypage19 with one under the Sp Hiway tab), 4 single no levy pages (SinNoLevy18-SinNolevy21), and 20 non-budgeted fund pages (NonBudA to NonBudB).</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</si>
  <si>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</si>
  <si>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</si>
  <si>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</si>
  <si>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</si>
  <si>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</si>
  <si>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</si>
  <si>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</si>
  <si>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</si>
  <si>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</si>
  <si>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November 1st Total Assessed Valuation</t>
  </si>
  <si>
    <t>4. The information for the Computation to Determine Limit Page (computation) comes from data on the Input Pages (inputpryr and inputOth) and Bond &amp; Interest Page (BondInt). If there is incorrect information on the Computation Page, please correct the source of the information from either the Input Pages or Bond &amp; Interest Page. If you can not correct the error, please call us for assistance.</t>
  </si>
  <si>
    <t>3b.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</si>
  <si>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6. The Schedule of Transfers (transfers) is completed from the individual completed fund pages. Be sure to provide the statute that authorizes the transfer. Before submitting the budget, suggest printing off the Schedule of Transfers page and tracing entries to each fund page.</t>
  </si>
  <si>
    <r>
      <t xml:space="preserve">7.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</si>
  <si>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t>**</t>
  </si>
  <si>
    <t>**Note: The two bold yellow figures should agree.</t>
  </si>
  <si>
    <t>**Note: These two block figures should agree.</t>
  </si>
  <si>
    <t>Transfer-Electric Utility</t>
  </si>
  <si>
    <t>Transfer-Capital Imrov</t>
  </si>
  <si>
    <t>Transfer-VMS Depr/Repl</t>
  </si>
  <si>
    <t>Transfer-Youth Activity</t>
  </si>
  <si>
    <t>Transfer-Aquatic Center</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</si>
  <si>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</si>
  <si>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</si>
  <si>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</si>
  <si>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</si>
  <si>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</si>
  <si>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</si>
  <si>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 xml:space="preserve">8.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</si>
  <si>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9.  The spreadsheet has individual fund sheets for General Fund (general), Bond &amp; Interest (BondInt), four levy pages (levy page8 and levy page9),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</si>
  <si>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t>Outstanding Indebtedness, January 1:</t>
  </si>
  <si>
    <t>If any of the numbers are wrong, change them on this input sheet.</t>
  </si>
  <si>
    <t>Enter the following information from the sources shown.  This information                                              will be entered on the budget forms in the appropriate locations.</t>
  </si>
  <si>
    <t>Police VIN Receipts</t>
  </si>
  <si>
    <t xml:space="preserve">Reimbursements </t>
  </si>
  <si>
    <t>Special Park &amp; Recreation - Contractual</t>
  </si>
  <si>
    <t>From the League of Municipalities' Budget Tips (Special City and County Highway Fund):</t>
  </si>
  <si>
    <t>Attest:_____________________,</t>
  </si>
  <si>
    <t>7. Added four single pages for no tax levy fund page.</t>
  </si>
  <si>
    <t>County Treasurers Slider Estimate</t>
  </si>
  <si>
    <t>Slider Factor</t>
  </si>
  <si>
    <t xml:space="preserve">Cities can use the city.xls, city1.xls, city2.xls, city3.xls or city4.xls files.   You must choose a form that meets the needs for the number of funds.  If you don't need all the funds, just leave the pages blank and number the completed pages sequentially. </t>
  </si>
  <si>
    <t>Allocation of MVT, RVT, 16/20M Veh &amp; Slider</t>
  </si>
  <si>
    <t>Allocation of Motor, Recreational, 16/20M Vehicle Tax &amp; Slider</t>
  </si>
  <si>
    <t>Total Expenditures/Non-Appropriated Bal</t>
  </si>
  <si>
    <t>Funds</t>
  </si>
  <si>
    <t>Budget Authority</t>
  </si>
  <si>
    <t xml:space="preserve">expenditure amounts should reflect the amended </t>
  </si>
  <si>
    <t>expenditure amounts.</t>
  </si>
  <si>
    <r>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r>
    <r>
      <rPr>
        <b/>
        <sz val="12"/>
        <rFont val="Times New Roman"/>
        <family val="1"/>
      </rPr>
      <t>Do not use the copy and move functions on this page.  Do not add or delete lines on this page.</t>
    </r>
  </si>
  <si>
    <r>
      <t xml:space="preserve">Note: Adjustments are only required if the transfer expenditure </t>
    </r>
    <r>
      <rPr>
        <u/>
        <sz val="12"/>
        <rFont val="Times New Roman"/>
        <family val="1"/>
      </rPr>
      <t>is not shown</t>
    </r>
    <r>
      <rPr>
        <sz val="12"/>
        <rFont val="Times New Roman"/>
        <family val="1"/>
      </rPr>
      <t xml:space="preserve"> in the Budget Summary total.</t>
    </r>
  </si>
  <si>
    <t>FUND PAGE</t>
  </si>
  <si>
    <t>Net Valuation Factor:</t>
  </si>
  <si>
    <t>Neighborhood Revitalization Subj to Rebate</t>
  </si>
  <si>
    <t>Neighborhood Revitalization factor</t>
  </si>
  <si>
    <t>Neighborhood Revitalization Rebate</t>
  </si>
  <si>
    <t>Miscellaneous</t>
  </si>
  <si>
    <t>Does miscellaneous exceed 10% of Total Expenditures</t>
  </si>
  <si>
    <t>Does miscellaneous exceed 10% of Total Receipts</t>
  </si>
  <si>
    <r>
      <t xml:space="preserve">10.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</si>
  <si>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t xml:space="preserve">11.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</si>
  <si>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</si>
  <si>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</si>
  <si>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</si>
  <si>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t xml:space="preserve">The County Clerk may still require hard copies of the budget forms, even if they allow for electronic submission.  At a minimum for electronic submission, the County Clerk will need two (2) hard copy forms of the following documents: the Certificate Page (signed by the governing body), the newspaper publication of the 'Notice of Budget Hearing', the affidavit of publication (if the publication does not contain a publication date), and the newspaper publication of the ordinance to exceed the computed levy limit (if needed). </t>
  </si>
  <si>
    <t>3 Yrs</t>
  </si>
  <si>
    <t>Street Sweeper</t>
  </si>
  <si>
    <t>Code Enforcement</t>
  </si>
  <si>
    <t xml:space="preserve">  Transfer - Sales Tax Bond Surplus</t>
  </si>
  <si>
    <t>Cost of Issuance</t>
  </si>
  <si>
    <t>Rental - Land</t>
  </si>
  <si>
    <t>Sale of Bonds</t>
  </si>
  <si>
    <t>Wireless Service Calls</t>
  </si>
  <si>
    <t>Interlocal Agmt Pmts</t>
  </si>
  <si>
    <t>Non-Budgeted (E):</t>
  </si>
  <si>
    <t xml:space="preserve">Stormwater Depr/Repl </t>
  </si>
  <si>
    <t>Transfer-SW Utility</t>
  </si>
  <si>
    <t>NON-BUDGETED FUNDS (E)</t>
  </si>
  <si>
    <t>Non-Budgeted Funds-E</t>
  </si>
  <si>
    <t>Veterans Memorial Depr/Repl</t>
  </si>
  <si>
    <t>Sale of Property/Scrap/Equipment</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</si>
  <si>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Do not use the copy and move functions on this page.   Do not add or delete lines on this page</t>
    </r>
    <r>
      <rPr>
        <sz val="12"/>
        <rFont val="Times New Roman"/>
        <family val="1"/>
      </rPr>
      <t>.</t>
    </r>
  </si>
  <si>
    <r>
      <t xml:space="preserve">Budgets are required to be sent to the County Clerk </t>
    </r>
    <r>
      <rPr>
        <b/>
        <sz val="12"/>
        <rFont val="Times New Roman"/>
        <family val="1"/>
      </rPr>
      <t>by August 25</t>
    </r>
    <r>
      <rPr>
        <sz val="12"/>
        <rFont val="Times New Roman"/>
        <family val="1"/>
      </rPr>
      <t xml:space="preserve"> of each year. </t>
    </r>
  </si>
  <si>
    <r>
      <t xml:space="preserve">Paper submission of the budget, you will need to send two (2) copies of the completed budgets to your County Clerk Office. The County Clerk may also accept budgets in an electronic format, please contact your County Clerk directly for specific instructions and requirements.  Municipal Services will accept electric budgets on 3.5 computer disk, CD, or as an attachment to an email.  If submitting by email, please mail to the following address: </t>
    </r>
    <r>
      <rPr>
        <u/>
        <sz val="12"/>
        <rFont val="Times New Roman"/>
        <family val="1"/>
      </rPr>
      <t>armunis@da.ks.gov</t>
    </r>
    <r>
      <rPr>
        <sz val="12"/>
        <rFont val="Times New Roman"/>
        <family val="1"/>
      </rPr>
      <t xml:space="preserve">  </t>
    </r>
  </si>
  <si>
    <t>5.  Motor Vehicle and Slider Allocation (mvalloc) are completed from information entered on the input pages (inputpryr and inputoth).  Once calculated, the table information is linked to the applicable fund pages. If the information is not correct, please do not change the table, but rather correct the information on the input pages.</t>
  </si>
  <si>
    <t>Bond Payment - Interest</t>
  </si>
  <si>
    <t>Bond Payment - Principal</t>
  </si>
  <si>
    <t>Transfer - Gen Fund (Admin)-Water Utility</t>
  </si>
  <si>
    <t>Transfer - Gen Fund (Admin)-Wastewater Utility</t>
  </si>
  <si>
    <t>Water/Wastewater Utility  (Water)</t>
  </si>
  <si>
    <t>Water/Wastewater Utility (Wastewater)</t>
  </si>
  <si>
    <t>SB417 Funds</t>
  </si>
  <si>
    <r>
      <t xml:space="preserve">6a. Transfers total are at the bottom of the schedule which are linked to the Budget Summary page. Adjustments are needed to reduce the expenditures when the expenditure transfer </t>
    </r>
    <r>
      <rPr>
        <b/>
        <sz val="12"/>
        <rFont val="Times New Roman"/>
        <family val="1"/>
      </rPr>
      <t>does</t>
    </r>
    <r>
      <rPr>
        <sz val="12"/>
        <rFont val="Times New Roman"/>
        <family val="1"/>
      </rPr>
      <t xml:space="preserve"> not appear in the total for the Budget Summary.</t>
    </r>
  </si>
  <si>
    <t>Enter City Name (City of)</t>
  </si>
  <si>
    <t>Enter County Name followed by "County"</t>
  </si>
  <si>
    <t xml:space="preserve">Water/Wastewater Utility </t>
  </si>
  <si>
    <t>Sales Tax Bond Debt Svc</t>
  </si>
  <si>
    <t>USD #445 Sales Tax</t>
  </si>
  <si>
    <t xml:space="preserve">Electric Surplus  </t>
  </si>
  <si>
    <t>Wtr/WW Depr/Repl</t>
  </si>
  <si>
    <t>Stormwater Depr/Repl</t>
  </si>
  <si>
    <t>Wtr/WW Debt Svc</t>
  </si>
  <si>
    <t>Electric Depr/Repl</t>
  </si>
  <si>
    <t>Electric Surplus</t>
  </si>
  <si>
    <t>Electric Debt Svc</t>
  </si>
  <si>
    <t>Transfer - Electric Utility</t>
  </si>
  <si>
    <t>Sale of Electricity</t>
  </si>
  <si>
    <t>Pole Rental</t>
  </si>
  <si>
    <t xml:space="preserve">Transfer - Electric Depr/Repl </t>
  </si>
  <si>
    <t>Transfer - General Fund (Admin)</t>
  </si>
  <si>
    <t>Transfer - General Fund (Franchise)</t>
  </si>
  <si>
    <t>Transfer - Electric Debt Service</t>
  </si>
  <si>
    <t>Wholesale Capacity &amp; Energy</t>
  </si>
  <si>
    <t>Transfer - Local Alcohol Liquor</t>
  </si>
  <si>
    <r>
      <t xml:space="preserve">11a. The first green shaded area, you will need to enter the date, month, change the 'YYYY' to the current year, time, and location of the budget hearing.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</si>
  <si>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11b. The second green shaded area, you will to provide the location where the budget information will be available for review.</t>
  </si>
  <si>
    <t>11c. The third green shaded area, provide the title of person that will be signing the form.</t>
  </si>
  <si>
    <t>11d. The fourth green shaded area, enter the page number.</t>
  </si>
  <si>
    <t xml:space="preserve">11e. Before printing, review the form to ensure all the information is provided and the figures are correct. Print the page, have official sign it, and take to the local newspaper for printing. </t>
  </si>
  <si>
    <t>11f.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</si>
  <si>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12.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</si>
  <si>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t>Cash Balance Jan 1</t>
  </si>
  <si>
    <t>***If you are merely leasing/renting with no intent to purchase, do not list--such transactions are not lease-purchases.</t>
  </si>
  <si>
    <t>Employee Benefits</t>
  </si>
  <si>
    <t>21. Added four single no levy fund pages and 4 non-budgeted pages.</t>
  </si>
  <si>
    <t>22. Added question on Certificate page about the ordinance.</t>
  </si>
  <si>
    <t>23. Added note to the non-budgeted fund pages to ensure the amounts agree.</t>
  </si>
  <si>
    <t>Capital Development</t>
  </si>
  <si>
    <t>Budgeted Payments</t>
  </si>
  <si>
    <t>Benefits</t>
  </si>
  <si>
    <t>Maintenance</t>
  </si>
  <si>
    <t>Coffeyville Police Department</t>
  </si>
  <si>
    <t>Special Park &amp; Recreation - City</t>
  </si>
  <si>
    <t xml:space="preserve">Four County </t>
  </si>
  <si>
    <t>ADSAP</t>
  </si>
  <si>
    <t>Youth Activity Center</t>
  </si>
  <si>
    <t>Industrial Levy Fund</t>
  </si>
  <si>
    <t>Rent - Building</t>
  </si>
  <si>
    <t xml:space="preserve">Other </t>
  </si>
  <si>
    <t>Reimbursements</t>
  </si>
  <si>
    <t>Transfer - General Fund</t>
  </si>
  <si>
    <t xml:space="preserve">  Transfer - USD 445 Sales Tax Fund</t>
  </si>
  <si>
    <t xml:space="preserve">  Transfer - CRMC Sales Tax Fund</t>
  </si>
  <si>
    <t xml:space="preserve">  Transfer - Capital Equipment Fund</t>
  </si>
  <si>
    <t xml:space="preserve">  Transfer - Capital Improvements</t>
  </si>
  <si>
    <t xml:space="preserve">  Transfer - Aquatic Center</t>
  </si>
  <si>
    <t xml:space="preserve">  Transfer - Sales Tax Debt Service</t>
  </si>
  <si>
    <t>Personnel Services</t>
  </si>
  <si>
    <t>Contractual Services</t>
  </si>
  <si>
    <t>Contractual</t>
  </si>
  <si>
    <t>Commodities</t>
  </si>
  <si>
    <t>Capital Outlay</t>
  </si>
  <si>
    <t>Loan Principal</t>
  </si>
  <si>
    <t>Loan Interest</t>
  </si>
  <si>
    <t>Free Land Deposits</t>
  </si>
  <si>
    <t>Cash Forfeitures</t>
  </si>
  <si>
    <t xml:space="preserve">Contractual </t>
  </si>
  <si>
    <t>VIN Receipts</t>
  </si>
  <si>
    <t>Sales-Cemetery Lots</t>
  </si>
  <si>
    <t>FAA Grant Revenue</t>
  </si>
  <si>
    <t>Transfer-General Fund</t>
  </si>
  <si>
    <t>Reimb/Refunds</t>
  </si>
  <si>
    <t>Health Ins Premiums</t>
  </si>
  <si>
    <t>Life Ins Premiums</t>
  </si>
  <si>
    <t>Reinsurance/Premiums</t>
  </si>
  <si>
    <t>Rent - Building &amp; Land</t>
  </si>
  <si>
    <t>Sale of Equipment</t>
  </si>
  <si>
    <t>Driving Range</t>
  </si>
  <si>
    <t>Concessions/Pro Shop</t>
  </si>
  <si>
    <t>Cart Shed Rent</t>
  </si>
  <si>
    <t>Transfer - Electric Surplus</t>
  </si>
  <si>
    <t>Capital Improvements</t>
  </si>
  <si>
    <t>Liquor Control Enforcement</t>
  </si>
  <si>
    <t>Grants</t>
  </si>
  <si>
    <t>Admissions</t>
  </si>
  <si>
    <t>Concessions</t>
  </si>
  <si>
    <t>Reimbursements/Refunds</t>
  </si>
  <si>
    <t>911 Revenue</t>
  </si>
  <si>
    <t>Transfer-Elect. Surplus</t>
  </si>
  <si>
    <t>ED Loans</t>
  </si>
  <si>
    <t>Parking Fees</t>
  </si>
  <si>
    <t>Utility Sales</t>
  </si>
  <si>
    <t>Wireless Installs</t>
  </si>
  <si>
    <t>Transfer - Stormwater Depr/Repl</t>
  </si>
  <si>
    <t>Transfer - Wtr/WW Utility</t>
  </si>
  <si>
    <t>Transfer-Wtr Utility</t>
  </si>
  <si>
    <t>Transfer-WW Utility</t>
  </si>
  <si>
    <t>Water Sales</t>
  </si>
  <si>
    <t>Wastewater Revenues</t>
  </si>
  <si>
    <t>Sale of Equipment/Scrap</t>
  </si>
  <si>
    <t>Reimbursement/Refunds</t>
  </si>
  <si>
    <t>Operating Fees</t>
  </si>
  <si>
    <t>Late Payment Fees</t>
  </si>
  <si>
    <t>Turn On/Turn Off</t>
  </si>
  <si>
    <t xml:space="preserve">Transfer-Hillcrest Golf </t>
  </si>
  <si>
    <t>Water Protection Fees</t>
  </si>
  <si>
    <t>Tap &amp; Box Fees</t>
  </si>
  <si>
    <t>Turn On/Turn Off Fees</t>
  </si>
  <si>
    <t>Wastewater Disposal Fees</t>
  </si>
  <si>
    <t>Industrial Wastewater Permits</t>
  </si>
  <si>
    <t>Charter</t>
  </si>
  <si>
    <t>Liquor Control Disbursement (1/3) - Spec. Parks &amp; Rec.</t>
  </si>
  <si>
    <t>Local Alcoholic Liquor (1/3)</t>
  </si>
  <si>
    <t>Liquor Control Disbursement (1/3) - Spec. Alcohol &amp; Drug:</t>
  </si>
  <si>
    <t xml:space="preserve">          - Four County (20%)</t>
  </si>
  <si>
    <t xml:space="preserve">          - ADSAP (20%)</t>
  </si>
  <si>
    <t>Economic Dev. &amp; Community Dev. Loan Principal</t>
  </si>
  <si>
    <t>Econonic Dev. &amp; Community Dev. Loan Interest</t>
  </si>
  <si>
    <t>Transfer - Gen Fund (Franchise)</t>
  </si>
  <si>
    <t>Transfer - Wat/WW Depr/Repl</t>
  </si>
  <si>
    <t>Transfer - Wat/WW Debt Service</t>
  </si>
  <si>
    <t>Finance Director</t>
  </si>
  <si>
    <t>PO Box 1629</t>
  </si>
  <si>
    <t>Coffeyville, KS 67337</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</si>
  <si>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</si>
  <si>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</si>
  <si>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</si>
  <si>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</si>
  <si>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</si>
  <si>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</si>
  <si>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</si>
  <si>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</si>
  <si>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</si>
  <si>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9a. General Detail page 7a (general-detail) is used to show detail expenditures for the General Fund Departments.  If used, you will need to input each department name and expenditures and then input the department name and total expenditures on the General Fund page 7. NO department transfers should be shown on the detail page. Transfers for the departments with like transfers should be added together and then shown on the General Fund page 7 as single line items. For example: if several departments have a transfer for equipment reserve, the total of all equipment reserve transfers should be shown on the General Fund page 7 as 'Transfer to Equipment Reserve' for each budgeted year.</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</si>
  <si>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</si>
  <si>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</si>
  <si>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</si>
  <si>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</si>
  <si>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</si>
  <si>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</si>
  <si>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</si>
  <si>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</si>
  <si>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</si>
  <si>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</si>
  <si>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Bond Interest</t>
  </si>
  <si>
    <t>Bond Principal</t>
  </si>
  <si>
    <t>Lease Purchase Interest</t>
  </si>
  <si>
    <r>
      <t xml:space="preserve">9b.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</si>
  <si>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9c.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</si>
  <si>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 xml:space="preserve">9d. The Bond &amp; Interest fund page (BondInt) can contain all debts owe by the city and the amounts should agree with the Statement of Indebtedness amounts.  Debts that </t>
    </r>
    <r>
      <rPr>
        <b/>
        <u/>
        <sz val="12"/>
        <rFont val="Times New Roman"/>
        <family val="1"/>
      </rPr>
      <t>are not from</t>
    </r>
    <r>
      <rPr>
        <sz val="12"/>
        <rFont val="Times New Roman"/>
        <family val="1"/>
      </rPr>
      <t xml:space="preserve"> a tax levy fund should have enough funds transferred into the Bond &amp; Interest fund to cover the bond principle and interest for these debts.</t>
    </r>
  </si>
  <si>
    <t xml:space="preserve">9e. The 4 single on levy pages (SinNoLevy18 to SinNoLevy21) are for a fund that has numerous lines for receipts or expenditures that does not fit on one of the other no levy pages.  Additional lines may be added as needed. </t>
  </si>
  <si>
    <t>9g. The non-budgeted pages in the last column, the last two boxes should have the same figures as the last box take totals from the right side with the next to last box takes totals from the bottom.</t>
  </si>
  <si>
    <t>Library</t>
  </si>
  <si>
    <t>Montgomery</t>
  </si>
  <si>
    <t>Local Alcohol Liquor</t>
  </si>
  <si>
    <t>Community Development</t>
  </si>
  <si>
    <t>Police VIN</t>
  </si>
  <si>
    <t>Memorial Hall Building</t>
  </si>
  <si>
    <t>Airport</t>
  </si>
  <si>
    <t>Hillcrest Golf Course</t>
  </si>
  <si>
    <t>Aquatic Center</t>
  </si>
  <si>
    <t>City Commission</t>
  </si>
  <si>
    <t>City Manager</t>
  </si>
  <si>
    <t>Legal</t>
  </si>
  <si>
    <t>Finance</t>
  </si>
  <si>
    <t>City Treasurer</t>
  </si>
  <si>
    <t>Collections</t>
  </si>
  <si>
    <t>Personnel</t>
  </si>
  <si>
    <t>Police</t>
  </si>
  <si>
    <t>Sales Tax - Series 2008</t>
  </si>
  <si>
    <t>3.0 - 3.75%</t>
  </si>
  <si>
    <t>Revolving Loan Funds</t>
  </si>
  <si>
    <t>Trail Fee, Cart Fees &amp; Pull Fees</t>
  </si>
  <si>
    <t>Tournament Fees</t>
  </si>
  <si>
    <t>Animal Control</t>
  </si>
  <si>
    <t>Fire</t>
  </si>
  <si>
    <t>Engineering</t>
  </si>
  <si>
    <t>City Hall</t>
  </si>
  <si>
    <t>Other City Buildings</t>
  </si>
  <si>
    <t>Non-Departmental</t>
  </si>
  <si>
    <t>P &amp; Z Commission</t>
  </si>
  <si>
    <t>Sr Citizens Building</t>
  </si>
  <si>
    <t>City Recreation Building</t>
  </si>
  <si>
    <t>Public Service - Administration</t>
  </si>
  <si>
    <t>Public Service - Streets &amp; Alleys</t>
  </si>
  <si>
    <t>Capital Improvement</t>
  </si>
  <si>
    <t>Capital Equipment</t>
  </si>
  <si>
    <t>Economic Development</t>
  </si>
  <si>
    <t>7c</t>
  </si>
  <si>
    <t>7d</t>
  </si>
  <si>
    <t>7e</t>
  </si>
  <si>
    <t>Sales Tax Bond Debt Service</t>
  </si>
  <si>
    <t xml:space="preserve">USD 445 Sales Tax </t>
  </si>
  <si>
    <t>CRMC Sales Tax</t>
  </si>
  <si>
    <t>Electric Debt Service</t>
  </si>
  <si>
    <t>Water/Wastewater Debt Service</t>
  </si>
  <si>
    <t>Refuse Utility</t>
  </si>
  <si>
    <t>Internet Utility</t>
  </si>
  <si>
    <t>Stormwater Utility</t>
  </si>
  <si>
    <t>Electric Utility</t>
  </si>
  <si>
    <t>Water/Wastewater Utility</t>
  </si>
  <si>
    <t>Drug Forfeitures</t>
  </si>
  <si>
    <t>Perpetual Care</t>
  </si>
  <si>
    <t>Airport Special Projects</t>
  </si>
  <si>
    <t>Risk Management</t>
  </si>
  <si>
    <t>Aquatic Center Depr/Repl</t>
  </si>
  <si>
    <t>Hillcrest Golf Course Depr/Repl</t>
  </si>
  <si>
    <t>Miscellaneous Projects</t>
  </si>
  <si>
    <t>Law Enforcement Projects</t>
  </si>
  <si>
    <t>Emergency 911 System</t>
  </si>
  <si>
    <t>Sales Tax Bond Reserve</t>
  </si>
  <si>
    <t>BDTC Depr/Repl</t>
  </si>
  <si>
    <t>VMS Depr/Repl</t>
  </si>
  <si>
    <t>Veterans Memorial Stadium (VMS)</t>
  </si>
  <si>
    <t>Business Dev. Training Center (BDTC)</t>
  </si>
  <si>
    <t>Refuse Utility Depr/Repl</t>
  </si>
  <si>
    <t>Electric Utility Depr/Repl</t>
  </si>
  <si>
    <t xml:space="preserve">Electric Utility Surplus </t>
  </si>
  <si>
    <t>Electric Utility Bond Reserve</t>
  </si>
  <si>
    <t>Electric Bond Projects</t>
  </si>
  <si>
    <t>Water/Wastewater Depr/Repl</t>
  </si>
  <si>
    <t>Detailed budget information is available through the City Clerk's Office</t>
  </si>
  <si>
    <t>City of Coffeyville</t>
  </si>
  <si>
    <t>6/1, 12/1</t>
  </si>
  <si>
    <t xml:space="preserve">Electric Refunding Bonds - </t>
  </si>
  <si>
    <t xml:space="preserve">                 Series 2004-B</t>
  </si>
  <si>
    <t>2.7 - 4.7%</t>
  </si>
  <si>
    <t>5/1, 11/1</t>
  </si>
  <si>
    <t>3/1, 9/1</t>
  </si>
  <si>
    <t>2/1, 8/1</t>
  </si>
  <si>
    <t>KWPCRLF Loan C20-1471-01</t>
  </si>
  <si>
    <t>KWPCRLF Loan C20-1252-01</t>
  </si>
  <si>
    <t>KWPCRLF Loan C20-1252-02</t>
  </si>
  <si>
    <t xml:space="preserve">2 Blackstart Generators for </t>
  </si>
  <si>
    <t xml:space="preserve">     Electric Utility</t>
  </si>
  <si>
    <t>20 Yrs</t>
  </si>
  <si>
    <t>Vehicle Rental Excise Tax</t>
  </si>
  <si>
    <t>Nuisance Tax (Weed Lots/Demo)</t>
  </si>
  <si>
    <t>City Sales Tax</t>
  </si>
  <si>
    <t>Cemetery Lots</t>
  </si>
  <si>
    <t>Transfer - Water In Lieu of Franchise</t>
  </si>
  <si>
    <t>Franchise - Gas</t>
  </si>
  <si>
    <t>Franchise - Telephone</t>
  </si>
  <si>
    <t>Franchise - Cable TV</t>
  </si>
  <si>
    <t>Transfer - Elec In Lieu of Franchise</t>
  </si>
  <si>
    <t>Grave Openings</t>
  </si>
  <si>
    <t>Transfer - Wastewater (Admin Reimb)</t>
  </si>
  <si>
    <t>Transfer - Electric (Admin Reimb)</t>
  </si>
  <si>
    <t>Transfer - Water (Admin Reimb)</t>
  </si>
  <si>
    <t>Admin Fees - Investments</t>
  </si>
  <si>
    <t>Admin Fees - Econ Dev Loans</t>
  </si>
  <si>
    <t>Gasoline Tax</t>
  </si>
  <si>
    <t>Highway Connecting Links</t>
  </si>
  <si>
    <t>Highway Aid Through County</t>
  </si>
  <si>
    <t>Building/Facility Rent</t>
  </si>
  <si>
    <t>Licenses/Permits/Fees/Fines</t>
  </si>
  <si>
    <t>Land Rental</t>
  </si>
  <si>
    <t>Donations</t>
  </si>
  <si>
    <t>Sale of Property, Scrap &amp; Equipment</t>
  </si>
  <si>
    <t xml:space="preserve">  Personnel Services</t>
  </si>
  <si>
    <t>General Fund - Detail Expend</t>
  </si>
  <si>
    <r>
      <t xml:space="preserve">9h.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 figure.</t>
    </r>
  </si>
  <si>
    <t>Flood/FEMA  Reimb</t>
  </si>
  <si>
    <t>Emergency 911  System</t>
  </si>
  <si>
    <t>Alcohol &amp; Safety</t>
  </si>
  <si>
    <t>Bond &amp; Interest Fund</t>
  </si>
  <si>
    <t>79-2958</t>
  </si>
  <si>
    <t>KPWSLF Loan 2583 - ARRA</t>
  </si>
  <si>
    <t>Transfer - Alcohol &amp; Drug Safety Fund</t>
  </si>
  <si>
    <t>Transfer - Miscellaneous Projects Fund</t>
  </si>
  <si>
    <t>Information Technology</t>
  </si>
  <si>
    <t xml:space="preserve">  Transfer - Airport Spec. Proj. </t>
  </si>
  <si>
    <t>Transfer - Water/Wastewater Utility</t>
  </si>
  <si>
    <t xml:space="preserve">          - MG County Big Brothers/Big Sisters (20%)</t>
  </si>
  <si>
    <t xml:space="preserve">          - Police Department (40%)</t>
  </si>
  <si>
    <t>MG County Big Brothers/Big Sisters</t>
  </si>
  <si>
    <t>Insurance Claim Receipt</t>
  </si>
  <si>
    <t>Insurance Claim Receipts</t>
  </si>
  <si>
    <t>Transfer - Bond &amp; Interest</t>
  </si>
  <si>
    <t>Transfer-Misc Projects</t>
  </si>
  <si>
    <t>Refunds</t>
  </si>
  <si>
    <t>Transfer-Elect Surplus</t>
  </si>
  <si>
    <t>Sale of Property</t>
  </si>
  <si>
    <t>Don Edwards, Commissioner</t>
  </si>
  <si>
    <t>for Expenditures</t>
  </si>
  <si>
    <t>Water/Wastewater Restricted Reserve</t>
  </si>
  <si>
    <t>David L. George, Mayor</t>
  </si>
  <si>
    <t>Virgil O. Horn, Vice Mayor</t>
  </si>
  <si>
    <t>Jim Falkner, Commissioner</t>
  </si>
  <si>
    <t>Pam Jones, Commissioner</t>
  </si>
  <si>
    <t xml:space="preserve">Infrastructure - Series 2011-A </t>
  </si>
  <si>
    <t>2.25 - 4.125%</t>
  </si>
  <si>
    <t>Electric Revenue Bond - Series 2011-A</t>
  </si>
  <si>
    <t>12/21/11</t>
  </si>
  <si>
    <t>6/1/2023</t>
  </si>
  <si>
    <t>4.0 - 4.2%</t>
  </si>
  <si>
    <t>Revenue In Lieu of Tax</t>
  </si>
  <si>
    <t>Annual Pass &amp; Green Fees</t>
  </si>
  <si>
    <t>Transfer - Wat/WW Restricted Reserve</t>
  </si>
  <si>
    <t>T/F-General Fund</t>
  </si>
  <si>
    <t>Insurance Claim Rcpt</t>
  </si>
  <si>
    <t>Transfer-W/WW Depr/Repl</t>
  </si>
  <si>
    <t>Transfer-Capital Equipment</t>
  </si>
  <si>
    <t>Transfer-Emergency 911</t>
  </si>
  <si>
    <t>Water/Wastewater Utility (Water)</t>
  </si>
  <si>
    <t>Wtr/WW Restricted Reserve Fund</t>
  </si>
  <si>
    <t>will meet on the 14th day of August, 2012, at 6:30 p.m. at City Hall, 7th &amp; Walnut in the Commission Room for the purpose of</t>
  </si>
</sst>
</file>

<file path=xl/styles.xml><?xml version="1.0" encoding="utf-8"?>
<styleSheet xmlns="http://schemas.openxmlformats.org/spreadsheetml/2006/main">
  <numFmts count="12">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0.000"/>
  </numFmts>
  <fonts count="25">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0"/>
      <name val="Times New Roman"/>
      <family val="1"/>
    </font>
    <font>
      <sz val="11"/>
      <name val="Times New Roman"/>
      <family val="1"/>
    </font>
    <font>
      <sz val="9"/>
      <name val="Times New Roman"/>
      <family val="1"/>
    </font>
    <font>
      <sz val="8"/>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8"/>
      <color indexed="10"/>
      <name val="Times New Roman"/>
      <family val="1"/>
    </font>
    <font>
      <sz val="8"/>
      <color indexed="81"/>
      <name val="Tahoma"/>
      <family val="2"/>
    </font>
    <font>
      <b/>
      <sz val="8"/>
      <color indexed="81"/>
      <name val="Tahoma"/>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41"/>
        <bgColor indexed="64"/>
      </patternFill>
    </fill>
    <fill>
      <patternFill patternType="solid">
        <fgColor indexed="35"/>
        <bgColor indexed="64"/>
      </patternFill>
    </fill>
    <fill>
      <patternFill patternType="solid">
        <fgColor indexed="10"/>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rgb="FF00FF0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bottom/>
      <diagonal/>
    </border>
  </borders>
  <cellStyleXfs count="5">
    <xf numFmtId="0" fontId="0"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482">
    <xf numFmtId="0" fontId="0" fillId="0" borderId="0" xfId="0"/>
    <xf numFmtId="0" fontId="3" fillId="0" borderId="0" xfId="0" applyFont="1" applyAlignment="1">
      <alignment horizontal="center"/>
    </xf>
    <xf numFmtId="0" fontId="4" fillId="0" borderId="0" xfId="0" applyFont="1"/>
    <xf numFmtId="0" fontId="4" fillId="0" borderId="0" xfId="0" applyFont="1" applyAlignment="1" applyProtection="1">
      <alignment horizontal="left" wrapText="1"/>
    </xf>
    <xf numFmtId="0" fontId="4" fillId="0" borderId="0" xfId="0" applyFont="1" applyAlignment="1">
      <alignment horizontal="left"/>
    </xf>
    <xf numFmtId="0" fontId="4" fillId="0" borderId="0" xfId="0" applyFont="1" applyAlignment="1">
      <alignment wrapText="1"/>
    </xf>
    <xf numFmtId="0" fontId="4" fillId="0" borderId="0" xfId="0" applyFont="1" applyAlignment="1" applyProtection="1">
      <alignment wrapText="1"/>
    </xf>
    <xf numFmtId="0" fontId="4" fillId="0" borderId="0" xfId="0" applyFont="1" applyProtection="1">
      <protection locked="0"/>
    </xf>
    <xf numFmtId="0" fontId="4" fillId="2" borderId="1" xfId="0" applyFont="1" applyFill="1" applyBorder="1" applyProtection="1">
      <protection locked="0"/>
    </xf>
    <xf numFmtId="3" fontId="4" fillId="2" borderId="1" xfId="0" applyNumberFormat="1" applyFont="1" applyFill="1" applyBorder="1" applyProtection="1">
      <protection locked="0"/>
    </xf>
    <xf numFmtId="164" fontId="4" fillId="2" borderId="1" xfId="0" applyNumberFormat="1" applyFont="1" applyFill="1" applyBorder="1" applyProtection="1">
      <protection locked="0"/>
    </xf>
    <xf numFmtId="37" fontId="4" fillId="0" borderId="0" xfId="0" applyNumberFormat="1" applyFont="1" applyProtection="1">
      <protection locked="0"/>
    </xf>
    <xf numFmtId="0" fontId="4" fillId="3" borderId="2" xfId="0" applyFont="1" applyFill="1" applyBorder="1" applyProtection="1">
      <protection locked="0"/>
    </xf>
    <xf numFmtId="0" fontId="4" fillId="0" borderId="0" xfId="0" applyFont="1" applyAlignment="1">
      <alignment horizontal="centerContinuous"/>
    </xf>
    <xf numFmtId="37" fontId="4" fillId="2" borderId="1" xfId="0" applyNumberFormat="1" applyFont="1" applyFill="1" applyBorder="1" applyProtection="1">
      <protection locked="0"/>
    </xf>
    <xf numFmtId="0" fontId="4" fillId="2" borderId="1" xfId="0" applyFont="1" applyFill="1" applyBorder="1" applyAlignment="1" applyProtection="1">
      <alignment horizontal="left"/>
      <protection locked="0"/>
    </xf>
    <xf numFmtId="0" fontId="4" fillId="3" borderId="0" xfId="0" applyFont="1" applyFill="1" applyProtection="1">
      <protection locked="0"/>
    </xf>
    <xf numFmtId="3" fontId="4" fillId="3" borderId="1" xfId="0" applyNumberFormat="1" applyFont="1" applyFill="1" applyBorder="1" applyProtection="1">
      <protection locked="0"/>
    </xf>
    <xf numFmtId="37" fontId="4" fillId="3" borderId="1" xfId="0" applyNumberFormat="1" applyFont="1" applyFill="1" applyBorder="1" applyProtection="1">
      <protection locked="0"/>
    </xf>
    <xf numFmtId="0" fontId="6" fillId="0" borderId="0" xfId="0" applyFont="1"/>
    <xf numFmtId="0" fontId="4" fillId="4" borderId="2" xfId="0" applyFont="1" applyFill="1" applyBorder="1" applyProtection="1"/>
    <xf numFmtId="0" fontId="4" fillId="4" borderId="0" xfId="0" applyFont="1" applyFill="1" applyProtection="1"/>
    <xf numFmtId="37" fontId="3" fillId="4" borderId="0" xfId="0" applyNumberFormat="1" applyFont="1" applyFill="1" applyAlignment="1" applyProtection="1">
      <alignment horizontal="left"/>
    </xf>
    <xf numFmtId="0" fontId="4" fillId="4" borderId="0" xfId="0" applyFont="1" applyFill="1" applyAlignment="1" applyProtection="1">
      <alignment horizontal="right"/>
    </xf>
    <xf numFmtId="37" fontId="4" fillId="4" borderId="0" xfId="0" applyNumberFormat="1" applyFont="1" applyFill="1" applyAlignment="1" applyProtection="1">
      <alignment horizontal="right"/>
    </xf>
    <xf numFmtId="37" fontId="4" fillId="4" borderId="0" xfId="0" applyNumberFormat="1" applyFont="1" applyFill="1" applyAlignment="1" applyProtection="1">
      <alignment horizontal="left"/>
    </xf>
    <xf numFmtId="37" fontId="4" fillId="4" borderId="0" xfId="0" applyNumberFormat="1" applyFont="1" applyFill="1" applyAlignment="1" applyProtection="1">
      <alignment horizontal="centerContinuous"/>
    </xf>
    <xf numFmtId="0" fontId="4" fillId="4" borderId="0" xfId="0" applyFont="1" applyFill="1" applyAlignment="1" applyProtection="1">
      <alignment horizontal="centerContinuous"/>
    </xf>
    <xf numFmtId="37" fontId="4" fillId="4" borderId="3" xfId="0" applyNumberFormat="1" applyFont="1" applyFill="1" applyBorder="1" applyAlignment="1" applyProtection="1">
      <alignment horizontal="centerContinuous"/>
    </xf>
    <xf numFmtId="0" fontId="4" fillId="4" borderId="4" xfId="0" applyFont="1" applyFill="1" applyBorder="1" applyAlignment="1" applyProtection="1">
      <alignment horizontal="centerContinuous"/>
    </xf>
    <xf numFmtId="0" fontId="4" fillId="4" borderId="5" xfId="0" applyFont="1" applyFill="1" applyBorder="1" applyAlignment="1" applyProtection="1">
      <alignment horizontal="centerContinuous"/>
    </xf>
    <xf numFmtId="37" fontId="4" fillId="4" borderId="2" xfId="0" applyNumberFormat="1" applyFont="1" applyFill="1" applyBorder="1" applyAlignment="1" applyProtection="1">
      <alignment horizontal="fill"/>
    </xf>
    <xf numFmtId="37" fontId="4" fillId="4" borderId="6" xfId="0" applyNumberFormat="1" applyFont="1" applyFill="1" applyBorder="1" applyAlignment="1" applyProtection="1">
      <alignment horizontal="left"/>
    </xf>
    <xf numFmtId="37" fontId="4" fillId="4" borderId="6" xfId="0" applyNumberFormat="1" applyFont="1" applyFill="1" applyBorder="1" applyAlignment="1" applyProtection="1">
      <alignment horizontal="center"/>
    </xf>
    <xf numFmtId="37" fontId="4" fillId="4" borderId="7" xfId="0" applyNumberFormat="1" applyFont="1" applyFill="1" applyBorder="1" applyAlignment="1" applyProtection="1">
      <alignment horizontal="center"/>
    </xf>
    <xf numFmtId="37" fontId="3" fillId="4" borderId="2" xfId="0" applyNumberFormat="1" applyFont="1" applyFill="1" applyBorder="1" applyAlignment="1" applyProtection="1">
      <alignment horizontal="left"/>
    </xf>
    <xf numFmtId="37" fontId="4" fillId="4" borderId="8" xfId="0" applyNumberFormat="1" applyFont="1" applyFill="1" applyBorder="1" applyAlignment="1" applyProtection="1">
      <alignment horizontal="center"/>
    </xf>
    <xf numFmtId="37" fontId="4" fillId="4" borderId="3" xfId="0" applyNumberFormat="1" applyFont="1" applyFill="1" applyBorder="1" applyAlignment="1" applyProtection="1">
      <alignment horizontal="left"/>
    </xf>
    <xf numFmtId="0" fontId="4" fillId="4" borderId="5" xfId="0" applyFont="1" applyFill="1" applyBorder="1" applyProtection="1"/>
    <xf numFmtId="0" fontId="4" fillId="4" borderId="6" xfId="0" applyFont="1" applyFill="1" applyBorder="1" applyProtection="1"/>
    <xf numFmtId="37" fontId="4" fillId="4" borderId="1" xfId="0" applyNumberFormat="1" applyFont="1" applyFill="1" applyBorder="1" applyProtection="1"/>
    <xf numFmtId="0" fontId="4" fillId="4" borderId="7" xfId="0" applyFont="1" applyFill="1" applyBorder="1" applyProtection="1"/>
    <xf numFmtId="0" fontId="4" fillId="4" borderId="1" xfId="0" applyFont="1" applyFill="1" applyBorder="1" applyProtection="1"/>
    <xf numFmtId="0" fontId="4" fillId="4" borderId="8" xfId="0" applyFont="1" applyFill="1" applyBorder="1" applyProtection="1"/>
    <xf numFmtId="37" fontId="4" fillId="4" borderId="1" xfId="0" applyNumberFormat="1" applyFont="1" applyFill="1" applyBorder="1" applyAlignment="1" applyProtection="1">
      <alignment horizontal="left"/>
    </xf>
    <xf numFmtId="37" fontId="4" fillId="4" borderId="1" xfId="0" applyNumberFormat="1" applyFont="1" applyFill="1" applyBorder="1" applyAlignment="1" applyProtection="1">
      <alignment horizontal="fill"/>
    </xf>
    <xf numFmtId="0" fontId="4" fillId="4" borderId="9" xfId="0" applyFont="1" applyFill="1" applyBorder="1" applyProtection="1"/>
    <xf numFmtId="37" fontId="4" fillId="4" borderId="7" xfId="0" applyNumberFormat="1" applyFont="1" applyFill="1" applyBorder="1" applyAlignment="1" applyProtection="1">
      <alignment horizontal="left"/>
    </xf>
    <xf numFmtId="37" fontId="4" fillId="4" borderId="8" xfId="0" applyNumberFormat="1" applyFont="1" applyFill="1" applyBorder="1" applyAlignment="1" applyProtection="1">
      <alignment horizontal="left"/>
    </xf>
    <xf numFmtId="37" fontId="4" fillId="4" borderId="0" xfId="0" applyNumberFormat="1" applyFont="1" applyFill="1" applyAlignment="1" applyProtection="1">
      <alignment horizontal="center"/>
    </xf>
    <xf numFmtId="0" fontId="4" fillId="4" borderId="0" xfId="0" applyFont="1" applyFill="1"/>
    <xf numFmtId="37" fontId="4" fillId="4" borderId="0" xfId="0" applyNumberFormat="1" applyFont="1" applyFill="1"/>
    <xf numFmtId="0" fontId="3" fillId="4" borderId="0" xfId="0" applyFont="1" applyFill="1" applyAlignment="1">
      <alignment horizontal="center"/>
    </xf>
    <xf numFmtId="0" fontId="3" fillId="4" borderId="0" xfId="0" applyFont="1" applyFill="1" applyAlignment="1">
      <alignment horizontal="center" wrapText="1"/>
    </xf>
    <xf numFmtId="0" fontId="4" fillId="4" borderId="0" xfId="0" quotePrefix="1" applyFont="1" applyFill="1" applyAlignment="1">
      <alignment horizontal="right"/>
    </xf>
    <xf numFmtId="3" fontId="4" fillId="4" borderId="0" xfId="0" applyNumberFormat="1" applyFont="1" applyFill="1"/>
    <xf numFmtId="3" fontId="4" fillId="4" borderId="0" xfId="0" quotePrefix="1" applyNumberFormat="1" applyFont="1" applyFill="1"/>
    <xf numFmtId="3" fontId="4" fillId="4" borderId="2" xfId="0" applyNumberFormat="1" applyFont="1" applyFill="1" applyBorder="1"/>
    <xf numFmtId="0" fontId="3" fillId="4" borderId="0" xfId="0" applyFont="1" applyFill="1"/>
    <xf numFmtId="3" fontId="4" fillId="4" borderId="4" xfId="0" applyNumberFormat="1" applyFont="1" applyFill="1" applyBorder="1"/>
    <xf numFmtId="3" fontId="4" fillId="4" borderId="2" xfId="0" applyNumberFormat="1" applyFont="1" applyFill="1" applyBorder="1" applyProtection="1"/>
    <xf numFmtId="3" fontId="4" fillId="4" borderId="0" xfId="0" applyNumberFormat="1" applyFont="1" applyFill="1" applyBorder="1"/>
    <xf numFmtId="0" fontId="4" fillId="4" borderId="0" xfId="0" quotePrefix="1" applyFont="1" applyFill="1"/>
    <xf numFmtId="0" fontId="4" fillId="4" borderId="0" xfId="0" applyFont="1" applyFill="1" applyAlignment="1">
      <alignment horizontal="right"/>
    </xf>
    <xf numFmtId="3" fontId="4" fillId="4" borderId="4" xfId="0" applyNumberFormat="1" applyFont="1" applyFill="1" applyBorder="1" applyProtection="1"/>
    <xf numFmtId="3" fontId="4" fillId="4" borderId="0" xfId="0" applyNumberFormat="1" applyFont="1" applyFill="1" applyProtection="1"/>
    <xf numFmtId="3" fontId="4" fillId="4" borderId="10" xfId="0" applyNumberFormat="1" applyFont="1" applyFill="1" applyBorder="1"/>
    <xf numFmtId="0" fontId="4" fillId="4" borderId="10" xfId="0" applyFont="1" applyFill="1" applyBorder="1"/>
    <xf numFmtId="0" fontId="4" fillId="4" borderId="0" xfId="0" applyFont="1" applyFill="1" applyBorder="1"/>
    <xf numFmtId="167" fontId="4" fillId="4" borderId="2" xfId="0" applyNumberFormat="1" applyFont="1" applyFill="1" applyBorder="1"/>
    <xf numFmtId="0" fontId="4" fillId="4" borderId="0" xfId="0" quotePrefix="1" applyFont="1" applyFill="1" applyBorder="1"/>
    <xf numFmtId="3" fontId="4" fillId="4" borderId="11" xfId="0" applyNumberFormat="1" applyFont="1" applyFill="1" applyBorder="1"/>
    <xf numFmtId="37" fontId="4" fillId="4" borderId="0" xfId="0" applyNumberFormat="1" applyFont="1" applyFill="1" applyProtection="1"/>
    <xf numFmtId="37" fontId="4" fillId="4" borderId="12" xfId="0" applyNumberFormat="1" applyFont="1" applyFill="1" applyBorder="1" applyProtection="1"/>
    <xf numFmtId="37" fontId="4" fillId="4" borderId="2" xfId="0" applyNumberFormat="1" applyFont="1" applyFill="1" applyBorder="1" applyProtection="1"/>
    <xf numFmtId="0" fontId="3" fillId="4" borderId="0" xfId="3" applyFont="1" applyFill="1" applyAlignment="1" applyProtection="1">
      <alignment horizontal="centerContinuous"/>
    </xf>
    <xf numFmtId="0" fontId="4" fillId="4" borderId="6" xfId="0" applyFont="1" applyFill="1" applyBorder="1" applyAlignment="1" applyProtection="1">
      <alignment horizontal="center"/>
    </xf>
    <xf numFmtId="0" fontId="4" fillId="4" borderId="13" xfId="0" applyFont="1" applyFill="1" applyBorder="1" applyAlignment="1" applyProtection="1">
      <alignment horizontal="centerContinuous"/>
    </xf>
    <xf numFmtId="0" fontId="4" fillId="4" borderId="14" xfId="0" applyFont="1" applyFill="1" applyBorder="1" applyAlignment="1" applyProtection="1">
      <alignment horizontal="centerContinuous"/>
    </xf>
    <xf numFmtId="0" fontId="4" fillId="4" borderId="7" xfId="0" applyFont="1" applyFill="1" applyBorder="1" applyAlignment="1" applyProtection="1">
      <alignment horizontal="center"/>
    </xf>
    <xf numFmtId="0" fontId="4" fillId="4" borderId="8" xfId="0" applyFont="1" applyFill="1" applyBorder="1" applyAlignment="1" applyProtection="1">
      <alignment horizontal="center"/>
    </xf>
    <xf numFmtId="14" fontId="4" fillId="4" borderId="8" xfId="0" quotePrefix="1" applyNumberFormat="1" applyFont="1" applyFill="1" applyBorder="1" applyAlignment="1" applyProtection="1">
      <alignment horizontal="center"/>
    </xf>
    <xf numFmtId="0" fontId="4" fillId="4" borderId="1" xfId="0" applyFont="1" applyFill="1" applyBorder="1" applyAlignment="1" applyProtection="1">
      <alignment horizontal="center"/>
    </xf>
    <xf numFmtId="0" fontId="4" fillId="4" borderId="1" xfId="0" applyFont="1" applyFill="1" applyBorder="1" applyAlignment="1" applyProtection="1">
      <alignment horizontal="left"/>
    </xf>
    <xf numFmtId="2" fontId="4" fillId="4" borderId="1" xfId="0" applyNumberFormat="1" applyFont="1" applyFill="1" applyBorder="1" applyProtection="1"/>
    <xf numFmtId="3" fontId="4" fillId="4" borderId="1" xfId="0" applyNumberFormat="1" applyFont="1" applyFill="1" applyBorder="1" applyProtection="1"/>
    <xf numFmtId="0" fontId="3" fillId="4" borderId="1" xfId="0" applyFont="1" applyFill="1" applyBorder="1" applyAlignment="1" applyProtection="1">
      <alignment horizontal="left"/>
    </xf>
    <xf numFmtId="0" fontId="4" fillId="4" borderId="2" xfId="0" applyFont="1" applyFill="1" applyBorder="1" applyAlignment="1" applyProtection="1">
      <alignment horizontal="fill"/>
    </xf>
    <xf numFmtId="0" fontId="4" fillId="4" borderId="2" xfId="0" applyFont="1" applyFill="1" applyBorder="1" applyAlignment="1" applyProtection="1">
      <alignment horizontal="left"/>
    </xf>
    <xf numFmtId="0" fontId="3" fillId="4" borderId="0" xfId="0" applyFont="1" applyFill="1" applyAlignment="1" applyProtection="1">
      <alignment horizontal="left"/>
    </xf>
    <xf numFmtId="0" fontId="3" fillId="4" borderId="0" xfId="0" applyFont="1" applyFill="1" applyProtection="1"/>
    <xf numFmtId="0" fontId="4" fillId="4" borderId="0" xfId="0" applyFont="1" applyFill="1" applyBorder="1" applyAlignment="1" applyProtection="1">
      <alignment horizontal="fill"/>
    </xf>
    <xf numFmtId="0" fontId="4" fillId="4" borderId="0" xfId="0" applyFont="1" applyFill="1" applyAlignment="1" applyProtection="1">
      <alignment horizontal="left"/>
    </xf>
    <xf numFmtId="1" fontId="4" fillId="4" borderId="6" xfId="0" applyNumberFormat="1" applyFont="1" applyFill="1" applyBorder="1" applyAlignment="1" applyProtection="1">
      <alignment horizontal="center"/>
    </xf>
    <xf numFmtId="166" fontId="4" fillId="4" borderId="0" xfId="0" applyNumberFormat="1" applyFont="1" applyFill="1" applyProtection="1"/>
    <xf numFmtId="1" fontId="4" fillId="4" borderId="0" xfId="0" applyNumberFormat="1" applyFont="1" applyFill="1" applyAlignment="1" applyProtection="1">
      <alignment horizontal="right"/>
    </xf>
    <xf numFmtId="37" fontId="4" fillId="4" borderId="0" xfId="0" applyNumberFormat="1" applyFont="1" applyFill="1" applyBorder="1" applyAlignment="1" applyProtection="1">
      <alignment horizontal="fill"/>
    </xf>
    <xf numFmtId="3" fontId="4" fillId="4" borderId="1" xfId="0" applyNumberFormat="1" applyFont="1" applyFill="1" applyBorder="1" applyAlignment="1" applyProtection="1">
      <alignment horizontal="fill"/>
    </xf>
    <xf numFmtId="0" fontId="4" fillId="4" borderId="0" xfId="0" applyFont="1" applyFill="1" applyAlignment="1" applyProtection="1">
      <alignment horizontal="fill"/>
    </xf>
    <xf numFmtId="37" fontId="4" fillId="3" borderId="0" xfId="0" applyNumberFormat="1" applyFont="1" applyFill="1" applyAlignment="1" applyProtection="1">
      <alignment horizontal="left"/>
      <protection locked="0"/>
    </xf>
    <xf numFmtId="0" fontId="4" fillId="3" borderId="0" xfId="0" applyFont="1" applyFill="1" applyAlignment="1" applyProtection="1">
      <alignment horizontal="left"/>
      <protection locked="0"/>
    </xf>
    <xf numFmtId="0" fontId="4" fillId="3" borderId="1" xfId="0" applyFont="1" applyFill="1" applyBorder="1" applyAlignment="1" applyProtection="1">
      <alignment horizontal="left"/>
      <protection locked="0"/>
    </xf>
    <xf numFmtId="3" fontId="4" fillId="4" borderId="2" xfId="0" applyNumberFormat="1" applyFont="1" applyFill="1" applyBorder="1" applyAlignment="1" applyProtection="1">
      <alignment horizontal="fill"/>
    </xf>
    <xf numFmtId="37" fontId="3" fillId="4" borderId="0" xfId="0" applyNumberFormat="1" applyFont="1" applyFill="1" applyAlignment="1" applyProtection="1">
      <alignment horizontal="centerContinuous"/>
    </xf>
    <xf numFmtId="1" fontId="4" fillId="4" borderId="3" xfId="0" applyNumberFormat="1" applyFont="1" applyFill="1" applyBorder="1" applyAlignment="1" applyProtection="1">
      <alignment horizontal="centerContinuous"/>
    </xf>
    <xf numFmtId="164" fontId="4" fillId="4" borderId="1" xfId="0" applyNumberFormat="1" applyFont="1" applyFill="1" applyBorder="1" applyProtection="1"/>
    <xf numFmtId="0" fontId="4" fillId="4" borderId="0" xfId="0" applyFont="1" applyFill="1" applyBorder="1" applyProtection="1"/>
    <xf numFmtId="1" fontId="5" fillId="4" borderId="0" xfId="0" applyNumberFormat="1" applyFont="1" applyFill="1" applyAlignment="1" applyProtection="1">
      <alignment horizontal="center"/>
    </xf>
    <xf numFmtId="0" fontId="4" fillId="3" borderId="0" xfId="0" applyFont="1" applyFill="1"/>
    <xf numFmtId="0" fontId="4" fillId="4" borderId="0" xfId="0" applyFont="1" applyFill="1" applyAlignment="1">
      <alignment wrapText="1"/>
    </xf>
    <xf numFmtId="37" fontId="3" fillId="4" borderId="0" xfId="0" applyNumberFormat="1" applyFont="1" applyFill="1" applyAlignment="1" applyProtection="1">
      <alignment horizontal="centerContinuous" vertical="justify"/>
    </xf>
    <xf numFmtId="37" fontId="4" fillId="4" borderId="2" xfId="0" applyNumberFormat="1" applyFont="1" applyFill="1" applyBorder="1" applyAlignment="1" applyProtection="1">
      <alignment horizontal="left"/>
    </xf>
    <xf numFmtId="37" fontId="4" fillId="4" borderId="4" xfId="0" applyNumberFormat="1" applyFont="1" applyFill="1" applyBorder="1" applyAlignment="1" applyProtection="1">
      <alignment horizontal="left"/>
    </xf>
    <xf numFmtId="37" fontId="3" fillId="4" borderId="4" xfId="0" applyNumberFormat="1" applyFont="1" applyFill="1" applyBorder="1" applyAlignment="1" applyProtection="1">
      <alignment horizontal="left"/>
    </xf>
    <xf numFmtId="0" fontId="0" fillId="4" borderId="0" xfId="0" applyFill="1" applyProtection="1"/>
    <xf numFmtId="0" fontId="4" fillId="4" borderId="4" xfId="0" applyFont="1" applyFill="1" applyBorder="1" applyProtection="1"/>
    <xf numFmtId="0" fontId="4" fillId="4" borderId="0" xfId="0" applyFont="1" applyFill="1" applyAlignment="1" applyProtection="1">
      <alignment horizontal="centerContinuous" vertical="justify"/>
    </xf>
    <xf numFmtId="0" fontId="4" fillId="4" borderId="15" xfId="0" applyFont="1" applyFill="1" applyBorder="1" applyProtection="1"/>
    <xf numFmtId="3" fontId="4" fillId="4" borderId="15" xfId="0" applyNumberFormat="1" applyFont="1" applyFill="1" applyBorder="1" applyProtection="1"/>
    <xf numFmtId="3" fontId="4" fillId="4" borderId="5" xfId="0" applyNumberFormat="1" applyFont="1" applyFill="1" applyBorder="1" applyProtection="1"/>
    <xf numFmtId="37" fontId="4" fillId="4" borderId="8" xfId="0" applyNumberFormat="1" applyFont="1" applyFill="1" applyBorder="1" applyProtection="1"/>
    <xf numFmtId="37" fontId="4" fillId="4" borderId="8" xfId="0" applyNumberFormat="1" applyFont="1" applyFill="1" applyBorder="1" applyAlignment="1" applyProtection="1">
      <alignment horizontal="fill"/>
    </xf>
    <xf numFmtId="0" fontId="4" fillId="3" borderId="1" xfId="0" applyFont="1" applyFill="1" applyBorder="1" applyProtection="1">
      <protection locked="0"/>
    </xf>
    <xf numFmtId="37" fontId="3" fillId="5" borderId="0" xfId="0" applyNumberFormat="1" applyFont="1" applyFill="1" applyAlignment="1" applyProtection="1">
      <alignment horizontal="left"/>
    </xf>
    <xf numFmtId="0" fontId="4" fillId="5" borderId="0" xfId="0" applyFont="1" applyFill="1" applyProtection="1"/>
    <xf numFmtId="37" fontId="3" fillId="6" borderId="0" xfId="0" applyNumberFormat="1" applyFont="1" applyFill="1" applyAlignment="1" applyProtection="1">
      <alignment horizontal="left"/>
    </xf>
    <xf numFmtId="0" fontId="4" fillId="6" borderId="0" xfId="0" applyFont="1" applyFill="1" applyProtection="1"/>
    <xf numFmtId="3" fontId="4" fillId="6" borderId="0" xfId="0" applyNumberFormat="1" applyFont="1" applyFill="1" applyProtection="1"/>
    <xf numFmtId="0" fontId="8" fillId="4" borderId="8" xfId="0" applyFont="1" applyFill="1" applyBorder="1" applyAlignment="1" applyProtection="1">
      <alignment horizontal="center"/>
    </xf>
    <xf numFmtId="0" fontId="4" fillId="4" borderId="2" xfId="0" applyFont="1" applyFill="1" applyBorder="1" applyAlignment="1" applyProtection="1">
      <alignment horizontal="centerContinuous"/>
    </xf>
    <xf numFmtId="37" fontId="4" fillId="4" borderId="0" xfId="0" applyNumberFormat="1" applyFont="1" applyFill="1" applyBorder="1" applyAlignment="1" applyProtection="1">
      <alignment horizontal="left"/>
    </xf>
    <xf numFmtId="171" fontId="4" fillId="4" borderId="1" xfId="0" applyNumberFormat="1" applyFont="1" applyFill="1" applyBorder="1" applyProtection="1"/>
    <xf numFmtId="172" fontId="4" fillId="4" borderId="1" xfId="0" applyNumberFormat="1" applyFont="1" applyFill="1" applyBorder="1" applyProtection="1"/>
    <xf numFmtId="0" fontId="4" fillId="4" borderId="0" xfId="0" applyFont="1" applyFill="1" applyAlignment="1" applyProtection="1">
      <alignment horizontal="center"/>
    </xf>
    <xf numFmtId="0" fontId="3" fillId="4" borderId="2" xfId="0" applyFont="1" applyFill="1" applyBorder="1" applyAlignment="1" applyProtection="1">
      <alignment horizontal="center"/>
    </xf>
    <xf numFmtId="0" fontId="3" fillId="4" borderId="6" xfId="0" applyFont="1" applyFill="1" applyBorder="1" applyAlignment="1" applyProtection="1">
      <alignment horizontal="center"/>
    </xf>
    <xf numFmtId="0" fontId="4" fillId="4" borderId="0" xfId="0" applyFont="1" applyFill="1" applyProtection="1">
      <protection locked="0"/>
    </xf>
    <xf numFmtId="37" fontId="4" fillId="4" borderId="0" xfId="0" applyNumberFormat="1" applyFont="1" applyFill="1" applyBorder="1" applyProtection="1"/>
    <xf numFmtId="0" fontId="4" fillId="4" borderId="0" xfId="0" applyNumberFormat="1" applyFont="1" applyFill="1" applyAlignment="1" applyProtection="1">
      <alignment horizontal="right"/>
    </xf>
    <xf numFmtId="37" fontId="4" fillId="4" borderId="1" xfId="0" applyNumberFormat="1" applyFont="1" applyFill="1" applyBorder="1" applyAlignment="1" applyProtection="1">
      <alignment horizontal="center"/>
    </xf>
    <xf numFmtId="37" fontId="4" fillId="4" borderId="2" xfId="0" applyNumberFormat="1" applyFont="1" applyFill="1" applyBorder="1" applyAlignment="1" applyProtection="1">
      <alignment horizontal="fill"/>
      <protection locked="0"/>
    </xf>
    <xf numFmtId="3" fontId="4" fillId="4" borderId="1" xfId="0" applyNumberFormat="1" applyFont="1" applyFill="1" applyBorder="1" applyProtection="1">
      <protection locked="0"/>
    </xf>
    <xf numFmtId="1" fontId="4" fillId="4" borderId="0" xfId="0" applyNumberFormat="1" applyFont="1" applyFill="1" applyBorder="1" applyAlignment="1" applyProtection="1">
      <alignment horizontal="right"/>
    </xf>
    <xf numFmtId="37" fontId="4" fillId="4" borderId="0" xfId="0" quotePrefix="1" applyNumberFormat="1" applyFont="1" applyFill="1" applyAlignment="1" applyProtection="1">
      <alignment horizontal="right"/>
    </xf>
    <xf numFmtId="37" fontId="4" fillId="4" borderId="0" xfId="0" applyNumberFormat="1" applyFont="1" applyFill="1" applyAlignment="1" applyProtection="1">
      <alignment horizontal="fill"/>
    </xf>
    <xf numFmtId="0" fontId="4" fillId="4" borderId="8" xfId="0" applyNumberFormat="1" applyFont="1" applyFill="1" applyBorder="1" applyAlignment="1" applyProtection="1">
      <alignment horizontal="center"/>
    </xf>
    <xf numFmtId="1" fontId="4" fillId="4" borderId="8" xfId="0" applyNumberFormat="1" applyFont="1" applyFill="1" applyBorder="1" applyAlignment="1" applyProtection="1">
      <alignment horizontal="center"/>
    </xf>
    <xf numFmtId="3" fontId="4" fillId="2" borderId="1" xfId="0" applyNumberFormat="1" applyFont="1" applyFill="1" applyBorder="1" applyAlignment="1" applyProtection="1">
      <alignment horizontal="right"/>
      <protection locked="0"/>
    </xf>
    <xf numFmtId="3" fontId="4" fillId="4" borderId="1" xfId="1" applyNumberFormat="1" applyFont="1" applyFill="1" applyBorder="1" applyAlignment="1" applyProtection="1">
      <alignment horizontal="right"/>
    </xf>
    <xf numFmtId="3" fontId="4" fillId="4" borderId="1" xfId="0" applyNumberFormat="1" applyFont="1" applyFill="1" applyBorder="1" applyAlignment="1" applyProtection="1">
      <alignment horizontal="right"/>
    </xf>
    <xf numFmtId="3" fontId="4" fillId="3" borderId="1" xfId="0" applyNumberFormat="1" applyFont="1" applyFill="1" applyBorder="1" applyAlignment="1" applyProtection="1">
      <alignment horizontal="right"/>
      <protection locked="0"/>
    </xf>
    <xf numFmtId="37" fontId="3" fillId="4" borderId="3" xfId="0" applyNumberFormat="1" applyFont="1" applyFill="1" applyBorder="1" applyAlignment="1" applyProtection="1">
      <alignment horizontal="left"/>
    </xf>
    <xf numFmtId="0" fontId="4" fillId="4" borderId="0" xfId="0" applyFont="1" applyFill="1" applyAlignment="1">
      <alignment horizontal="center"/>
    </xf>
    <xf numFmtId="0" fontId="4" fillId="4" borderId="2" xfId="0" applyFont="1" applyFill="1" applyBorder="1"/>
    <xf numFmtId="0" fontId="11" fillId="4" borderId="6" xfId="0" applyFont="1" applyFill="1" applyBorder="1"/>
    <xf numFmtId="0" fontId="11" fillId="4" borderId="5" xfId="0" applyFont="1" applyFill="1" applyBorder="1" applyAlignment="1">
      <alignment horizontal="center"/>
    </xf>
    <xf numFmtId="0" fontId="11" fillId="4" borderId="13" xfId="0" applyFont="1" applyFill="1" applyBorder="1"/>
    <xf numFmtId="0" fontId="11" fillId="4" borderId="1" xfId="0" applyFont="1" applyFill="1" applyBorder="1" applyAlignment="1">
      <alignment horizontal="center"/>
    </xf>
    <xf numFmtId="0" fontId="4" fillId="4" borderId="5" xfId="0" applyFont="1" applyFill="1" applyBorder="1" applyAlignment="1">
      <alignment horizontal="center"/>
    </xf>
    <xf numFmtId="0" fontId="4" fillId="4" borderId="5" xfId="0" applyFont="1" applyFill="1" applyBorder="1"/>
    <xf numFmtId="0" fontId="4" fillId="4" borderId="1" xfId="0" applyFont="1" applyFill="1" applyBorder="1" applyAlignment="1">
      <alignment horizontal="center"/>
    </xf>
    <xf numFmtId="0" fontId="11" fillId="4" borderId="16" xfId="0" applyFont="1" applyFill="1" applyBorder="1" applyAlignment="1"/>
    <xf numFmtId="0" fontId="11" fillId="4" borderId="2" xfId="0" applyFont="1" applyFill="1" applyBorder="1" applyAlignment="1"/>
    <xf numFmtId="0" fontId="11" fillId="4" borderId="0" xfId="0" applyFont="1" applyFill="1"/>
    <xf numFmtId="3" fontId="11" fillId="4" borderId="0" xfId="0" applyNumberFormat="1" applyFont="1" applyFill="1" applyAlignment="1">
      <alignment horizontal="center"/>
    </xf>
    <xf numFmtId="0" fontId="11" fillId="4" borderId="0" xfId="0" applyFont="1" applyFill="1" applyAlignment="1">
      <alignment horizontal="center"/>
    </xf>
    <xf numFmtId="3" fontId="4" fillId="0" borderId="0" xfId="0" applyNumberFormat="1" applyFont="1"/>
    <xf numFmtId="37" fontId="0" fillId="4" borderId="0" xfId="0" applyNumberFormat="1" applyFill="1"/>
    <xf numFmtId="0" fontId="0" fillId="4" borderId="0" xfId="0" applyFill="1"/>
    <xf numFmtId="3" fontId="4" fillId="4" borderId="0" xfId="0" applyNumberFormat="1" applyFont="1" applyFill="1" applyBorder="1" applyProtection="1">
      <protection locked="0"/>
    </xf>
    <xf numFmtId="0" fontId="12" fillId="4" borderId="0" xfId="0" applyFont="1" applyFill="1" applyBorder="1" applyAlignment="1" applyProtection="1">
      <alignment horizontal="center"/>
    </xf>
    <xf numFmtId="0" fontId="0" fillId="4" borderId="0" xfId="0" applyFill="1" applyBorder="1" applyProtection="1"/>
    <xf numFmtId="0" fontId="0" fillId="4" borderId="2" xfId="0" applyFill="1" applyBorder="1" applyProtection="1"/>
    <xf numFmtId="0" fontId="3" fillId="6" borderId="0" xfId="0" applyFont="1" applyFill="1"/>
    <xf numFmtId="0" fontId="1" fillId="6" borderId="0" xfId="0" applyFont="1" applyFill="1"/>
    <xf numFmtId="0" fontId="0" fillId="6" borderId="0" xfId="0" applyFill="1" applyProtection="1">
      <protection locked="0"/>
    </xf>
    <xf numFmtId="0" fontId="0" fillId="4" borderId="2" xfId="0" applyFill="1" applyBorder="1"/>
    <xf numFmtId="0" fontId="0" fillId="4" borderId="15" xfId="0" applyFill="1" applyBorder="1"/>
    <xf numFmtId="0" fontId="4" fillId="4" borderId="4" xfId="0" applyFont="1" applyFill="1" applyBorder="1"/>
    <xf numFmtId="0" fontId="0" fillId="4" borderId="4" xfId="0" applyFill="1" applyBorder="1"/>
    <xf numFmtId="0" fontId="0" fillId="4" borderId="5" xfId="0" applyFill="1" applyBorder="1"/>
    <xf numFmtId="0" fontId="0" fillId="7" borderId="0" xfId="0" applyFill="1"/>
    <xf numFmtId="37" fontId="4" fillId="4" borderId="0" xfId="0" applyNumberFormat="1" applyFont="1" applyFill="1" applyBorder="1" applyAlignment="1" applyProtection="1">
      <alignment horizontal="left"/>
      <protection locked="0"/>
    </xf>
    <xf numFmtId="0" fontId="3" fillId="6" borderId="0" xfId="0" applyFont="1" applyFill="1" applyProtection="1"/>
    <xf numFmtId="37" fontId="7" fillId="6" borderId="0" xfId="0" applyNumberFormat="1" applyFont="1" applyFill="1" applyAlignment="1" applyProtection="1">
      <alignment horizontal="center"/>
    </xf>
    <xf numFmtId="0" fontId="7" fillId="6" borderId="2" xfId="0" applyFont="1" applyFill="1" applyBorder="1" applyAlignment="1">
      <alignment horizontal="center"/>
    </xf>
    <xf numFmtId="0" fontId="5" fillId="4" borderId="0" xfId="0" applyFont="1" applyFill="1" applyAlignment="1" applyProtection="1">
      <alignment horizontal="center"/>
    </xf>
    <xf numFmtId="0" fontId="4" fillId="4" borderId="2" xfId="0" applyFont="1" applyFill="1" applyBorder="1" applyAlignment="1" applyProtection="1">
      <alignment horizontal="center"/>
    </xf>
    <xf numFmtId="0" fontId="4" fillId="4" borderId="2" xfId="0" applyFont="1" applyFill="1" applyBorder="1" applyAlignment="1" applyProtection="1">
      <alignment horizontal="center"/>
      <protection locked="0"/>
    </xf>
    <xf numFmtId="0" fontId="4" fillId="4" borderId="15" xfId="0" applyFont="1" applyFill="1" applyBorder="1" applyProtection="1">
      <protection locked="0"/>
    </xf>
    <xf numFmtId="0" fontId="4" fillId="4" borderId="5" xfId="0" applyFont="1" applyFill="1" applyBorder="1" applyProtection="1">
      <protection locked="0"/>
    </xf>
    <xf numFmtId="164" fontId="4" fillId="4" borderId="1" xfId="0" applyNumberFormat="1" applyFont="1" applyFill="1" applyBorder="1" applyProtection="1">
      <protection locked="0"/>
    </xf>
    <xf numFmtId="0" fontId="4" fillId="4" borderId="8" xfId="0" applyFont="1" applyFill="1" applyBorder="1" applyAlignment="1">
      <alignment horizontal="center"/>
    </xf>
    <xf numFmtId="3" fontId="4" fillId="4" borderId="2" xfId="0" applyNumberFormat="1" applyFont="1" applyFill="1" applyBorder="1" applyAlignment="1" applyProtection="1">
      <alignment horizontal="center"/>
    </xf>
    <xf numFmtId="3" fontId="4" fillId="4" borderId="4" xfId="0" applyNumberFormat="1" applyFont="1" applyFill="1" applyBorder="1" applyAlignment="1" applyProtection="1">
      <alignment horizontal="center"/>
    </xf>
    <xf numFmtId="3" fontId="4" fillId="4" borderId="17" xfId="0" applyNumberFormat="1" applyFont="1" applyFill="1" applyBorder="1" applyAlignment="1" applyProtection="1">
      <alignment horizontal="center"/>
    </xf>
    <xf numFmtId="166" fontId="4" fillId="4" borderId="2" xfId="0" applyNumberFormat="1" applyFont="1" applyFill="1" applyBorder="1" applyProtection="1"/>
    <xf numFmtId="37" fontId="4" fillId="4" borderId="2" xfId="0" quotePrefix="1" applyNumberFormat="1" applyFont="1" applyFill="1" applyBorder="1" applyAlignment="1" applyProtection="1">
      <alignment horizontal="right"/>
    </xf>
    <xf numFmtId="0" fontId="4" fillId="4" borderId="7" xfId="0" applyFont="1" applyFill="1" applyBorder="1" applyAlignment="1">
      <alignment horizontal="center"/>
    </xf>
    <xf numFmtId="1" fontId="4" fillId="4" borderId="16" xfId="0" applyNumberFormat="1" applyFont="1" applyFill="1" applyBorder="1" applyAlignment="1" applyProtection="1">
      <alignment horizontal="center"/>
    </xf>
    <xf numFmtId="0" fontId="4" fillId="0" borderId="0" xfId="0" applyFont="1" applyAlignment="1" applyProtection="1">
      <alignment horizontal="left"/>
      <protection locked="0"/>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3" fillId="4" borderId="1" xfId="0" applyFont="1" applyFill="1" applyBorder="1" applyAlignment="1" applyProtection="1">
      <alignment horizontal="center"/>
    </xf>
    <xf numFmtId="37" fontId="3" fillId="4" borderId="1" xfId="0" applyNumberFormat="1" applyFont="1" applyFill="1" applyBorder="1" applyAlignment="1" applyProtection="1">
      <alignment horizontal="center"/>
    </xf>
    <xf numFmtId="37" fontId="4" fillId="4" borderId="13" xfId="0" applyNumberFormat="1" applyFont="1" applyFill="1" applyBorder="1" applyAlignment="1" applyProtection="1">
      <alignment horizontal="center"/>
    </xf>
    <xf numFmtId="3" fontId="4" fillId="4" borderId="4" xfId="0" applyNumberFormat="1" applyFont="1" applyFill="1" applyBorder="1" applyAlignment="1" applyProtection="1">
      <alignment horizontal="right"/>
    </xf>
    <xf numFmtId="3" fontId="4" fillId="4" borderId="2" xfId="1" applyNumberFormat="1" applyFont="1" applyFill="1" applyBorder="1" applyProtection="1"/>
    <xf numFmtId="0" fontId="4" fillId="4" borderId="10" xfId="0" applyFont="1" applyFill="1" applyBorder="1" applyProtection="1"/>
    <xf numFmtId="0" fontId="4" fillId="3" borderId="1" xfId="0" applyFont="1" applyFill="1" applyBorder="1" applyAlignment="1" applyProtection="1">
      <alignment horizontal="center"/>
      <protection locked="0"/>
    </xf>
    <xf numFmtId="3" fontId="4" fillId="4" borderId="1" xfId="0" applyNumberFormat="1" applyFont="1" applyFill="1" applyBorder="1" applyAlignment="1" applyProtection="1">
      <alignment horizontal="center"/>
    </xf>
    <xf numFmtId="0" fontId="4" fillId="4" borderId="0" xfId="0" applyFont="1" applyFill="1" applyAlignment="1" applyProtection="1">
      <alignment horizontal="center"/>
      <protection locked="0"/>
    </xf>
    <xf numFmtId="168" fontId="4" fillId="2" borderId="1" xfId="0" applyNumberFormat="1"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37" fontId="4" fillId="2" borderId="1" xfId="0" applyNumberFormat="1" applyFont="1" applyFill="1" applyBorder="1" applyAlignment="1" applyProtection="1">
      <alignment horizontal="center"/>
      <protection locked="0"/>
    </xf>
    <xf numFmtId="169" fontId="4" fillId="2" borderId="1" xfId="0" applyNumberFormat="1" applyFont="1" applyFill="1" applyBorder="1" applyAlignment="1" applyProtection="1">
      <alignment horizontal="center"/>
      <protection locked="0"/>
    </xf>
    <xf numFmtId="168" fontId="3" fillId="4" borderId="1" xfId="0" applyNumberFormat="1" applyFont="1" applyFill="1" applyBorder="1" applyAlignment="1" applyProtection="1">
      <alignment horizontal="center"/>
    </xf>
    <xf numFmtId="2" fontId="3" fillId="4" borderId="1" xfId="0" applyNumberFormat="1" applyFont="1" applyFill="1" applyBorder="1" applyAlignment="1" applyProtection="1">
      <alignment horizontal="center"/>
    </xf>
    <xf numFmtId="3" fontId="3" fillId="4" borderId="1" xfId="0" applyNumberFormat="1" applyFont="1" applyFill="1" applyBorder="1" applyAlignment="1" applyProtection="1">
      <alignment horizontal="center"/>
    </xf>
    <xf numFmtId="169" fontId="3" fillId="4" borderId="1" xfId="0" applyNumberFormat="1" applyFont="1" applyFill="1" applyBorder="1" applyAlignment="1" applyProtection="1">
      <alignment horizontal="center"/>
    </xf>
    <xf numFmtId="168" fontId="4" fillId="4" borderId="1" xfId="0" applyNumberFormat="1" applyFont="1" applyFill="1" applyBorder="1" applyAlignment="1" applyProtection="1">
      <alignment horizontal="center"/>
    </xf>
    <xf numFmtId="2" fontId="4" fillId="4" borderId="1" xfId="0" applyNumberFormat="1" applyFont="1" applyFill="1" applyBorder="1" applyAlignment="1" applyProtection="1">
      <alignment horizontal="center"/>
    </xf>
    <xf numFmtId="169" fontId="4" fillId="4" borderId="1" xfId="0" applyNumberFormat="1" applyFont="1" applyFill="1" applyBorder="1" applyAlignment="1" applyProtection="1">
      <alignment horizontal="center"/>
    </xf>
    <xf numFmtId="1" fontId="3" fillId="4" borderId="1" xfId="0" applyNumberFormat="1" applyFont="1" applyFill="1" applyBorder="1" applyAlignment="1" applyProtection="1">
      <alignment horizontal="center"/>
    </xf>
    <xf numFmtId="1" fontId="4" fillId="4" borderId="1" xfId="0" applyNumberFormat="1" applyFont="1" applyFill="1" applyBorder="1" applyAlignment="1" applyProtection="1">
      <alignment horizontal="center"/>
    </xf>
    <xf numFmtId="1" fontId="4" fillId="2" borderId="1" xfId="0" applyNumberFormat="1" applyFont="1" applyFill="1" applyBorder="1" applyAlignment="1" applyProtection="1">
      <alignment horizontal="center"/>
      <protection locked="0"/>
    </xf>
    <xf numFmtId="0" fontId="9" fillId="8" borderId="0" xfId="0" applyFont="1" applyFill="1" applyAlignment="1" applyProtection="1">
      <alignment shrinkToFit="1"/>
    </xf>
    <xf numFmtId="10" fontId="4" fillId="4" borderId="0" xfId="0" applyNumberFormat="1" applyFont="1" applyFill="1" applyAlignment="1" applyProtection="1">
      <alignment horizontal="center"/>
      <protection locked="0"/>
    </xf>
    <xf numFmtId="173" fontId="4" fillId="4" borderId="0" xfId="0" applyNumberFormat="1" applyFont="1" applyFill="1" applyAlignment="1" applyProtection="1">
      <alignment horizontal="center"/>
      <protection locked="0"/>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37" fontId="12" fillId="6" borderId="0" xfId="0" applyNumberFormat="1" applyFont="1" applyFill="1" applyAlignment="1" applyProtection="1">
      <alignment horizontal="left"/>
    </xf>
    <xf numFmtId="37" fontId="4" fillId="8" borderId="2" xfId="0" applyNumberFormat="1" applyFont="1" applyFill="1" applyBorder="1" applyAlignment="1" applyProtection="1">
      <alignment horizontal="left"/>
    </xf>
    <xf numFmtId="0" fontId="4" fillId="8" borderId="2" xfId="0" applyFont="1" applyFill="1" applyBorder="1" applyProtection="1"/>
    <xf numFmtId="37" fontId="4" fillId="8" borderId="4" xfId="0" applyNumberFormat="1" applyFont="1" applyFill="1" applyBorder="1" applyAlignment="1" applyProtection="1">
      <alignment horizontal="left"/>
    </xf>
    <xf numFmtId="0" fontId="4" fillId="8" borderId="4" xfId="0" applyFont="1" applyFill="1" applyBorder="1" applyProtection="1"/>
    <xf numFmtId="37" fontId="4" fillId="8" borderId="6" xfId="0" applyNumberFormat="1" applyFont="1" applyFill="1" applyBorder="1" applyAlignment="1" applyProtection="1">
      <alignment horizontal="center"/>
    </xf>
    <xf numFmtId="37" fontId="4" fillId="8" borderId="8" xfId="0" applyNumberFormat="1" applyFont="1" applyFill="1" applyBorder="1" applyAlignment="1" applyProtection="1">
      <alignment horizontal="center"/>
    </xf>
    <xf numFmtId="0" fontId="4" fillId="0" borderId="0" xfId="0" applyFont="1" applyFill="1"/>
    <xf numFmtId="0" fontId="4" fillId="0" borderId="0" xfId="0" applyFont="1" applyFill="1" applyAlignment="1">
      <alignment wrapText="1"/>
    </xf>
    <xf numFmtId="0" fontId="4" fillId="8" borderId="0" xfId="0" applyFont="1" applyFill="1" applyAlignment="1">
      <alignment wrapText="1"/>
    </xf>
    <xf numFmtId="37" fontId="4" fillId="0" borderId="0" xfId="0" applyNumberFormat="1" applyFont="1" applyFill="1" applyAlignment="1" applyProtection="1">
      <alignment horizontal="left" wrapText="1"/>
    </xf>
    <xf numFmtId="0" fontId="4" fillId="0" borderId="0" xfId="0" applyFont="1" applyAlignment="1" applyProtection="1">
      <alignment wrapText="1"/>
      <protection locked="0"/>
    </xf>
    <xf numFmtId="0" fontId="4" fillId="3" borderId="4" xfId="0" applyFont="1" applyFill="1" applyBorder="1" applyProtection="1">
      <protection locked="0"/>
    </xf>
    <xf numFmtId="0" fontId="4" fillId="4" borderId="9" xfId="0" applyFont="1" applyFill="1" applyBorder="1" applyAlignment="1" applyProtection="1">
      <alignment horizontal="right"/>
    </xf>
    <xf numFmtId="37" fontId="4" fillId="9" borderId="1" xfId="0" applyNumberFormat="1" applyFont="1" applyFill="1" applyBorder="1" applyAlignment="1" applyProtection="1">
      <alignment horizontal="left"/>
    </xf>
    <xf numFmtId="0" fontId="4" fillId="9" borderId="1" xfId="0" applyFont="1" applyFill="1" applyBorder="1" applyProtection="1"/>
    <xf numFmtId="37" fontId="4" fillId="9" borderId="1" xfId="0" applyNumberFormat="1" applyFont="1" applyFill="1" applyBorder="1" applyProtection="1"/>
    <xf numFmtId="0" fontId="15" fillId="9" borderId="5" xfId="0" applyFont="1" applyFill="1" applyBorder="1" applyAlignment="1" applyProtection="1">
      <alignment horizontal="center"/>
    </xf>
    <xf numFmtId="0" fontId="0" fillId="9" borderId="1" xfId="0" applyFill="1" applyBorder="1" applyAlignment="1" applyProtection="1"/>
    <xf numFmtId="0" fontId="16" fillId="0" borderId="0" xfId="0" applyFont="1" applyAlignment="1">
      <alignment wrapText="1"/>
    </xf>
    <xf numFmtId="0" fontId="3" fillId="3" borderId="1" xfId="0" applyFont="1" applyFill="1" applyBorder="1" applyAlignment="1" applyProtection="1">
      <alignment horizontal="center"/>
      <protection locked="0"/>
    </xf>
    <xf numFmtId="37" fontId="4" fillId="3" borderId="2" xfId="0" applyNumberFormat="1" applyFont="1" applyFill="1" applyBorder="1" applyAlignment="1" applyProtection="1">
      <alignment horizontal="left"/>
      <protection locked="0"/>
    </xf>
    <xf numFmtId="0" fontId="4" fillId="3" borderId="2" xfId="0" applyFont="1" applyFill="1" applyBorder="1" applyProtection="1"/>
    <xf numFmtId="37" fontId="4" fillId="3" borderId="4" xfId="0" applyNumberFormat="1" applyFont="1" applyFill="1" applyBorder="1" applyAlignment="1" applyProtection="1">
      <alignment horizontal="left"/>
      <protection locked="0"/>
    </xf>
    <xf numFmtId="0" fontId="4" fillId="3" borderId="4" xfId="0" applyFont="1" applyFill="1" applyBorder="1" applyProtection="1"/>
    <xf numFmtId="37" fontId="4" fillId="10" borderId="1" xfId="0" applyNumberFormat="1" applyFont="1" applyFill="1" applyBorder="1" applyProtection="1"/>
    <xf numFmtId="164" fontId="4" fillId="10" borderId="1" xfId="0" applyNumberFormat="1" applyFont="1" applyFill="1" applyBorder="1" applyProtection="1"/>
    <xf numFmtId="37" fontId="3" fillId="10" borderId="1" xfId="0" applyNumberFormat="1" applyFont="1" applyFill="1" applyBorder="1" applyProtection="1"/>
    <xf numFmtId="37" fontId="3" fillId="10" borderId="12" xfId="0" applyNumberFormat="1" applyFont="1" applyFill="1" applyBorder="1" applyProtection="1"/>
    <xf numFmtId="3" fontId="4" fillId="10" borderId="1" xfId="0" applyNumberFormat="1" applyFont="1" applyFill="1" applyBorder="1" applyProtection="1"/>
    <xf numFmtId="3" fontId="3" fillId="10" borderId="1" xfId="0" applyNumberFormat="1" applyFont="1" applyFill="1" applyBorder="1" applyProtection="1"/>
    <xf numFmtId="3" fontId="4" fillId="10" borderId="12" xfId="0" applyNumberFormat="1" applyFont="1" applyFill="1" applyBorder="1" applyProtection="1"/>
    <xf numFmtId="3" fontId="11" fillId="10" borderId="1" xfId="0" applyNumberFormat="1" applyFont="1" applyFill="1" applyBorder="1" applyAlignment="1">
      <alignment horizontal="center"/>
    </xf>
    <xf numFmtId="0" fontId="11" fillId="10" borderId="1" xfId="0" applyFont="1" applyFill="1" applyBorder="1" applyAlignment="1">
      <alignment horizontal="center"/>
    </xf>
    <xf numFmtId="0" fontId="11" fillId="10" borderId="8" xfId="0" applyFont="1" applyFill="1" applyBorder="1" applyAlignment="1">
      <alignment horizontal="center"/>
    </xf>
    <xf numFmtId="3" fontId="17" fillId="9" borderId="1" xfId="0" applyNumberFormat="1" applyFont="1" applyFill="1" applyBorder="1" applyAlignment="1">
      <alignment horizontal="center"/>
    </xf>
    <xf numFmtId="0" fontId="4" fillId="10" borderId="0" xfId="0" applyFont="1" applyFill="1"/>
    <xf numFmtId="3" fontId="4" fillId="10" borderId="1" xfId="0" applyNumberFormat="1" applyFont="1" applyFill="1" applyBorder="1" applyAlignment="1" applyProtection="1">
      <alignment horizontal="center"/>
    </xf>
    <xf numFmtId="37" fontId="4" fillId="10" borderId="12" xfId="0" applyNumberFormat="1" applyFont="1" applyFill="1" applyBorder="1" applyAlignment="1" applyProtection="1">
      <alignment horizontal="center"/>
    </xf>
    <xf numFmtId="165" fontId="4" fillId="10" borderId="2" xfId="0" applyNumberFormat="1" applyFont="1" applyFill="1" applyBorder="1" applyProtection="1"/>
    <xf numFmtId="37" fontId="3" fillId="10" borderId="1" xfId="0" applyNumberFormat="1" applyFont="1" applyFill="1" applyBorder="1" applyAlignment="1" applyProtection="1">
      <alignment horizontal="center"/>
    </xf>
    <xf numFmtId="3" fontId="3" fillId="10" borderId="1" xfId="0" applyNumberFormat="1" applyFont="1" applyFill="1" applyBorder="1" applyAlignment="1" applyProtection="1">
      <alignment horizontal="center"/>
    </xf>
    <xf numFmtId="3" fontId="3" fillId="10" borderId="12" xfId="0" applyNumberFormat="1" applyFont="1" applyFill="1" applyBorder="1" applyAlignment="1" applyProtection="1">
      <alignment horizontal="center"/>
    </xf>
    <xf numFmtId="3" fontId="3" fillId="10" borderId="1" xfId="0" applyNumberFormat="1" applyFont="1" applyFill="1" applyBorder="1" applyAlignment="1" applyProtection="1">
      <alignment horizontal="right"/>
    </xf>
    <xf numFmtId="3" fontId="3" fillId="10" borderId="15" xfId="0" applyNumberFormat="1" applyFont="1" applyFill="1" applyBorder="1" applyAlignment="1" applyProtection="1">
      <alignment horizontal="right"/>
    </xf>
    <xf numFmtId="3" fontId="3" fillId="10" borderId="8" xfId="0" applyNumberFormat="1" applyFont="1" applyFill="1" applyBorder="1" applyAlignment="1" applyProtection="1">
      <alignment horizontal="right"/>
    </xf>
    <xf numFmtId="3" fontId="3" fillId="10" borderId="5" xfId="0" applyNumberFormat="1" applyFont="1" applyFill="1" applyBorder="1" applyAlignment="1" applyProtection="1">
      <alignment horizontal="right"/>
    </xf>
    <xf numFmtId="3" fontId="4" fillId="10" borderId="5" xfId="0" applyNumberFormat="1" applyFont="1" applyFill="1" applyBorder="1" applyAlignment="1" applyProtection="1">
      <alignment horizontal="right"/>
    </xf>
    <xf numFmtId="0" fontId="11" fillId="3" borderId="1" xfId="0" applyFont="1" applyFill="1" applyBorder="1" applyProtection="1">
      <protection locked="0"/>
    </xf>
    <xf numFmtId="3" fontId="11" fillId="3" borderId="1" xfId="0" applyNumberFormat="1"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11" fillId="3" borderId="13" xfId="0" applyFont="1" applyFill="1" applyBorder="1" applyProtection="1">
      <protection locked="0"/>
    </xf>
    <xf numFmtId="0" fontId="11" fillId="3" borderId="0" xfId="0" applyFont="1" applyFill="1" applyProtection="1">
      <protection locked="0"/>
    </xf>
    <xf numFmtId="0" fontId="11" fillId="3" borderId="5" xfId="0" applyFont="1" applyFill="1" applyBorder="1" applyProtection="1">
      <protection locked="0"/>
    </xf>
    <xf numFmtId="0" fontId="11" fillId="3" borderId="8" xfId="0" applyFont="1" applyFill="1" applyBorder="1" applyProtection="1">
      <protection locked="0"/>
    </xf>
    <xf numFmtId="0" fontId="11" fillId="3" borderId="18" xfId="0" applyFont="1" applyFill="1" applyBorder="1" applyProtection="1">
      <protection locked="0"/>
    </xf>
    <xf numFmtId="173" fontId="4" fillId="2" borderId="1" xfId="0" applyNumberFormat="1" applyFont="1" applyFill="1" applyBorder="1" applyProtection="1">
      <protection locked="0"/>
    </xf>
    <xf numFmtId="0" fontId="5" fillId="8" borderId="0" xfId="0" applyFont="1" applyFill="1" applyProtection="1"/>
    <xf numFmtId="0" fontId="4" fillId="6" borderId="2" xfId="0" applyFont="1" applyFill="1" applyBorder="1" applyProtection="1"/>
    <xf numFmtId="0" fontId="4" fillId="6" borderId="4" xfId="0" applyFont="1" applyFill="1" applyBorder="1" applyProtection="1"/>
    <xf numFmtId="171" fontId="4" fillId="3" borderId="2" xfId="0" applyNumberFormat="1" applyFont="1" applyFill="1" applyBorder="1" applyProtection="1">
      <protection locked="0"/>
    </xf>
    <xf numFmtId="171" fontId="4" fillId="3" borderId="4" xfId="0" applyNumberFormat="1" applyFont="1" applyFill="1" applyBorder="1" applyProtection="1">
      <protection locked="0"/>
    </xf>
    <xf numFmtId="171" fontId="4" fillId="3" borderId="10" xfId="0" applyNumberFormat="1" applyFont="1" applyFill="1" applyBorder="1" applyProtection="1">
      <protection locked="0"/>
    </xf>
    <xf numFmtId="0" fontId="15" fillId="0" borderId="0" xfId="0" applyFont="1" applyProtection="1"/>
    <xf numFmtId="0" fontId="4" fillId="4" borderId="0" xfId="0" applyFont="1" applyFill="1" applyBorder="1" applyAlignment="1" applyProtection="1">
      <alignment horizontal="right"/>
    </xf>
    <xf numFmtId="37" fontId="12" fillId="4" borderId="3" xfId="0" applyNumberFormat="1" applyFont="1" applyFill="1" applyBorder="1" applyAlignment="1" applyProtection="1">
      <alignment horizontal="left"/>
    </xf>
    <xf numFmtId="37" fontId="12" fillId="4" borderId="5" xfId="0" applyNumberFormat="1" applyFont="1" applyFill="1" applyBorder="1" applyAlignment="1" applyProtection="1">
      <alignment horizontal="center"/>
    </xf>
    <xf numFmtId="14" fontId="4" fillId="2" borderId="1" xfId="0" applyNumberFormat="1" applyFont="1" applyFill="1" applyBorder="1" applyAlignment="1" applyProtection="1">
      <alignment horizontal="center"/>
      <protection locked="0"/>
    </xf>
    <xf numFmtId="0" fontId="4" fillId="2" borderId="3" xfId="0" applyFont="1" applyFill="1" applyBorder="1" applyProtection="1">
      <protection locked="0"/>
    </xf>
    <xf numFmtId="0" fontId="4" fillId="3" borderId="3" xfId="0" applyFont="1" applyFill="1" applyBorder="1" applyProtection="1">
      <protection locked="0"/>
    </xf>
    <xf numFmtId="37" fontId="4" fillId="2" borderId="3" xfId="0" applyNumberFormat="1" applyFont="1" applyFill="1" applyBorder="1" applyAlignment="1" applyProtection="1">
      <alignment horizontal="left"/>
      <protection locked="0"/>
    </xf>
    <xf numFmtId="37" fontId="4" fillId="2" borderId="5" xfId="0" applyNumberFormat="1" applyFont="1" applyFill="1" applyBorder="1" applyProtection="1">
      <protection locked="0"/>
    </xf>
    <xf numFmtId="37" fontId="4" fillId="4" borderId="5" xfId="0" applyNumberFormat="1" applyFont="1" applyFill="1" applyBorder="1" applyProtection="1"/>
    <xf numFmtId="37" fontId="4" fillId="3" borderId="5" xfId="0" applyNumberFormat="1" applyFont="1" applyFill="1" applyBorder="1" applyProtection="1">
      <protection locked="0"/>
    </xf>
    <xf numFmtId="37" fontId="3" fillId="10" borderId="5" xfId="0" applyNumberFormat="1" applyFont="1" applyFill="1" applyBorder="1" applyProtection="1"/>
    <xf numFmtId="37" fontId="4" fillId="4" borderId="16" xfId="0" applyNumberFormat="1" applyFont="1" applyFill="1" applyBorder="1" applyAlignment="1" applyProtection="1">
      <alignment horizontal="left"/>
    </xf>
    <xf numFmtId="37" fontId="4" fillId="4" borderId="5" xfId="0" applyNumberFormat="1" applyFont="1" applyFill="1" applyBorder="1" applyAlignment="1" applyProtection="1">
      <alignment horizontal="left"/>
    </xf>
    <xf numFmtId="37" fontId="4" fillId="3" borderId="5" xfId="0" applyNumberFormat="1" applyFont="1" applyFill="1" applyBorder="1" applyAlignment="1" applyProtection="1">
      <alignment horizontal="left"/>
    </xf>
    <xf numFmtId="0" fontId="4" fillId="4" borderId="3" xfId="0" applyFont="1" applyFill="1" applyBorder="1" applyAlignment="1" applyProtection="1">
      <alignment horizontal="left"/>
    </xf>
    <xf numFmtId="0" fontId="4" fillId="2" borderId="3" xfId="0" applyFont="1" applyFill="1" applyBorder="1" applyAlignment="1" applyProtection="1">
      <alignment horizontal="left"/>
      <protection locked="0"/>
    </xf>
    <xf numFmtId="3" fontId="4" fillId="2" borderId="5" xfId="0" applyNumberFormat="1" applyFont="1" applyFill="1" applyBorder="1" applyProtection="1">
      <protection locked="0"/>
    </xf>
    <xf numFmtId="3" fontId="3" fillId="10" borderId="5" xfId="0" applyNumberFormat="1" applyFont="1" applyFill="1" applyBorder="1" applyProtection="1"/>
    <xf numFmtId="3" fontId="4" fillId="10" borderId="5" xfId="0" applyNumberFormat="1" applyFont="1" applyFill="1" applyBorder="1" applyProtection="1"/>
    <xf numFmtId="0" fontId="4" fillId="4" borderId="16" xfId="0" applyFont="1" applyFill="1" applyBorder="1" applyAlignment="1" applyProtection="1">
      <alignment horizontal="left"/>
    </xf>
    <xf numFmtId="0" fontId="4" fillId="4" borderId="5" xfId="0" applyFont="1" applyFill="1" applyBorder="1" applyAlignment="1" applyProtection="1">
      <alignment horizontal="left"/>
    </xf>
    <xf numFmtId="0" fontId="4" fillId="3" borderId="5" xfId="0" applyFont="1" applyFill="1" applyBorder="1" applyAlignment="1" applyProtection="1">
      <alignment horizontal="left"/>
    </xf>
    <xf numFmtId="0" fontId="4" fillId="4" borderId="3" xfId="0" applyFont="1" applyFill="1" applyBorder="1" applyProtection="1"/>
    <xf numFmtId="0" fontId="4" fillId="4" borderId="3" xfId="0" applyFont="1" applyFill="1" applyBorder="1" applyProtection="1">
      <protection locked="0"/>
    </xf>
    <xf numFmtId="37" fontId="4" fillId="4" borderId="3" xfId="0" applyNumberFormat="1" applyFont="1" applyFill="1" applyBorder="1" applyProtection="1"/>
    <xf numFmtId="0" fontId="4" fillId="4" borderId="3" xfId="0" applyNumberFormat="1" applyFont="1" applyFill="1" applyBorder="1" applyAlignment="1" applyProtection="1">
      <alignment horizontal="left"/>
    </xf>
    <xf numFmtId="0" fontId="4" fillId="2" borderId="3" xfId="0" applyNumberFormat="1" applyFont="1" applyFill="1" applyBorder="1" applyAlignment="1" applyProtection="1">
      <alignment horizontal="left"/>
      <protection locked="0"/>
    </xf>
    <xf numFmtId="0" fontId="4" fillId="2" borderId="14" xfId="0" applyNumberFormat="1" applyFont="1" applyFill="1" applyBorder="1" applyAlignment="1" applyProtection="1">
      <alignment horizontal="left"/>
      <protection locked="0"/>
    </xf>
    <xf numFmtId="3" fontId="4" fillId="2" borderId="5" xfId="0" applyNumberFormat="1" applyFont="1" applyFill="1" applyBorder="1" applyAlignment="1" applyProtection="1">
      <alignment horizontal="right"/>
      <protection locked="0"/>
    </xf>
    <xf numFmtId="3" fontId="4" fillId="4" borderId="5" xfId="0" applyNumberFormat="1" applyFont="1" applyFill="1" applyBorder="1" applyAlignment="1" applyProtection="1">
      <alignment horizontal="right"/>
    </xf>
    <xf numFmtId="3" fontId="4" fillId="4" borderId="15" xfId="0" applyNumberFormat="1" applyFont="1" applyFill="1" applyBorder="1" applyAlignment="1" applyProtection="1">
      <alignment horizontal="right"/>
    </xf>
    <xf numFmtId="37" fontId="4" fillId="2" borderId="3" xfId="0" applyNumberFormat="1" applyFont="1" applyFill="1" applyBorder="1" applyProtection="1">
      <protection locked="0"/>
    </xf>
    <xf numFmtId="0" fontId="3" fillId="4" borderId="3" xfId="0" applyFont="1" applyFill="1" applyBorder="1" applyAlignment="1" applyProtection="1">
      <alignment horizontal="left"/>
    </xf>
    <xf numFmtId="0" fontId="3" fillId="4" borderId="5" xfId="0" applyFont="1" applyFill="1" applyBorder="1" applyAlignment="1" applyProtection="1">
      <alignment horizontal="left"/>
    </xf>
    <xf numFmtId="0" fontId="3" fillId="3" borderId="5" xfId="0" applyFont="1" applyFill="1" applyBorder="1" applyAlignment="1" applyProtection="1">
      <alignment horizontal="left"/>
    </xf>
    <xf numFmtId="0" fontId="4" fillId="8" borderId="6" xfId="0" applyFont="1" applyFill="1" applyBorder="1" applyAlignment="1">
      <alignment horizontal="center"/>
    </xf>
    <xf numFmtId="0" fontId="4" fillId="8" borderId="8" xfId="0" applyFont="1" applyFill="1" applyBorder="1" applyAlignment="1">
      <alignment horizontal="center"/>
    </xf>
    <xf numFmtId="0" fontId="15" fillId="4" borderId="0" xfId="0" applyFont="1" applyFill="1"/>
    <xf numFmtId="0" fontId="18" fillId="4" borderId="0" xfId="0" applyFont="1" applyFill="1" applyAlignment="1"/>
    <xf numFmtId="37" fontId="4" fillId="4" borderId="1" xfId="0" applyNumberFormat="1" applyFont="1" applyFill="1" applyBorder="1"/>
    <xf numFmtId="0" fontId="18" fillId="4" borderId="0" xfId="0" applyFont="1" applyFill="1"/>
    <xf numFmtId="3" fontId="4" fillId="4" borderId="0" xfId="0" applyNumberFormat="1" applyFont="1" applyFill="1" applyAlignment="1" applyProtection="1">
      <alignment horizontal="center"/>
    </xf>
    <xf numFmtId="0" fontId="13" fillId="4" borderId="0" xfId="0" applyFont="1" applyFill="1" applyAlignment="1" applyProtection="1">
      <alignment horizontal="center"/>
    </xf>
    <xf numFmtId="0" fontId="4" fillId="4" borderId="6" xfId="0" applyFont="1" applyFill="1" applyBorder="1" applyAlignment="1" applyProtection="1">
      <alignment horizontal="center" wrapText="1"/>
    </xf>
    <xf numFmtId="0" fontId="4" fillId="4" borderId="13" xfId="0" applyFont="1" applyFill="1" applyBorder="1" applyAlignment="1" applyProtection="1">
      <alignment horizontal="center" wrapText="1"/>
    </xf>
    <xf numFmtId="0" fontId="4" fillId="4" borderId="1" xfId="0" applyFont="1" applyFill="1" applyBorder="1" applyAlignment="1" applyProtection="1">
      <alignment horizontal="center" wrapText="1"/>
    </xf>
    <xf numFmtId="174" fontId="4" fillId="4" borderId="1" xfId="0" applyNumberFormat="1" applyFont="1" applyFill="1" applyBorder="1" applyAlignment="1" applyProtection="1">
      <alignment horizontal="center"/>
    </xf>
    <xf numFmtId="3" fontId="4" fillId="4" borderId="12" xfId="0" applyNumberFormat="1" applyFont="1" applyFill="1" applyBorder="1" applyAlignment="1" applyProtection="1">
      <alignment horizontal="center"/>
    </xf>
    <xf numFmtId="174" fontId="4" fillId="4" borderId="12" xfId="0" applyNumberFormat="1" applyFont="1" applyFill="1" applyBorder="1" applyAlignment="1" applyProtection="1">
      <alignment horizontal="center"/>
    </xf>
    <xf numFmtId="174" fontId="4" fillId="4" borderId="2" xfId="0" applyNumberFormat="1" applyFont="1" applyFill="1" applyBorder="1" applyAlignment="1" applyProtection="1">
      <alignment horizontal="center"/>
    </xf>
    <xf numFmtId="174" fontId="4" fillId="4" borderId="0" xfId="0" applyNumberFormat="1" applyFont="1" applyFill="1" applyBorder="1" applyAlignment="1" applyProtection="1">
      <alignment horizontal="center"/>
    </xf>
    <xf numFmtId="3" fontId="4" fillId="4" borderId="2" xfId="0" applyNumberFormat="1" applyFont="1" applyFill="1" applyBorder="1" applyAlignment="1">
      <alignment horizontal="center"/>
    </xf>
    <xf numFmtId="0" fontId="0" fillId="4" borderId="0" xfId="0" applyFill="1" applyAlignment="1">
      <alignment horizontal="center"/>
    </xf>
    <xf numFmtId="171" fontId="4" fillId="4" borderId="0" xfId="0" applyNumberFormat="1" applyFont="1" applyFill="1" applyBorder="1" applyProtection="1"/>
    <xf numFmtId="0" fontId="4" fillId="4" borderId="15" xfId="0" applyFont="1" applyFill="1" applyBorder="1" applyAlignment="1" applyProtection="1">
      <alignment horizontal="left"/>
    </xf>
    <xf numFmtId="0" fontId="4" fillId="4" borderId="13" xfId="0" applyFont="1" applyFill="1" applyBorder="1" applyAlignment="1" applyProtection="1">
      <alignment horizontal="left"/>
    </xf>
    <xf numFmtId="0" fontId="4" fillId="4" borderId="14" xfId="0" applyFont="1" applyFill="1" applyBorder="1" applyProtection="1"/>
    <xf numFmtId="37" fontId="3" fillId="4" borderId="5" xfId="0" applyNumberFormat="1" applyFont="1" applyFill="1" applyBorder="1" applyAlignment="1" applyProtection="1">
      <alignment horizontal="left"/>
    </xf>
    <xf numFmtId="37" fontId="15" fillId="9" borderId="5" xfId="0" applyNumberFormat="1" applyFont="1" applyFill="1" applyBorder="1" applyAlignment="1" applyProtection="1">
      <alignment horizontal="center"/>
    </xf>
    <xf numFmtId="3" fontId="4" fillId="10" borderId="1" xfId="0" applyNumberFormat="1" applyFont="1" applyFill="1" applyBorder="1" applyAlignment="1" applyProtection="1">
      <alignment horizontal="right"/>
      <protection locked="0"/>
    </xf>
    <xf numFmtId="174" fontId="4" fillId="4" borderId="2" xfId="0" applyNumberFormat="1" applyFont="1" applyFill="1" applyBorder="1" applyAlignment="1">
      <alignment horizontal="center"/>
    </xf>
    <xf numFmtId="3" fontId="4" fillId="3" borderId="1" xfId="0" applyNumberFormat="1" applyFont="1" applyFill="1" applyBorder="1" applyAlignment="1" applyProtection="1">
      <alignment horizontal="center"/>
      <protection locked="0"/>
    </xf>
    <xf numFmtId="3" fontId="4" fillId="3" borderId="6" xfId="0" applyNumberFormat="1" applyFont="1" applyFill="1" applyBorder="1" applyAlignment="1" applyProtection="1">
      <alignment horizontal="center"/>
      <protection locked="0"/>
    </xf>
    <xf numFmtId="0" fontId="4" fillId="7" borderId="0" xfId="0" applyFont="1" applyFill="1"/>
    <xf numFmtId="0" fontId="4" fillId="7" borderId="0" xfId="0" applyFont="1" applyFill="1" applyProtection="1">
      <protection locked="0"/>
    </xf>
    <xf numFmtId="3" fontId="4" fillId="10" borderId="12" xfId="0" applyNumberFormat="1" applyFont="1" applyFill="1" applyBorder="1" applyAlignment="1" applyProtection="1">
      <alignment horizontal="center"/>
    </xf>
    <xf numFmtId="0" fontId="4" fillId="4" borderId="6" xfId="0" applyFont="1" applyFill="1" applyBorder="1" applyAlignment="1" applyProtection="1">
      <alignment wrapText="1"/>
    </xf>
    <xf numFmtId="0" fontId="4" fillId="7" borderId="0" xfId="2" applyFont="1" applyFill="1" applyProtection="1"/>
    <xf numFmtId="0" fontId="4" fillId="7" borderId="0" xfId="0" applyFont="1" applyFill="1" applyProtection="1"/>
    <xf numFmtId="0" fontId="12" fillId="4" borderId="0" xfId="0" applyFont="1" applyFill="1" applyAlignment="1">
      <alignment horizontal="center"/>
    </xf>
    <xf numFmtId="0" fontId="19" fillId="4" borderId="0" xfId="0" applyFont="1" applyFill="1" applyAlignment="1">
      <alignment horizontal="center"/>
    </xf>
    <xf numFmtId="0" fontId="5" fillId="0" borderId="0" xfId="0" applyFont="1"/>
    <xf numFmtId="3" fontId="20" fillId="9" borderId="0" xfId="0" applyNumberFormat="1" applyFont="1" applyFill="1" applyAlignment="1">
      <alignment horizontal="center"/>
    </xf>
    <xf numFmtId="14" fontId="4" fillId="3" borderId="1" xfId="0" applyNumberFormat="1" applyFont="1" applyFill="1" applyBorder="1" applyAlignment="1" applyProtection="1">
      <alignment horizontal="center"/>
      <protection locked="0"/>
    </xf>
    <xf numFmtId="10" fontId="4" fillId="3" borderId="1" xfId="4" applyNumberFormat="1" applyFont="1" applyFill="1" applyBorder="1" applyAlignment="1" applyProtection="1">
      <alignment horizontal="center"/>
      <protection locked="0"/>
    </xf>
    <xf numFmtId="0" fontId="4" fillId="3" borderId="15" xfId="0" applyFont="1" applyFill="1" applyBorder="1" applyAlignment="1" applyProtection="1">
      <alignment horizontal="left"/>
    </xf>
    <xf numFmtId="173" fontId="4" fillId="3" borderId="8" xfId="0" applyNumberFormat="1" applyFont="1" applyFill="1" applyBorder="1" applyProtection="1">
      <protection locked="0"/>
    </xf>
    <xf numFmtId="0" fontId="4" fillId="4" borderId="0" xfId="0" applyNumberFormat="1" applyFont="1" applyFill="1" applyBorder="1" applyAlignment="1" applyProtection="1">
      <alignment horizontal="right"/>
    </xf>
    <xf numFmtId="37" fontId="4" fillId="4" borderId="14" xfId="0" applyNumberFormat="1" applyFont="1" applyFill="1" applyBorder="1" applyAlignment="1" applyProtection="1">
      <alignment horizontal="left"/>
    </xf>
    <xf numFmtId="3" fontId="4" fillId="0" borderId="0" xfId="0" applyNumberFormat="1" applyFont="1" applyProtection="1">
      <protection locked="0"/>
    </xf>
    <xf numFmtId="39" fontId="4" fillId="0" borderId="0" xfId="0" applyNumberFormat="1" applyFont="1" applyProtection="1">
      <protection locked="0"/>
    </xf>
    <xf numFmtId="2" fontId="4" fillId="0" borderId="0" xfId="0" applyNumberFormat="1" applyFont="1" applyProtection="1">
      <protection locked="0"/>
    </xf>
    <xf numFmtId="0" fontId="4" fillId="4" borderId="9" xfId="0" applyFont="1" applyFill="1" applyBorder="1" applyAlignment="1" applyProtection="1">
      <alignment horizontal="left"/>
    </xf>
    <xf numFmtId="37" fontId="4" fillId="4" borderId="9" xfId="0" applyNumberFormat="1" applyFont="1" applyFill="1" applyBorder="1" applyAlignment="1" applyProtection="1">
      <alignment horizontal="left"/>
    </xf>
    <xf numFmtId="37" fontId="4" fillId="4" borderId="13" xfId="0" applyNumberFormat="1" applyFont="1" applyFill="1" applyBorder="1" applyAlignment="1" applyProtection="1">
      <alignment horizontal="left"/>
    </xf>
    <xf numFmtId="37" fontId="4" fillId="3" borderId="15" xfId="0" applyNumberFormat="1" applyFont="1" applyFill="1" applyBorder="1" applyAlignment="1" applyProtection="1">
      <alignment horizontal="left"/>
    </xf>
    <xf numFmtId="0" fontId="7" fillId="4" borderId="0" xfId="0" applyFont="1" applyFill="1" applyProtection="1"/>
    <xf numFmtId="0" fontId="7" fillId="4" borderId="0" xfId="0" applyFont="1" applyFill="1" applyProtection="1">
      <protection locked="0"/>
    </xf>
    <xf numFmtId="37" fontId="7" fillId="4" borderId="0" xfId="0" applyNumberFormat="1" applyFont="1" applyFill="1" applyAlignment="1" applyProtection="1">
      <alignment horizontal="left"/>
    </xf>
    <xf numFmtId="170" fontId="11" fillId="3" borderId="1" xfId="1" applyNumberFormat="1" applyFont="1" applyFill="1" applyBorder="1" applyAlignment="1" applyProtection="1">
      <alignment horizontal="center"/>
      <protection locked="0"/>
    </xf>
    <xf numFmtId="170" fontId="11" fillId="3" borderId="7" xfId="1" applyNumberFormat="1" applyFont="1" applyFill="1" applyBorder="1" applyAlignment="1" applyProtection="1">
      <alignment horizontal="center"/>
      <protection locked="0"/>
    </xf>
    <xf numFmtId="170" fontId="11" fillId="3" borderId="8" xfId="1" applyNumberFormat="1" applyFont="1" applyFill="1" applyBorder="1" applyAlignment="1" applyProtection="1">
      <alignment horizontal="center"/>
      <protection locked="0"/>
    </xf>
    <xf numFmtId="0" fontId="0" fillId="3" borderId="0" xfId="0" applyFill="1" applyAlignment="1" applyProtection="1">
      <alignment horizontal="left"/>
      <protection locked="0"/>
    </xf>
    <xf numFmtId="37" fontId="4" fillId="3" borderId="1" xfId="0" applyNumberFormat="1" applyFont="1" applyFill="1" applyBorder="1" applyAlignment="1" applyProtection="1">
      <alignment horizontal="center"/>
      <protection locked="0"/>
    </xf>
    <xf numFmtId="1" fontId="11" fillId="10" borderId="1" xfId="0" applyNumberFormat="1" applyFont="1" applyFill="1" applyBorder="1" applyAlignment="1">
      <alignment horizontal="center"/>
    </xf>
    <xf numFmtId="1" fontId="11" fillId="3" borderId="1" xfId="0" applyNumberFormat="1" applyFont="1" applyFill="1" applyBorder="1" applyAlignment="1" applyProtection="1">
      <alignment horizontal="center"/>
      <protection locked="0"/>
    </xf>
    <xf numFmtId="37" fontId="0" fillId="0" borderId="0" xfId="0" applyNumberFormat="1"/>
    <xf numFmtId="39" fontId="0" fillId="0" borderId="0" xfId="0" applyNumberFormat="1"/>
    <xf numFmtId="49" fontId="4" fillId="3" borderId="1" xfId="0" applyNumberFormat="1" applyFont="1" applyFill="1" applyBorder="1" applyAlignment="1" applyProtection="1">
      <alignment horizontal="center"/>
      <protection locked="0"/>
    </xf>
    <xf numFmtId="16" fontId="4" fillId="3" borderId="1" xfId="0" applyNumberFormat="1" applyFont="1" applyFill="1" applyBorder="1" applyAlignment="1" applyProtection="1">
      <alignment horizontal="center"/>
      <protection locked="0"/>
    </xf>
    <xf numFmtId="0" fontId="4" fillId="0" borderId="0" xfId="0" applyFont="1" applyFill="1" applyProtection="1">
      <protection locked="0"/>
    </xf>
    <xf numFmtId="14" fontId="4" fillId="3" borderId="1" xfId="0" applyNumberFormat="1" applyFont="1" applyFill="1" applyBorder="1" applyProtection="1">
      <protection locked="0"/>
    </xf>
    <xf numFmtId="1" fontId="4" fillId="3" borderId="1" xfId="0" applyNumberFormat="1" applyFont="1" applyFill="1" applyBorder="1" applyAlignment="1" applyProtection="1">
      <alignment horizontal="center"/>
      <protection locked="0"/>
    </xf>
    <xf numFmtId="2" fontId="4" fillId="3" borderId="1" xfId="0" applyNumberFormat="1" applyFont="1" applyFill="1" applyBorder="1" applyProtection="1">
      <protection locked="0"/>
    </xf>
    <xf numFmtId="1" fontId="4" fillId="3" borderId="1" xfId="0" applyNumberFormat="1" applyFont="1" applyFill="1" applyBorder="1" applyProtection="1">
      <protection locked="0"/>
    </xf>
    <xf numFmtId="2" fontId="4" fillId="3" borderId="1" xfId="0" applyNumberFormat="1" applyFont="1" applyFill="1" applyBorder="1" applyAlignment="1" applyProtection="1">
      <alignment horizontal="center"/>
      <protection locked="0"/>
    </xf>
    <xf numFmtId="2" fontId="4" fillId="3" borderId="1" xfId="0" applyNumberFormat="1" applyFont="1" applyFill="1" applyBorder="1" applyAlignment="1" applyProtection="1">
      <alignment horizontal="right"/>
      <protection locked="0"/>
    </xf>
    <xf numFmtId="3" fontId="0" fillId="0" borderId="0" xfId="0" applyNumberFormat="1"/>
    <xf numFmtId="170" fontId="4" fillId="0" borderId="0" xfId="1" applyNumberFormat="1" applyFont="1" applyProtection="1">
      <protection locked="0"/>
    </xf>
    <xf numFmtId="0" fontId="3" fillId="0" borderId="0" xfId="0" applyFont="1"/>
    <xf numFmtId="3" fontId="11" fillId="3" borderId="1" xfId="0" applyNumberFormat="1" applyFont="1" applyFill="1" applyBorder="1" applyAlignment="1" applyProtection="1">
      <alignment horizontal="left"/>
      <protection locked="0"/>
    </xf>
    <xf numFmtId="170" fontId="4" fillId="3" borderId="1" xfId="1" applyNumberFormat="1" applyFont="1" applyFill="1" applyBorder="1" applyProtection="1">
      <protection locked="0"/>
    </xf>
    <xf numFmtId="3" fontId="4" fillId="3" borderId="1" xfId="0" applyNumberFormat="1" applyFont="1" applyFill="1" applyBorder="1" applyProtection="1"/>
    <xf numFmtId="3" fontId="4" fillId="11" borderId="1" xfId="0" applyNumberFormat="1" applyFont="1" applyFill="1" applyBorder="1" applyProtection="1">
      <protection locked="0"/>
    </xf>
    <xf numFmtId="0" fontId="4" fillId="11" borderId="1" xfId="0" applyFont="1" applyFill="1" applyBorder="1" applyAlignment="1" applyProtection="1">
      <alignment horizontal="center"/>
      <protection locked="0"/>
    </xf>
    <xf numFmtId="16" fontId="4" fillId="11" borderId="1" xfId="0" applyNumberFormat="1" applyFont="1" applyFill="1" applyBorder="1" applyAlignment="1" applyProtection="1">
      <alignment horizontal="center"/>
      <protection locked="0"/>
    </xf>
    <xf numFmtId="170" fontId="4" fillId="12" borderId="1" xfId="0" applyNumberFormat="1" applyFont="1" applyFill="1" applyBorder="1" applyAlignment="1" applyProtection="1">
      <alignment horizontal="center"/>
      <protection locked="0"/>
    </xf>
    <xf numFmtId="37" fontId="4" fillId="11" borderId="5" xfId="0" applyNumberFormat="1" applyFont="1" applyFill="1" applyBorder="1" applyProtection="1">
      <protection locked="0"/>
    </xf>
    <xf numFmtId="0" fontId="11" fillId="11" borderId="13" xfId="0" applyFont="1" applyFill="1" applyBorder="1" applyProtection="1">
      <protection locked="0"/>
    </xf>
    <xf numFmtId="0" fontId="11" fillId="11" borderId="1" xfId="0" applyFont="1" applyFill="1" applyBorder="1" applyProtection="1">
      <protection locked="0"/>
    </xf>
    <xf numFmtId="170" fontId="11" fillId="11" borderId="1" xfId="1" applyNumberFormat="1" applyFont="1" applyFill="1" applyBorder="1" applyAlignment="1" applyProtection="1">
      <alignment horizontal="center"/>
      <protection locked="0"/>
    </xf>
    <xf numFmtId="170" fontId="11" fillId="11" borderId="7" xfId="1" applyNumberFormat="1" applyFont="1" applyFill="1" applyBorder="1" applyAlignment="1" applyProtection="1">
      <alignment horizontal="center"/>
      <protection locked="0"/>
    </xf>
    <xf numFmtId="168" fontId="4" fillId="11" borderId="1" xfId="0" applyNumberFormat="1" applyFont="1" applyFill="1" applyBorder="1" applyAlignment="1" applyProtection="1">
      <alignment horizontal="center"/>
      <protection locked="0"/>
    </xf>
    <xf numFmtId="0" fontId="4" fillId="11" borderId="1" xfId="0" applyFont="1" applyFill="1" applyBorder="1" applyProtection="1">
      <protection locked="0"/>
    </xf>
    <xf numFmtId="14" fontId="4" fillId="11" borderId="1" xfId="0" applyNumberFormat="1" applyFont="1" applyFill="1" applyBorder="1" applyAlignment="1" applyProtection="1">
      <alignment horizontal="left"/>
      <protection locked="0"/>
    </xf>
    <xf numFmtId="14" fontId="4" fillId="11" borderId="1" xfId="0" applyNumberFormat="1" applyFont="1" applyFill="1" applyBorder="1" applyAlignment="1" applyProtection="1">
      <alignment horizontal="center"/>
      <protection locked="0"/>
    </xf>
    <xf numFmtId="2" fontId="4" fillId="11" borderId="1" xfId="0" applyNumberFormat="1" applyFont="1" applyFill="1" applyBorder="1" applyAlignment="1" applyProtection="1">
      <alignment horizontal="center"/>
      <protection locked="0"/>
    </xf>
    <xf numFmtId="0" fontId="4" fillId="11" borderId="0" xfId="0" applyFont="1" applyFill="1" applyProtection="1">
      <protection locked="0"/>
    </xf>
    <xf numFmtId="0" fontId="4" fillId="11" borderId="8" xfId="0" applyFont="1" applyFill="1" applyBorder="1" applyProtection="1">
      <protection locked="0"/>
    </xf>
    <xf numFmtId="170" fontId="4" fillId="11" borderId="1" xfId="1" applyNumberFormat="1" applyFont="1" applyFill="1" applyBorder="1" applyAlignment="1" applyProtection="1">
      <alignment horizontal="center"/>
      <protection locked="0"/>
    </xf>
    <xf numFmtId="0" fontId="4" fillId="11" borderId="8" xfId="0" applyFont="1" applyFill="1" applyBorder="1" applyAlignment="1" applyProtection="1">
      <alignment horizontal="center"/>
      <protection locked="0"/>
    </xf>
    <xf numFmtId="170" fontId="4" fillId="11" borderId="8" xfId="1" applyNumberFormat="1" applyFont="1" applyFill="1" applyBorder="1" applyAlignment="1" applyProtection="1">
      <alignment horizontal="center"/>
      <protection locked="0"/>
    </xf>
    <xf numFmtId="0" fontId="11" fillId="3" borderId="0" xfId="0" applyFont="1" applyFill="1" applyBorder="1" applyProtection="1">
      <protection locked="0"/>
    </xf>
    <xf numFmtId="0" fontId="11" fillId="11" borderId="8" xfId="0" applyFont="1" applyFill="1" applyBorder="1" applyProtection="1">
      <protection locked="0"/>
    </xf>
    <xf numFmtId="0" fontId="11" fillId="11" borderId="5" xfId="0" applyFont="1" applyFill="1" applyBorder="1" applyProtection="1">
      <protection locked="0"/>
    </xf>
    <xf numFmtId="37" fontId="13" fillId="4" borderId="0" xfId="0" applyNumberFormat="1" applyFont="1" applyFill="1" applyAlignment="1" applyProtection="1">
      <alignment horizontal="center" vertical="justify"/>
    </xf>
    <xf numFmtId="0" fontId="14" fillId="0" borderId="0" xfId="0" applyFont="1" applyAlignment="1">
      <alignment horizontal="center" vertical="justify"/>
    </xf>
    <xf numFmtId="37" fontId="12" fillId="4" borderId="0" xfId="0" applyNumberFormat="1" applyFont="1" applyFill="1" applyAlignment="1" applyProtection="1">
      <alignment horizontal="left"/>
    </xf>
    <xf numFmtId="0" fontId="0" fillId="0" borderId="0" xfId="0" applyAlignment="1">
      <alignment horizontal="left"/>
    </xf>
    <xf numFmtId="0" fontId="15" fillId="4" borderId="0" xfId="0" applyFont="1" applyFill="1" applyBorder="1" applyAlignment="1"/>
    <xf numFmtId="0" fontId="18" fillId="0" borderId="0" xfId="0" applyFont="1" applyAlignment="1"/>
    <xf numFmtId="37" fontId="12" fillId="4" borderId="0" xfId="0" applyNumberFormat="1" applyFont="1" applyFill="1" applyBorder="1" applyAlignment="1" applyProtection="1">
      <alignment horizontal="center"/>
    </xf>
    <xf numFmtId="0" fontId="0" fillId="0" borderId="0" xfId="0" applyAlignment="1">
      <alignment horizontal="center"/>
    </xf>
    <xf numFmtId="0" fontId="4" fillId="7" borderId="10" xfId="0" applyFont="1" applyFill="1" applyBorder="1" applyAlignment="1">
      <alignment wrapText="1"/>
    </xf>
    <xf numFmtId="0" fontId="0" fillId="0" borderId="10" xfId="0" applyBorder="1" applyAlignment="1">
      <alignment wrapText="1"/>
    </xf>
    <xf numFmtId="0" fontId="3" fillId="8" borderId="0" xfId="0" applyFont="1" applyFill="1" applyBorder="1" applyAlignment="1">
      <alignment horizontal="center"/>
    </xf>
    <xf numFmtId="0" fontId="1" fillId="8" borderId="0" xfId="0" applyFont="1" applyFill="1" applyBorder="1" applyAlignment="1">
      <alignment horizontal="center"/>
    </xf>
    <xf numFmtId="37" fontId="5" fillId="4" borderId="0" xfId="0" applyNumberFormat="1" applyFont="1" applyFill="1" applyAlignment="1" applyProtection="1">
      <alignment horizontal="center"/>
    </xf>
    <xf numFmtId="0" fontId="0" fillId="4" borderId="0" xfId="0" applyFill="1" applyAlignment="1" applyProtection="1">
      <alignment horizontal="center"/>
    </xf>
    <xf numFmtId="37" fontId="4" fillId="4" borderId="0" xfId="0" applyNumberFormat="1" applyFont="1" applyFill="1" applyAlignment="1" applyProtection="1">
      <alignment horizontal="center"/>
    </xf>
    <xf numFmtId="0" fontId="9" fillId="8" borderId="10" xfId="0" applyFont="1" applyFill="1" applyBorder="1" applyAlignment="1" applyProtection="1">
      <alignment horizontal="center" wrapText="1" shrinkToFit="1"/>
    </xf>
    <xf numFmtId="0" fontId="0" fillId="0" borderId="0" xfId="0" applyAlignment="1" applyProtection="1">
      <alignment horizontal="center" wrapText="1"/>
    </xf>
    <xf numFmtId="0" fontId="6" fillId="4" borderId="0" xfId="0" applyFont="1" applyFill="1" applyAlignment="1">
      <alignment horizontal="center"/>
    </xf>
    <xf numFmtId="37" fontId="3" fillId="4" borderId="0" xfId="0" applyNumberFormat="1" applyFont="1" applyFill="1" applyAlignment="1">
      <alignment horizontal="center"/>
    </xf>
    <xf numFmtId="0" fontId="3" fillId="4" borderId="0" xfId="0" applyFont="1" applyFill="1" applyAlignment="1">
      <alignment horizontal="center"/>
    </xf>
    <xf numFmtId="37" fontId="3" fillId="4" borderId="0" xfId="0" applyNumberFormat="1" applyFont="1" applyFill="1" applyAlignment="1" applyProtection="1">
      <alignment horizontal="center"/>
    </xf>
    <xf numFmtId="37" fontId="4" fillId="4" borderId="3" xfId="0" applyNumberFormat="1" applyFont="1" applyFill="1" applyBorder="1" applyAlignment="1" applyProtection="1">
      <alignment horizontal="center"/>
    </xf>
    <xf numFmtId="37" fontId="4" fillId="4" borderId="4" xfId="0" applyNumberFormat="1" applyFont="1" applyFill="1" applyBorder="1" applyAlignment="1" applyProtection="1">
      <alignment horizontal="center"/>
    </xf>
    <xf numFmtId="0" fontId="0" fillId="0" borderId="5" xfId="0" applyBorder="1" applyAlignment="1"/>
    <xf numFmtId="0" fontId="3" fillId="4" borderId="0" xfId="0" applyFont="1" applyFill="1" applyAlignment="1" applyProtection="1">
      <alignment horizontal="center"/>
    </xf>
    <xf numFmtId="0" fontId="4" fillId="4" borderId="16" xfId="0" applyFont="1" applyFill="1" applyBorder="1" applyAlignment="1" applyProtection="1">
      <alignment horizontal="center"/>
    </xf>
    <xf numFmtId="0" fontId="0" fillId="0" borderId="15" xfId="0" applyBorder="1" applyAlignment="1" applyProtection="1"/>
    <xf numFmtId="1" fontId="4" fillId="4" borderId="16" xfId="0" applyNumberFormat="1" applyFont="1" applyFill="1" applyBorder="1" applyAlignment="1" applyProtection="1">
      <alignment horizontal="center"/>
    </xf>
    <xf numFmtId="0" fontId="0" fillId="0" borderId="15" xfId="0" applyBorder="1" applyAlignment="1" applyProtection="1">
      <alignment horizontal="center"/>
    </xf>
    <xf numFmtId="0" fontId="4" fillId="4" borderId="0" xfId="0" applyFont="1" applyFill="1" applyAlignment="1" applyProtection="1">
      <alignment horizontal="center"/>
    </xf>
    <xf numFmtId="0" fontId="4" fillId="4" borderId="0" xfId="0" applyNumberFormat="1" applyFont="1" applyFill="1" applyBorder="1" applyAlignment="1" applyProtection="1">
      <alignment horizontal="right"/>
    </xf>
    <xf numFmtId="0" fontId="0" fillId="0" borderId="18" xfId="0" applyBorder="1"/>
    <xf numFmtId="37" fontId="4" fillId="4" borderId="0" xfId="0" applyNumberFormat="1" applyFont="1" applyFill="1" applyAlignment="1" applyProtection="1">
      <alignment horizontal="right"/>
    </xf>
    <xf numFmtId="0" fontId="0" fillId="0" borderId="0" xfId="0" applyAlignment="1">
      <alignment horizontal="right"/>
    </xf>
    <xf numFmtId="0" fontId="0" fillId="0" borderId="18" xfId="0" applyBorder="1" applyAlignment="1">
      <alignment horizontal="right"/>
    </xf>
    <xf numFmtId="0" fontId="0" fillId="0" borderId="0" xfId="0" applyBorder="1" applyAlignment="1">
      <alignment horizontal="right"/>
    </xf>
    <xf numFmtId="0" fontId="4" fillId="4" borderId="3" xfId="0" applyFont="1" applyFill="1" applyBorder="1" applyAlignment="1">
      <alignment horizontal="center"/>
    </xf>
    <xf numFmtId="0" fontId="4" fillId="4" borderId="5" xfId="0" applyFont="1" applyFill="1" applyBorder="1" applyAlignment="1">
      <alignment horizontal="center"/>
    </xf>
    <xf numFmtId="0" fontId="4" fillId="3" borderId="0" xfId="0" applyFont="1" applyFill="1" applyAlignment="1" applyProtection="1">
      <alignment horizontal="center"/>
      <protection locked="0"/>
    </xf>
    <xf numFmtId="0" fontId="0" fillId="3" borderId="0" xfId="0" applyFill="1" applyAlignment="1" applyProtection="1">
      <protection locked="0"/>
    </xf>
    <xf numFmtId="37" fontId="4" fillId="3" borderId="0" xfId="0" applyNumberFormat="1" applyFont="1" applyFill="1" applyAlignment="1" applyProtection="1">
      <alignment horizontal="center"/>
      <protection locked="0"/>
    </xf>
    <xf numFmtId="0" fontId="4" fillId="4" borderId="0" xfId="0" applyFont="1" applyFill="1" applyAlignment="1">
      <alignment horizontal="right"/>
    </xf>
    <xf numFmtId="0" fontId="0" fillId="0" borderId="0" xfId="0" applyAlignment="1" applyProtection="1"/>
    <xf numFmtId="0" fontId="4" fillId="4" borderId="0" xfId="0" applyFont="1" applyFill="1" applyAlignment="1" applyProtection="1">
      <alignment horizontal="right"/>
    </xf>
    <xf numFmtId="0" fontId="0" fillId="0" borderId="0" xfId="0" applyAlignment="1"/>
    <xf numFmtId="0" fontId="4" fillId="0" borderId="0" xfId="0" applyFont="1" applyAlignment="1">
      <alignment horizontal="right"/>
    </xf>
    <xf numFmtId="0" fontId="4" fillId="0" borderId="0" xfId="0" applyFont="1" applyAlignment="1">
      <alignment horizontal="left" vertical="justify" wrapText="1"/>
    </xf>
    <xf numFmtId="0" fontId="4" fillId="0" borderId="0" xfId="0" applyFont="1" applyAlignment="1">
      <alignment horizontal="left" vertical="justify"/>
    </xf>
    <xf numFmtId="0" fontId="4" fillId="0" borderId="0" xfId="0" applyFont="1" applyAlignment="1">
      <alignment horizontal="center"/>
    </xf>
    <xf numFmtId="0" fontId="4" fillId="0" borderId="0" xfId="0" applyFont="1" applyAlignment="1">
      <alignment horizontal="center" wrapText="1"/>
    </xf>
  </cellXfs>
  <cellStyles count="5">
    <cellStyle name="Comma" xfId="1" builtinId="3"/>
    <cellStyle name="Normal" xfId="0" builtinId="0"/>
    <cellStyle name="Normal_debt" xfId="2"/>
    <cellStyle name="Normal_lpform" xfId="3"/>
    <cellStyle name="Percent" xfId="4" builtinId="5"/>
  </cellStyles>
  <dxfs count="157">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83"/>
  <sheetViews>
    <sheetView view="pageBreakPreview" topLeftCell="A58" zoomScaleNormal="80" workbookViewId="0">
      <selection activeCell="A58" sqref="A58"/>
    </sheetView>
  </sheetViews>
  <sheetFormatPr defaultRowHeight="15.75"/>
  <cols>
    <col min="1" max="1" width="75.77734375" style="2" customWidth="1"/>
    <col min="2" max="16384" width="8.88671875" style="2"/>
  </cols>
  <sheetData>
    <row r="1" spans="1:1">
      <c r="A1" s="1" t="s">
        <v>202</v>
      </c>
    </row>
    <row r="3" spans="1:1" ht="39.75" customHeight="1">
      <c r="A3" s="3" t="s">
        <v>284</v>
      </c>
    </row>
    <row r="4" spans="1:1">
      <c r="A4" s="4"/>
    </row>
    <row r="5" spans="1:1" ht="49.5" customHeight="1">
      <c r="A5" s="5" t="s">
        <v>336</v>
      </c>
    </row>
    <row r="6" spans="1:1">
      <c r="A6" s="5"/>
    </row>
    <row r="7" spans="1:1" ht="66.75" customHeight="1">
      <c r="A7" s="5" t="s">
        <v>294</v>
      </c>
    </row>
    <row r="8" spans="1:1">
      <c r="A8" s="5"/>
    </row>
    <row r="9" spans="1:1" ht="32.25" customHeight="1">
      <c r="A9" s="5" t="s">
        <v>285</v>
      </c>
    </row>
    <row r="11" spans="1:1" ht="51" customHeight="1">
      <c r="A11" s="5" t="s">
        <v>201</v>
      </c>
    </row>
    <row r="13" spans="1:1">
      <c r="A13" s="1" t="s">
        <v>358</v>
      </c>
    </row>
    <row r="14" spans="1:1">
      <c r="A14" s="1"/>
    </row>
    <row r="15" spans="1:1">
      <c r="A15" s="4" t="s">
        <v>377</v>
      </c>
    </row>
    <row r="17" spans="1:1" ht="88.5" customHeight="1">
      <c r="A17" s="6" t="s">
        <v>378</v>
      </c>
    </row>
    <row r="18" spans="1:1" ht="9" customHeight="1">
      <c r="A18" s="6"/>
    </row>
    <row r="19" spans="1:1" ht="100.5" customHeight="1">
      <c r="A19" s="6" t="s">
        <v>359</v>
      </c>
    </row>
    <row r="21" spans="1:1">
      <c r="A21" s="1" t="s">
        <v>7</v>
      </c>
    </row>
    <row r="23" spans="1:1" ht="36" customHeight="1">
      <c r="A23" s="5" t="s">
        <v>286</v>
      </c>
    </row>
    <row r="24" spans="1:1">
      <c r="A24" s="5"/>
    </row>
    <row r="25" spans="1:1">
      <c r="A25" s="252" t="s">
        <v>287</v>
      </c>
    </row>
    <row r="26" spans="1:1" ht="12" customHeight="1">
      <c r="A26" s="5"/>
    </row>
    <row r="27" spans="1:1">
      <c r="A27" s="108" t="s">
        <v>179</v>
      </c>
    </row>
    <row r="28" spans="1:1">
      <c r="A28" s="240"/>
    </row>
    <row r="29" spans="1:1" ht="84.75" customHeight="1">
      <c r="A29" s="109" t="s">
        <v>322</v>
      </c>
    </row>
    <row r="30" spans="1:1" ht="12.75" customHeight="1">
      <c r="A30" s="241"/>
    </row>
    <row r="31" spans="1:1">
      <c r="A31" s="242" t="s">
        <v>288</v>
      </c>
    </row>
    <row r="32" spans="1:1">
      <c r="A32" s="241"/>
    </row>
    <row r="33" spans="1:1">
      <c r="A33" s="360" t="s">
        <v>357</v>
      </c>
    </row>
    <row r="34" spans="1:1">
      <c r="A34" s="241"/>
    </row>
    <row r="35" spans="1:1">
      <c r="A35" s="5" t="s">
        <v>103</v>
      </c>
    </row>
    <row r="37" spans="1:1">
      <c r="A37" s="1" t="s">
        <v>104</v>
      </c>
    </row>
    <row r="39" spans="1:1" ht="66.75" customHeight="1">
      <c r="A39" s="5" t="s">
        <v>376</v>
      </c>
    </row>
    <row r="40" spans="1:1" ht="35.25" customHeight="1">
      <c r="A40" s="5" t="s">
        <v>204</v>
      </c>
    </row>
    <row r="41" spans="1:1" ht="53.25" customHeight="1">
      <c r="A41" s="243" t="s">
        <v>289</v>
      </c>
    </row>
    <row r="43" spans="1:1" ht="84" customHeight="1">
      <c r="A43" s="5" t="s">
        <v>344</v>
      </c>
    </row>
    <row r="44" spans="1:1" ht="53.25" customHeight="1">
      <c r="A44" s="5" t="s">
        <v>290</v>
      </c>
    </row>
    <row r="45" spans="1:1" ht="15.75" customHeight="1">
      <c r="A45" s="5"/>
    </row>
    <row r="46" spans="1:1" ht="69.75" customHeight="1">
      <c r="A46" s="5" t="s">
        <v>291</v>
      </c>
    </row>
    <row r="47" spans="1:1" ht="37.5" customHeight="1">
      <c r="A47" s="5" t="s">
        <v>292</v>
      </c>
    </row>
    <row r="48" spans="1:1" ht="69" customHeight="1">
      <c r="A48" s="5" t="s">
        <v>306</v>
      </c>
    </row>
    <row r="50" spans="1:1" ht="84.75" customHeight="1">
      <c r="A50" s="5" t="s">
        <v>305</v>
      </c>
    </row>
    <row r="51" spans="1:1" ht="38.25" customHeight="1">
      <c r="A51" s="5" t="s">
        <v>293</v>
      </c>
    </row>
    <row r="52" spans="1:1">
      <c r="A52" s="5"/>
    </row>
    <row r="53" spans="1:1" ht="68.25" customHeight="1">
      <c r="A53" s="5" t="s">
        <v>379</v>
      </c>
    </row>
    <row r="54" spans="1:1">
      <c r="A54" s="5"/>
    </row>
    <row r="55" spans="1:1" ht="48.75" customHeight="1">
      <c r="A55" s="5" t="s">
        <v>307</v>
      </c>
    </row>
    <row r="56" spans="1:1" ht="51" customHeight="1">
      <c r="A56" s="5" t="s">
        <v>387</v>
      </c>
    </row>
    <row r="58" spans="1:1" s="5" customFormat="1" ht="66.75" customHeight="1">
      <c r="A58" s="5" t="s">
        <v>308</v>
      </c>
    </row>
    <row r="60" spans="1:1" ht="67.5" customHeight="1">
      <c r="A60" s="5" t="s">
        <v>323</v>
      </c>
    </row>
    <row r="62" spans="1:1" ht="95.25" customHeight="1">
      <c r="A62" s="5" t="s">
        <v>324</v>
      </c>
    </row>
    <row r="63" spans="1:1" ht="135.75" customHeight="1">
      <c r="A63" s="5" t="s">
        <v>518</v>
      </c>
    </row>
    <row r="64" spans="1:1" ht="73.5" customHeight="1">
      <c r="A64" s="5" t="s">
        <v>532</v>
      </c>
    </row>
    <row r="65" spans="1:1" ht="110.25" customHeight="1">
      <c r="A65" s="5" t="s">
        <v>533</v>
      </c>
    </row>
    <row r="66" spans="1:1" ht="67.5" customHeight="1">
      <c r="A66" s="5" t="s">
        <v>534</v>
      </c>
    </row>
    <row r="67" spans="1:1" ht="57" customHeight="1">
      <c r="A67" s="5" t="s">
        <v>535</v>
      </c>
    </row>
    <row r="68" spans="1:1" ht="136.5" customHeight="1">
      <c r="A68" s="5" t="s">
        <v>6</v>
      </c>
    </row>
    <row r="69" spans="1:1" ht="45" customHeight="1">
      <c r="A69" s="5" t="s">
        <v>536</v>
      </c>
    </row>
    <row r="70" spans="1:1" ht="86.25" customHeight="1">
      <c r="A70" s="5" t="s">
        <v>646</v>
      </c>
    </row>
    <row r="71" spans="1:1" ht="177.75" customHeight="1">
      <c r="A71" s="5" t="s">
        <v>0</v>
      </c>
    </row>
    <row r="73" spans="1:1" ht="152.25" customHeight="1">
      <c r="A73" s="5" t="s">
        <v>354</v>
      </c>
    </row>
    <row r="75" spans="1:1" ht="58.5" customHeight="1">
      <c r="A75" s="5" t="s">
        <v>355</v>
      </c>
    </row>
    <row r="76" spans="1:1" ht="81.75" customHeight="1">
      <c r="A76" s="244" t="s">
        <v>409</v>
      </c>
    </row>
    <row r="77" spans="1:1" ht="38.25" customHeight="1">
      <c r="A77" s="5" t="s">
        <v>410</v>
      </c>
    </row>
    <row r="78" spans="1:1" ht="24.75" customHeight="1">
      <c r="A78" s="5" t="s">
        <v>411</v>
      </c>
    </row>
    <row r="79" spans="1:1" ht="25.5" customHeight="1">
      <c r="A79" s="5" t="s">
        <v>412</v>
      </c>
    </row>
    <row r="80" spans="1:1" ht="39" customHeight="1">
      <c r="A80" s="5" t="s">
        <v>413</v>
      </c>
    </row>
    <row r="81" spans="1:1" ht="53.25" customHeight="1">
      <c r="A81" s="5" t="s">
        <v>414</v>
      </c>
    </row>
    <row r="83" spans="1:1" ht="47.25">
      <c r="A83" s="5" t="s">
        <v>415</v>
      </c>
    </row>
  </sheetData>
  <sheetProtection sheet="1" objects="1" scenarios="1"/>
  <phoneticPr fontId="0" type="noConversion"/>
  <pageMargins left="0.5" right="0.5" top="0.5" bottom="0.5" header="0.5" footer="0"/>
  <pageSetup scale="90" fitToHeight="2" orientation="portrait" blackAndWhite="1" horizontalDpi="300" verticalDpi="300" r:id="rId1"/>
  <headerFooter alignWithMargins="0">
    <oddFooter>&amp;Lrevised 7/01/08</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I123"/>
  <sheetViews>
    <sheetView view="pageBreakPreview" topLeftCell="A85" zoomScaleNormal="100" workbookViewId="0">
      <selection activeCell="C30" sqref="C30"/>
    </sheetView>
  </sheetViews>
  <sheetFormatPr defaultRowHeight="15.75"/>
  <cols>
    <col min="1" max="1" width="28.77734375" style="7" customWidth="1"/>
    <col min="2" max="2" width="9.5546875" style="7" customWidth="1"/>
    <col min="3" max="4" width="16.44140625" style="7" customWidth="1"/>
    <col min="5" max="5" width="17.109375" style="7" customWidth="1"/>
    <col min="6" max="6" width="11.21875" style="7" bestFit="1" customWidth="1"/>
    <col min="7" max="7" width="9.33203125" style="7" bestFit="1" customWidth="1"/>
    <col min="8" max="8" width="9" style="7" bestFit="1" customWidth="1"/>
    <col min="9" max="9" width="9.21875" style="7" bestFit="1" customWidth="1"/>
    <col min="10" max="16384" width="8.88671875" style="7"/>
  </cols>
  <sheetData>
    <row r="1" spans="1:6">
      <c r="A1" s="72" t="str">
        <f>inputPrYr!D2</f>
        <v>City of Coffeyville</v>
      </c>
      <c r="B1" s="72"/>
      <c r="C1" s="21"/>
      <c r="D1" s="21"/>
      <c r="E1" s="138">
        <f>inputPrYr!C5</f>
        <v>2013</v>
      </c>
    </row>
    <row r="2" spans="1:6">
      <c r="A2" s="21"/>
      <c r="B2" s="21"/>
      <c r="C2" s="21"/>
      <c r="D2" s="21"/>
      <c r="E2" s="24"/>
    </row>
    <row r="3" spans="1:6">
      <c r="A3" s="90" t="s">
        <v>113</v>
      </c>
      <c r="B3" s="90"/>
      <c r="C3" s="21"/>
      <c r="D3" s="21"/>
      <c r="E3" s="23"/>
    </row>
    <row r="4" spans="1:6">
      <c r="A4" s="21"/>
      <c r="B4" s="21"/>
      <c r="C4" s="91"/>
      <c r="D4" s="91"/>
      <c r="E4" s="91"/>
    </row>
    <row r="5" spans="1:6">
      <c r="A5" s="92" t="s">
        <v>41</v>
      </c>
      <c r="B5" s="92"/>
      <c r="C5" s="93" t="s">
        <v>62</v>
      </c>
      <c r="D5" s="33" t="s">
        <v>205</v>
      </c>
      <c r="E5" s="33" t="s">
        <v>206</v>
      </c>
    </row>
    <row r="6" spans="1:6">
      <c r="A6" s="137" t="str">
        <f>inputPrYr!B16</f>
        <v>General</v>
      </c>
      <c r="B6" s="137"/>
      <c r="C6" s="145">
        <f>E1-2</f>
        <v>2011</v>
      </c>
      <c r="D6" s="145">
        <f>E1-1</f>
        <v>2012</v>
      </c>
      <c r="E6" s="145">
        <f>E1</f>
        <v>2013</v>
      </c>
    </row>
    <row r="7" spans="1:6">
      <c r="A7" s="311" t="s">
        <v>176</v>
      </c>
      <c r="B7" s="317"/>
      <c r="C7" s="304">
        <f>259830.26+20267.08</f>
        <v>280097.34000000003</v>
      </c>
      <c r="D7" s="40">
        <f>C111</f>
        <v>455762.09999999404</v>
      </c>
      <c r="E7" s="40">
        <f>D111</f>
        <v>359640.14999999478</v>
      </c>
    </row>
    <row r="8" spans="1:6">
      <c r="A8" s="316" t="s">
        <v>178</v>
      </c>
      <c r="B8" s="317"/>
      <c r="C8" s="305"/>
      <c r="D8" s="40"/>
      <c r="E8" s="40"/>
    </row>
    <row r="9" spans="1:6">
      <c r="A9" s="311" t="s">
        <v>42</v>
      </c>
      <c r="B9" s="317"/>
      <c r="C9" s="414">
        <f>3663668.07+70407.88</f>
        <v>3734075.9499999997</v>
      </c>
      <c r="D9" s="40">
        <f>+inputPrYr!D16</f>
        <v>3871122</v>
      </c>
      <c r="E9" s="45" t="s">
        <v>30</v>
      </c>
      <c r="F9" s="11">
        <f>+D9-3641220.35-83342</f>
        <v>146559.64999999991</v>
      </c>
    </row>
    <row r="10" spans="1:6">
      <c r="A10" s="311" t="s">
        <v>43</v>
      </c>
      <c r="B10" s="317"/>
      <c r="C10" s="414">
        <v>84989.9</v>
      </c>
      <c r="D10" s="14">
        <v>50000</v>
      </c>
      <c r="E10" s="14">
        <v>50000</v>
      </c>
    </row>
    <row r="11" spans="1:6">
      <c r="A11" s="311" t="s">
        <v>44</v>
      </c>
      <c r="B11" s="317"/>
      <c r="C11" s="414">
        <v>211009.26</v>
      </c>
      <c r="D11" s="14">
        <v>196599</v>
      </c>
      <c r="E11" s="40">
        <f>mvalloc!C7</f>
        <v>218689.6</v>
      </c>
    </row>
    <row r="12" spans="1:6">
      <c r="A12" s="311" t="s">
        <v>45</v>
      </c>
      <c r="B12" s="317"/>
      <c r="C12" s="414">
        <v>1632.92</v>
      </c>
      <c r="D12" s="14">
        <v>1844</v>
      </c>
      <c r="E12" s="40">
        <f>mvalloc!D7</f>
        <v>1738.32</v>
      </c>
    </row>
    <row r="13" spans="1:6">
      <c r="A13" s="311" t="s">
        <v>153</v>
      </c>
      <c r="B13" s="317"/>
      <c r="C13" s="414">
        <v>2074.62</v>
      </c>
      <c r="D13" s="14">
        <v>2133</v>
      </c>
      <c r="E13" s="40">
        <f>mvalloc!E7</f>
        <v>2096.7800000000002</v>
      </c>
    </row>
    <row r="14" spans="1:6">
      <c r="A14" s="311" t="s">
        <v>154</v>
      </c>
      <c r="B14" s="317"/>
      <c r="C14" s="414"/>
      <c r="D14" s="14"/>
      <c r="E14" s="40">
        <f>inputOth!E15</f>
        <v>0</v>
      </c>
    </row>
    <row r="15" spans="1:6">
      <c r="A15" s="311" t="s">
        <v>222</v>
      </c>
      <c r="B15" s="317"/>
      <c r="C15" s="414"/>
      <c r="D15" s="14"/>
      <c r="E15" s="40">
        <f>inputOth!E40</f>
        <v>0</v>
      </c>
    </row>
    <row r="16" spans="1:6">
      <c r="A16" s="311" t="s">
        <v>223</v>
      </c>
      <c r="B16" s="317"/>
      <c r="C16" s="414"/>
      <c r="D16" s="14"/>
      <c r="E16" s="40">
        <f>inputOth!E41</f>
        <v>0</v>
      </c>
    </row>
    <row r="17" spans="1:6">
      <c r="A17" s="321" t="s">
        <v>224</v>
      </c>
      <c r="B17" s="352"/>
      <c r="C17" s="414"/>
      <c r="D17" s="14"/>
      <c r="E17" s="40">
        <f>mvalloc!F7</f>
        <v>0</v>
      </c>
    </row>
    <row r="18" spans="1:6">
      <c r="A18" s="328" t="s">
        <v>621</v>
      </c>
      <c r="B18" s="318"/>
      <c r="C18" s="414">
        <f>265.5+5.09</f>
        <v>270.58999999999997</v>
      </c>
      <c r="D18" s="14">
        <v>20</v>
      </c>
      <c r="E18" s="14">
        <v>538</v>
      </c>
    </row>
    <row r="19" spans="1:6">
      <c r="A19" s="328" t="s">
        <v>622</v>
      </c>
      <c r="B19" s="372"/>
      <c r="C19" s="414">
        <v>27899.69</v>
      </c>
      <c r="D19" s="14">
        <v>25000</v>
      </c>
      <c r="E19" s="14">
        <v>20000</v>
      </c>
    </row>
    <row r="20" spans="1:6">
      <c r="A20" s="328" t="s">
        <v>681</v>
      </c>
      <c r="B20" s="372"/>
      <c r="C20" s="414">
        <v>8145.52</v>
      </c>
      <c r="D20" s="14">
        <v>0</v>
      </c>
      <c r="E20" s="14">
        <v>0</v>
      </c>
      <c r="F20" s="11"/>
    </row>
    <row r="21" spans="1:6">
      <c r="A21" s="328" t="s">
        <v>497</v>
      </c>
      <c r="B21" s="372"/>
      <c r="C21" s="414">
        <v>19150.87</v>
      </c>
      <c r="D21" s="14">
        <v>19583.330000000002</v>
      </c>
      <c r="E21" s="14">
        <v>17838</v>
      </c>
    </row>
    <row r="22" spans="1:6">
      <c r="A22" s="328" t="s">
        <v>623</v>
      </c>
      <c r="B22" s="372"/>
      <c r="C22" s="414">
        <v>5220140.1900000004</v>
      </c>
      <c r="D22" s="14">
        <v>4800000</v>
      </c>
      <c r="E22" s="14">
        <v>4650000</v>
      </c>
    </row>
    <row r="23" spans="1:6">
      <c r="A23" s="328" t="s">
        <v>624</v>
      </c>
      <c r="B23" s="372"/>
      <c r="C23" s="414">
        <v>6769.18</v>
      </c>
      <c r="D23" s="14">
        <v>7500</v>
      </c>
      <c r="E23" s="14">
        <v>7500</v>
      </c>
    </row>
    <row r="24" spans="1:6">
      <c r="A24" s="328" t="s">
        <v>625</v>
      </c>
      <c r="B24" s="372"/>
      <c r="C24" s="414">
        <v>300000</v>
      </c>
      <c r="D24" s="14">
        <v>300000</v>
      </c>
      <c r="E24" s="14">
        <v>300000</v>
      </c>
    </row>
    <row r="25" spans="1:6">
      <c r="A25" s="328" t="s">
        <v>626</v>
      </c>
      <c r="B25" s="372"/>
      <c r="C25" s="414">
        <v>109566.04</v>
      </c>
      <c r="D25" s="14">
        <v>220000</v>
      </c>
      <c r="E25" s="14">
        <v>300000</v>
      </c>
    </row>
    <row r="26" spans="1:6">
      <c r="A26" s="328" t="s">
        <v>627</v>
      </c>
      <c r="B26" s="372"/>
      <c r="C26" s="414">
        <v>60765.63</v>
      </c>
      <c r="D26" s="14">
        <v>65000</v>
      </c>
      <c r="E26" s="14">
        <v>65000</v>
      </c>
    </row>
    <row r="27" spans="1:6">
      <c r="A27" s="328" t="s">
        <v>628</v>
      </c>
      <c r="B27" s="372"/>
      <c r="C27" s="414">
        <v>103387.1</v>
      </c>
      <c r="D27" s="14">
        <v>105000</v>
      </c>
      <c r="E27" s="14">
        <v>105000</v>
      </c>
    </row>
    <row r="28" spans="1:6">
      <c r="A28" s="328" t="s">
        <v>629</v>
      </c>
      <c r="B28" s="372"/>
      <c r="C28" s="414">
        <v>1450000</v>
      </c>
      <c r="D28" s="14">
        <v>1550000</v>
      </c>
      <c r="E28" s="14">
        <v>1550000</v>
      </c>
    </row>
    <row r="29" spans="1:6">
      <c r="A29" s="328" t="s">
        <v>630</v>
      </c>
      <c r="B29" s="372"/>
      <c r="C29" s="414">
        <v>22700</v>
      </c>
      <c r="D29" s="14">
        <v>25000</v>
      </c>
      <c r="E29" s="14">
        <v>25000</v>
      </c>
    </row>
    <row r="30" spans="1:6">
      <c r="A30" s="328" t="s">
        <v>631</v>
      </c>
      <c r="B30" s="372"/>
      <c r="C30" s="414">
        <v>177234.53</v>
      </c>
      <c r="D30" s="14">
        <v>181442.44</v>
      </c>
      <c r="E30" s="14">
        <v>175689.26</v>
      </c>
    </row>
    <row r="31" spans="1:6">
      <c r="A31" s="328" t="s">
        <v>632</v>
      </c>
      <c r="B31" s="372"/>
      <c r="C31" s="414">
        <v>768016.29</v>
      </c>
      <c r="D31" s="14">
        <v>786250.58</v>
      </c>
      <c r="E31" s="14">
        <v>761320.11</v>
      </c>
    </row>
    <row r="32" spans="1:6">
      <c r="A32" s="328" t="s">
        <v>633</v>
      </c>
      <c r="B32" s="372"/>
      <c r="C32" s="414">
        <v>236312.7</v>
      </c>
      <c r="D32" s="14">
        <v>241923.26</v>
      </c>
      <c r="E32" s="14">
        <v>234252.34</v>
      </c>
    </row>
    <row r="33" spans="1:5">
      <c r="A33" s="328" t="s">
        <v>653</v>
      </c>
      <c r="B33" s="372"/>
      <c r="C33" s="414">
        <v>718.32</v>
      </c>
      <c r="D33" s="14">
        <v>0</v>
      </c>
      <c r="E33" s="14">
        <v>0</v>
      </c>
    </row>
    <row r="34" spans="1:5">
      <c r="A34" s="328" t="s">
        <v>654</v>
      </c>
      <c r="B34" s="372"/>
      <c r="C34" s="414">
        <f>1808.24-718.32</f>
        <v>1089.92</v>
      </c>
      <c r="D34" s="14">
        <v>0</v>
      </c>
      <c r="E34" s="14">
        <v>0</v>
      </c>
    </row>
    <row r="35" spans="1:5">
      <c r="A35" s="328" t="s">
        <v>634</v>
      </c>
      <c r="B35" s="372"/>
      <c r="C35" s="414">
        <v>9533.43</v>
      </c>
      <c r="D35" s="14">
        <v>10000</v>
      </c>
      <c r="E35" s="14">
        <v>10000</v>
      </c>
    </row>
    <row r="36" spans="1:5">
      <c r="A36" s="328" t="s">
        <v>635</v>
      </c>
      <c r="B36" s="372"/>
      <c r="C36" s="414">
        <v>0</v>
      </c>
      <c r="D36" s="14">
        <v>0</v>
      </c>
      <c r="E36" s="14">
        <v>0</v>
      </c>
    </row>
    <row r="37" spans="1:5">
      <c r="A37" s="328" t="s">
        <v>636</v>
      </c>
      <c r="B37" s="372"/>
      <c r="C37" s="414">
        <v>267995.01</v>
      </c>
      <c r="D37" s="14">
        <v>265910</v>
      </c>
      <c r="E37" s="14">
        <v>267940</v>
      </c>
    </row>
    <row r="38" spans="1:5">
      <c r="A38" s="328" t="s">
        <v>637</v>
      </c>
      <c r="B38" s="372"/>
      <c r="C38" s="414">
        <v>76698.009999999995</v>
      </c>
      <c r="D38" s="14">
        <v>76500</v>
      </c>
      <c r="E38" s="14">
        <v>76500</v>
      </c>
    </row>
    <row r="39" spans="1:5">
      <c r="A39" s="328" t="s">
        <v>638</v>
      </c>
      <c r="B39" s="372"/>
      <c r="C39" s="414">
        <v>36479.19</v>
      </c>
      <c r="D39" s="14">
        <v>41290</v>
      </c>
      <c r="E39" s="14">
        <v>41450</v>
      </c>
    </row>
    <row r="40" spans="1:5">
      <c r="A40" s="328" t="s">
        <v>328</v>
      </c>
      <c r="B40" s="372"/>
      <c r="C40" s="414">
        <v>0</v>
      </c>
      <c r="D40" s="14">
        <v>32000</v>
      </c>
      <c r="E40" s="14">
        <v>20000</v>
      </c>
    </row>
    <row r="41" spans="1:5">
      <c r="A41" s="328" t="s">
        <v>639</v>
      </c>
      <c r="B41" s="372"/>
      <c r="C41" s="414">
        <v>45345.04</v>
      </c>
      <c r="D41" s="14">
        <v>60000</v>
      </c>
      <c r="E41" s="14">
        <v>60000</v>
      </c>
    </row>
    <row r="42" spans="1:5">
      <c r="A42" s="328" t="s">
        <v>640</v>
      </c>
      <c r="B42" s="372"/>
      <c r="C42" s="414">
        <v>383911.96</v>
      </c>
      <c r="D42" s="14">
        <v>491925</v>
      </c>
      <c r="E42" s="14">
        <v>491925</v>
      </c>
    </row>
    <row r="43" spans="1:5">
      <c r="A43" s="328" t="s">
        <v>641</v>
      </c>
      <c r="B43" s="372"/>
      <c r="C43" s="414">
        <v>400</v>
      </c>
      <c r="D43" s="14">
        <v>2400</v>
      </c>
      <c r="E43" s="14">
        <v>2400</v>
      </c>
    </row>
    <row r="44" spans="1:5">
      <c r="A44" s="328" t="s">
        <v>94</v>
      </c>
      <c r="B44" s="372"/>
      <c r="C44" s="414">
        <v>143256.87</v>
      </c>
      <c r="D44" s="14">
        <v>108875</v>
      </c>
      <c r="E44" s="14">
        <f>73875+2</f>
        <v>73877</v>
      </c>
    </row>
    <row r="45" spans="1:5">
      <c r="A45" s="328" t="s">
        <v>642</v>
      </c>
      <c r="B45" s="372"/>
      <c r="C45" s="414">
        <v>0</v>
      </c>
      <c r="D45" s="14">
        <v>0</v>
      </c>
      <c r="E45" s="14">
        <v>0</v>
      </c>
    </row>
    <row r="46" spans="1:5">
      <c r="A46" s="328" t="s">
        <v>643</v>
      </c>
      <c r="B46" s="372"/>
      <c r="C46" s="304">
        <v>5487.26</v>
      </c>
      <c r="D46" s="14">
        <v>5000</v>
      </c>
      <c r="E46" s="14">
        <v>5000</v>
      </c>
    </row>
    <row r="47" spans="1:5">
      <c r="A47" s="328"/>
      <c r="B47" s="318"/>
      <c r="C47" s="304"/>
      <c r="D47" s="14"/>
      <c r="E47" s="14"/>
    </row>
    <row r="48" spans="1:5">
      <c r="A48" s="328"/>
      <c r="B48" s="318"/>
      <c r="C48" s="304"/>
      <c r="D48" s="14"/>
      <c r="E48" s="14"/>
    </row>
    <row r="49" spans="1:9">
      <c r="A49" s="328"/>
      <c r="B49" s="318"/>
      <c r="C49" s="304"/>
      <c r="D49" s="14"/>
      <c r="E49" s="14"/>
    </row>
    <row r="50" spans="1:9">
      <c r="A50" s="328"/>
      <c r="B50" s="318"/>
      <c r="C50" s="304"/>
      <c r="D50" s="18">
        <v>0</v>
      </c>
      <c r="E50" s="14"/>
    </row>
    <row r="51" spans="1:9">
      <c r="A51" s="328"/>
      <c r="B51" s="318"/>
      <c r="C51" s="304"/>
      <c r="D51" s="14"/>
      <c r="E51" s="14"/>
    </row>
    <row r="52" spans="1:9">
      <c r="A52" s="312" t="s">
        <v>46</v>
      </c>
      <c r="B52" s="318"/>
      <c r="C52" s="304">
        <v>20858.52</v>
      </c>
      <c r="D52" s="14">
        <v>22000</v>
      </c>
      <c r="E52" s="14">
        <v>22000</v>
      </c>
    </row>
    <row r="53" spans="1:9">
      <c r="A53" s="321" t="s">
        <v>351</v>
      </c>
      <c r="B53" s="317"/>
      <c r="C53" s="304"/>
      <c r="D53" s="304"/>
      <c r="E53" s="304"/>
    </row>
    <row r="54" spans="1:9">
      <c r="A54" s="311" t="s">
        <v>353</v>
      </c>
      <c r="B54" s="317"/>
      <c r="C54" s="355" t="str">
        <f>IF(C55*0.1&lt;C53,"Exceed 10% Rule","")</f>
        <v/>
      </c>
      <c r="D54" s="355" t="str">
        <f>IF(D55*0.1&lt;D53,"Exceed 10% Rule","")</f>
        <v/>
      </c>
      <c r="E54" s="355" t="str">
        <f>IF(E55*0.1&lt;E53,"Exceed 10% Rule","")</f>
        <v/>
      </c>
    </row>
    <row r="55" spans="1:9">
      <c r="A55" s="151" t="s">
        <v>47</v>
      </c>
      <c r="B55" s="317"/>
      <c r="C55" s="307">
        <f>SUM(C9:C53)</f>
        <v>13535914.509999994</v>
      </c>
      <c r="D55" s="260">
        <f>SUM(D9:D53)</f>
        <v>13564317.609999999</v>
      </c>
      <c r="E55" s="260">
        <f>SUM(E10:E53)</f>
        <v>9555754.4100000001</v>
      </c>
      <c r="F55" s="377">
        <f>+C55-13465501.54-70412.97</f>
        <v>-4.9185473471879959E-9</v>
      </c>
      <c r="G55" s="11">
        <f>+D55-13334415.96-83342</f>
        <v>146559.64999999851</v>
      </c>
      <c r="H55" s="11">
        <f>+E55-9555754.71</f>
        <v>-0.30000000074505806</v>
      </c>
      <c r="I55" s="378"/>
    </row>
    <row r="56" spans="1:9">
      <c r="A56" s="151" t="s">
        <v>48</v>
      </c>
      <c r="B56" s="317"/>
      <c r="C56" s="314">
        <f>C7+C55</f>
        <v>13816011.849999994</v>
      </c>
      <c r="D56" s="263">
        <f>D7+D55</f>
        <v>14020079.709999993</v>
      </c>
      <c r="E56" s="263">
        <f>E7+E55</f>
        <v>9915394.5599999949</v>
      </c>
      <c r="G56" s="11">
        <f>+D9-3641220.35-83342</f>
        <v>146559.64999999991</v>
      </c>
    </row>
    <row r="57" spans="1:9">
      <c r="A57" s="21"/>
      <c r="B57" s="21"/>
      <c r="C57" s="21"/>
      <c r="D57" s="21"/>
      <c r="E57" s="21"/>
      <c r="G57" s="11"/>
    </row>
    <row r="58" spans="1:9">
      <c r="A58" s="461" t="s">
        <v>186</v>
      </c>
      <c r="B58" s="461"/>
      <c r="C58" s="461"/>
      <c r="D58" s="461"/>
      <c r="E58" s="461"/>
    </row>
    <row r="59" spans="1:9">
      <c r="A59" s="133"/>
      <c r="B59" s="133"/>
      <c r="C59" s="133"/>
      <c r="D59" s="133"/>
      <c r="E59" s="133"/>
    </row>
    <row r="60" spans="1:9">
      <c r="A60" s="72" t="str">
        <f>inputPrYr!D2</f>
        <v>City of Coffeyville</v>
      </c>
      <c r="B60" s="72"/>
      <c r="C60" s="21"/>
      <c r="D60" s="21"/>
      <c r="E60" s="24"/>
    </row>
    <row r="61" spans="1:9">
      <c r="A61" s="21"/>
      <c r="B61" s="21"/>
      <c r="C61" s="21"/>
      <c r="D61" s="21"/>
      <c r="E61" s="23"/>
    </row>
    <row r="62" spans="1:9">
      <c r="A62" s="89" t="s">
        <v>113</v>
      </c>
      <c r="B62" s="89"/>
      <c r="C62" s="87"/>
      <c r="D62" s="87"/>
      <c r="E62" s="87"/>
    </row>
    <row r="63" spans="1:9">
      <c r="A63" s="21" t="s">
        <v>41</v>
      </c>
      <c r="B63" s="21"/>
      <c r="C63" s="93" t="s">
        <v>62</v>
      </c>
      <c r="D63" s="33" t="s">
        <v>205</v>
      </c>
      <c r="E63" s="33" t="s">
        <v>206</v>
      </c>
    </row>
    <row r="64" spans="1:9">
      <c r="A64" s="137" t="str">
        <f>inputPrYr!B16</f>
        <v>General</v>
      </c>
      <c r="B64" s="137"/>
      <c r="C64" s="145">
        <f>C6</f>
        <v>2011</v>
      </c>
      <c r="D64" s="145">
        <f>D6</f>
        <v>2012</v>
      </c>
      <c r="E64" s="145">
        <f>E6</f>
        <v>2013</v>
      </c>
    </row>
    <row r="65" spans="1:5">
      <c r="A65" s="329" t="s">
        <v>48</v>
      </c>
      <c r="B65" s="330"/>
      <c r="C65" s="119">
        <f>C56</f>
        <v>13816011.849999994</v>
      </c>
      <c r="D65" s="85">
        <f>D56</f>
        <v>14020079.709999993</v>
      </c>
      <c r="E65" s="85">
        <f>E56</f>
        <v>9915394.5599999949</v>
      </c>
    </row>
    <row r="66" spans="1:5">
      <c r="A66" s="316" t="s">
        <v>50</v>
      </c>
      <c r="B66" s="330"/>
      <c r="C66" s="305"/>
      <c r="D66" s="40"/>
      <c r="E66" s="40"/>
    </row>
    <row r="67" spans="1:5">
      <c r="A67" s="312" t="str">
        <f>+'010-detail1'!$A$7</f>
        <v>City Commission</v>
      </c>
      <c r="B67" s="331"/>
      <c r="C67" s="304">
        <f>+'010-detail1'!$B$15</f>
        <v>5687.3799999999992</v>
      </c>
      <c r="D67" s="14">
        <f>+'010-detail1'!$C$15</f>
        <v>3200</v>
      </c>
      <c r="E67" s="14">
        <f>+'010-detail1'!$D$15</f>
        <v>6550</v>
      </c>
    </row>
    <row r="68" spans="1:5">
      <c r="A68" s="312" t="str">
        <f>+'010-detail1'!$A$16</f>
        <v>City Manager</v>
      </c>
      <c r="B68" s="331"/>
      <c r="C68" s="304">
        <f>+'010-detail1'!$B$22</f>
        <v>125406.17</v>
      </c>
      <c r="D68" s="14">
        <f>+'010-detail1'!$C$22</f>
        <v>119142.68</v>
      </c>
      <c r="E68" s="14">
        <f>+'010-detail1'!$D$22</f>
        <v>143664.85999999999</v>
      </c>
    </row>
    <row r="69" spans="1:5">
      <c r="A69" s="312" t="str">
        <f>+'010-detail1'!$A$23</f>
        <v>Legal</v>
      </c>
      <c r="B69" s="331"/>
      <c r="C69" s="304">
        <f>+'010-detail1'!$B$29</f>
        <v>118505.41</v>
      </c>
      <c r="D69" s="14">
        <f>+'010-detail1'!$C$29</f>
        <v>146641.14000000001</v>
      </c>
      <c r="E69" s="14">
        <f>+'010-detail1'!$D$29</f>
        <v>150959.16</v>
      </c>
    </row>
    <row r="70" spans="1:5">
      <c r="A70" s="312" t="str">
        <f>+'010-detail1'!$A$30</f>
        <v>Finance</v>
      </c>
      <c r="B70" s="331"/>
      <c r="C70" s="304">
        <f>+'010-detail1'!$B$35</f>
        <v>146832.26999999999</v>
      </c>
      <c r="D70" s="14">
        <f>+'010-detail1'!$C$35</f>
        <v>150708.54999999999</v>
      </c>
      <c r="E70" s="14">
        <f>+'010-detail1'!$D$35</f>
        <v>152298.69</v>
      </c>
    </row>
    <row r="71" spans="1:5">
      <c r="A71" s="301" t="str">
        <f>+'010-detail1'!$A$36</f>
        <v>City Clerk</v>
      </c>
      <c r="B71" s="331"/>
      <c r="C71" s="304">
        <f>+'010-detail1'!$B$42</f>
        <v>74604.320000000007</v>
      </c>
      <c r="D71" s="14">
        <f>+'010-detail1'!$C$42</f>
        <v>76515.69</v>
      </c>
      <c r="E71" s="14">
        <f>+'010-detail1'!$D$42</f>
        <v>77297.78</v>
      </c>
    </row>
    <row r="72" spans="1:5">
      <c r="A72" s="312" t="str">
        <f>+'010-detail1'!$A$43</f>
        <v>City Treasurer</v>
      </c>
      <c r="B72" s="331"/>
      <c r="C72" s="304">
        <f>+'010-detail1'!$B$49</f>
        <v>61977.02</v>
      </c>
      <c r="D72" s="14">
        <f>+'010-detail1'!$C$49</f>
        <v>65250.96</v>
      </c>
      <c r="E72" s="14">
        <f>+'010-detail1'!$D$49</f>
        <v>65290.57</v>
      </c>
    </row>
    <row r="73" spans="1:5">
      <c r="A73" s="328" t="str">
        <f>+'010-detail1'!$A$50</f>
        <v>Collections</v>
      </c>
      <c r="B73" s="331"/>
      <c r="C73" s="304">
        <f>+'010-detail1'!$B$56</f>
        <v>346001.89000000007</v>
      </c>
      <c r="D73" s="14">
        <f>+'010-detail1'!$C$56</f>
        <v>389067.61</v>
      </c>
      <c r="E73" s="14">
        <f>+'010-detail1'!$D$56</f>
        <v>355048.29000000004</v>
      </c>
    </row>
    <row r="74" spans="1:5">
      <c r="A74" s="301" t="str">
        <f>+'010-detail1'!$A$57</f>
        <v>Information Technology</v>
      </c>
      <c r="B74" s="331"/>
      <c r="C74" s="304">
        <f>+'010-detail1'!$B$63</f>
        <v>121897.11</v>
      </c>
      <c r="D74" s="14">
        <f>+'010-detail1'!$C$63</f>
        <v>182106.74</v>
      </c>
      <c r="E74" s="14">
        <f>+'010-detail1'!$D$63</f>
        <v>186429.77</v>
      </c>
    </row>
    <row r="75" spans="1:5">
      <c r="A75" s="312" t="str">
        <f>+'010-detail2'!$A$7</f>
        <v>Personnel</v>
      </c>
      <c r="B75" s="331"/>
      <c r="C75" s="304">
        <f>+'010-detail2'!$B$15</f>
        <v>74423</v>
      </c>
      <c r="D75" s="14">
        <f>+'010-detail2'!$C$15</f>
        <v>76748.69</v>
      </c>
      <c r="E75" s="14">
        <f>+'010-detail2'!$D$15</f>
        <v>77555.78</v>
      </c>
    </row>
    <row r="76" spans="1:5">
      <c r="A76" s="312" t="str">
        <f>+'010-detail2'!$A$16</f>
        <v>Police</v>
      </c>
      <c r="B76" s="331"/>
      <c r="C76" s="304">
        <f>+'010-detail2'!$B$22</f>
        <v>2245016.9300000002</v>
      </c>
      <c r="D76" s="14">
        <f>+'010-detail2'!$C$22</f>
        <v>2486168.7799999998</v>
      </c>
      <c r="E76" s="14">
        <f>+'010-detail2'!$D$22</f>
        <v>2567043.84</v>
      </c>
    </row>
    <row r="77" spans="1:5">
      <c r="A77" s="312" t="str">
        <f>+'010-detail2'!$A$23</f>
        <v>Animal Control</v>
      </c>
      <c r="B77" s="331"/>
      <c r="C77" s="304">
        <f>+'010-detail2'!$B$29</f>
        <v>75214.469999999987</v>
      </c>
      <c r="D77" s="14">
        <f>+'010-detail2'!$C$29</f>
        <v>78382.09</v>
      </c>
      <c r="E77" s="14">
        <f>+'010-detail2'!$D$29</f>
        <v>81956.47</v>
      </c>
    </row>
    <row r="78" spans="1:5">
      <c r="A78" s="312" t="str">
        <f>+'010-detail2'!$A$30</f>
        <v>Fire</v>
      </c>
      <c r="B78" s="331"/>
      <c r="C78" s="304">
        <f>+'010-detail2'!$B$35</f>
        <v>1462745.0300000003</v>
      </c>
      <c r="D78" s="14">
        <f>+'010-detail2'!$C$35</f>
        <v>1541780.44</v>
      </c>
      <c r="E78" s="14">
        <f>+'010-detail2'!$D$35</f>
        <v>1546540.97</v>
      </c>
    </row>
    <row r="79" spans="1:5">
      <c r="A79" s="301" t="str">
        <f>+'010-detail2'!$A$36</f>
        <v>Code Enforcement</v>
      </c>
      <c r="B79" s="331"/>
      <c r="C79" s="304">
        <f>+'010-detail2'!$B$42</f>
        <v>131661.03</v>
      </c>
      <c r="D79" s="14">
        <f>+'010-detail2'!$C$42</f>
        <v>136301.34</v>
      </c>
      <c r="E79" s="14">
        <f>+'010-detail2'!$D$42</f>
        <v>135793.45000000001</v>
      </c>
    </row>
    <row r="80" spans="1:5">
      <c r="A80" s="312" t="str">
        <f>+'010-detail2'!$A$43</f>
        <v>Engineering</v>
      </c>
      <c r="B80" s="331"/>
      <c r="C80" s="304">
        <f>+'010-detail2'!$B$49</f>
        <v>319114.92000000004</v>
      </c>
      <c r="D80" s="14">
        <f>+'010-detail2'!$C$49</f>
        <v>327911.43</v>
      </c>
      <c r="E80" s="14">
        <f>+'010-detail2'!$D$49</f>
        <v>333992.01</v>
      </c>
    </row>
    <row r="81" spans="1:5">
      <c r="A81" s="328" t="str">
        <f>+'010-detail2'!$A$50</f>
        <v>Community Development</v>
      </c>
      <c r="B81" s="331"/>
      <c r="C81" s="304">
        <f>+'010-detail2'!$B$56</f>
        <v>112581.31</v>
      </c>
      <c r="D81" s="14">
        <f>+'010-detail2'!$C$56</f>
        <v>109811.84</v>
      </c>
      <c r="E81" s="14">
        <f>+'010-detail2'!$D$56</f>
        <v>68603.56</v>
      </c>
    </row>
    <row r="82" spans="1:5">
      <c r="A82" s="301" t="str">
        <f>+'010-detail2'!$A$57</f>
        <v>City Hall</v>
      </c>
      <c r="B82" s="331"/>
      <c r="C82" s="304">
        <f>+'010-detail2'!$B$63</f>
        <v>56288.04</v>
      </c>
      <c r="D82" s="14">
        <f>+'010-detail2'!$C$63</f>
        <v>64277.31</v>
      </c>
      <c r="E82" s="14">
        <f>+'010-detail2'!$D$63</f>
        <v>61634.91</v>
      </c>
    </row>
    <row r="83" spans="1:5">
      <c r="A83" s="312" t="str">
        <f>+'010-detail3'!$A$7</f>
        <v>Other City Buildings</v>
      </c>
      <c r="B83" s="331"/>
      <c r="C83" s="304">
        <f>+'010-detail3'!$B$15</f>
        <v>18566.57</v>
      </c>
      <c r="D83" s="14">
        <f>+'010-detail3'!$C$15</f>
        <v>15450</v>
      </c>
      <c r="E83" s="14">
        <f>+'010-detail3'!$D$15</f>
        <v>15450</v>
      </c>
    </row>
    <row r="84" spans="1:5">
      <c r="A84" s="312" t="str">
        <f>+'010-detail3'!$A$16</f>
        <v>Non-Departmental</v>
      </c>
      <c r="B84" s="331"/>
      <c r="C84" s="304">
        <f>+'010-detail3'!$B$22</f>
        <v>120474.48999999999</v>
      </c>
      <c r="D84" s="14">
        <f>+'010-detail3'!$C$22</f>
        <v>124425</v>
      </c>
      <c r="E84" s="14">
        <f>+'010-detail3'!$D$22</f>
        <v>137525</v>
      </c>
    </row>
    <row r="85" spans="1:5">
      <c r="A85" s="312" t="str">
        <f>+'010-detail3'!$A$23</f>
        <v>P &amp; Z Commission</v>
      </c>
      <c r="B85" s="331"/>
      <c r="C85" s="304">
        <f>+'010-detail3'!$B$29</f>
        <v>1949.6</v>
      </c>
      <c r="D85" s="14">
        <f>+'010-detail3'!$C$29</f>
        <v>2800</v>
      </c>
      <c r="E85" s="14">
        <f>+'010-detail3'!$D$29</f>
        <v>3300</v>
      </c>
    </row>
    <row r="86" spans="1:5">
      <c r="A86" s="312" t="str">
        <f>+'010-detail3'!$A$30</f>
        <v>Sr Citizens Building</v>
      </c>
      <c r="B86" s="331"/>
      <c r="C86" s="304">
        <f>+'010-detail3'!$B$35</f>
        <v>21637.74</v>
      </c>
      <c r="D86" s="14">
        <f>+'010-detail3'!$C$35</f>
        <v>4300</v>
      </c>
      <c r="E86" s="14">
        <f>+'010-detail3'!$D$35</f>
        <v>1900</v>
      </c>
    </row>
    <row r="87" spans="1:5">
      <c r="A87" s="301" t="str">
        <f>+'010-detail3'!$A$36</f>
        <v>City Recreation Building</v>
      </c>
      <c r="B87" s="331"/>
      <c r="C87" s="304">
        <f>+'010-detail3'!$B$42</f>
        <v>2625.8</v>
      </c>
      <c r="D87" s="14">
        <f>+'010-detail3'!$C$42</f>
        <v>2500</v>
      </c>
      <c r="E87" s="14">
        <f>+'010-detail3'!$D$42</f>
        <v>2500</v>
      </c>
    </row>
    <row r="88" spans="1:5">
      <c r="A88" s="312" t="str">
        <f>+'010-detail3'!$A$43</f>
        <v>Public Service - Administration</v>
      </c>
      <c r="B88" s="331"/>
      <c r="C88" s="304">
        <f>+'010-detail3'!$B$49</f>
        <v>99622.11</v>
      </c>
      <c r="D88" s="14">
        <f>+'010-detail3'!$C$49</f>
        <v>108423.84</v>
      </c>
      <c r="E88" s="14">
        <f>+'010-detail3'!$D$49</f>
        <v>109025.39</v>
      </c>
    </row>
    <row r="89" spans="1:5">
      <c r="A89" s="328" t="str">
        <f>+'010-detail3'!$A$50</f>
        <v>Public Service - Streets &amp; Alleys</v>
      </c>
      <c r="B89" s="331"/>
      <c r="C89" s="304">
        <f>+'010-detail3'!$B$56</f>
        <v>1403070.9200000002</v>
      </c>
      <c r="D89" s="14">
        <f>+'010-detail3'!$C$56</f>
        <v>1442949.4300000002</v>
      </c>
      <c r="E89" s="14">
        <f>+'010-detail3'!$D$56</f>
        <v>1474728.73</v>
      </c>
    </row>
    <row r="90" spans="1:5">
      <c r="A90" s="301" t="str">
        <f>+'010-detail3'!$A$57</f>
        <v>Capital Improvement</v>
      </c>
      <c r="B90" s="331"/>
      <c r="C90" s="304">
        <f>+'010-detail3'!$B$63</f>
        <v>4224440.4499999993</v>
      </c>
      <c r="D90" s="14">
        <f>+'010-detail3'!$C$63</f>
        <v>4017411</v>
      </c>
      <c r="E90" s="14">
        <f>+'010-detail3'!$D$63</f>
        <v>3927550</v>
      </c>
    </row>
    <row r="91" spans="1:5">
      <c r="A91" s="312" t="str">
        <f>+'010-detail4'!$A$7</f>
        <v>Capital Equipment</v>
      </c>
      <c r="B91" s="331"/>
      <c r="C91" s="304">
        <f>+'010-detail4'!$B$15</f>
        <v>174004.67</v>
      </c>
      <c r="D91" s="14">
        <f>+'010-detail4'!$C$15</f>
        <v>160000</v>
      </c>
      <c r="E91" s="14">
        <f>+'010-detail4'!$D$15</f>
        <v>155000</v>
      </c>
    </row>
    <row r="92" spans="1:5">
      <c r="A92" s="312" t="str">
        <f>+'010-detail4'!$A$16</f>
        <v>Economic Development</v>
      </c>
      <c r="B92" s="331"/>
      <c r="C92" s="304">
        <f>+'010-detail4'!$B$22</f>
        <v>1740046.76</v>
      </c>
      <c r="D92" s="14">
        <f>+'010-detail4'!$C$22</f>
        <v>1600000</v>
      </c>
      <c r="E92" s="14">
        <f>+'010-detail4'!$D$22</f>
        <v>1550000</v>
      </c>
    </row>
    <row r="93" spans="1:5">
      <c r="A93" s="312" t="str">
        <f>+'010-detail4'!$A$23</f>
        <v>Industrial Levy Fund</v>
      </c>
      <c r="B93" s="331"/>
      <c r="C93" s="304">
        <f>+'010-detail4'!$B$29</f>
        <v>75854.34</v>
      </c>
      <c r="D93" s="14">
        <f>+'010-detail4'!$C$29</f>
        <v>81605</v>
      </c>
      <c r="E93" s="14">
        <f>+'010-detail4'!$D$29</f>
        <v>43785</v>
      </c>
    </row>
    <row r="94" spans="1:5">
      <c r="A94" s="312" t="str">
        <f>+'010-detail4'!$A$30</f>
        <v>Capital Development</v>
      </c>
      <c r="B94" s="331"/>
      <c r="C94" s="304">
        <f>+'010-detail4'!$B$35</f>
        <v>0</v>
      </c>
      <c r="D94" s="18">
        <f>+'010-detail4'!$C$35</f>
        <v>146560</v>
      </c>
      <c r="E94" s="18">
        <f>+'010-detail4'!$D$35</f>
        <v>52213</v>
      </c>
    </row>
    <row r="95" spans="1:5">
      <c r="A95" s="301"/>
      <c r="B95" s="331"/>
      <c r="C95" s="304"/>
      <c r="D95" s="14"/>
      <c r="E95" s="14"/>
    </row>
    <row r="96" spans="1:5">
      <c r="A96" s="312"/>
      <c r="B96" s="331"/>
      <c r="C96" s="304"/>
      <c r="D96" s="14"/>
      <c r="E96" s="14"/>
    </row>
    <row r="97" spans="1:8">
      <c r="A97" s="328"/>
      <c r="B97" s="331"/>
      <c r="C97" s="304"/>
      <c r="D97" s="14"/>
      <c r="E97" s="14"/>
    </row>
    <row r="98" spans="1:8">
      <c r="A98" s="301"/>
      <c r="B98" s="331"/>
      <c r="C98" s="304"/>
      <c r="D98" s="14"/>
      <c r="E98" s="14"/>
    </row>
    <row r="99" spans="1:8">
      <c r="A99" s="301"/>
      <c r="B99" s="331"/>
      <c r="C99" s="304"/>
      <c r="D99" s="14"/>
      <c r="E99" s="14"/>
    </row>
    <row r="100" spans="1:8">
      <c r="A100" s="301"/>
      <c r="B100" s="331"/>
      <c r="C100" s="304"/>
      <c r="D100" s="14"/>
      <c r="E100" s="14"/>
    </row>
    <row r="101" spans="1:8">
      <c r="A101" s="301"/>
      <c r="B101" s="331"/>
      <c r="C101" s="304"/>
      <c r="D101" s="14"/>
      <c r="E101" s="14"/>
    </row>
    <row r="102" spans="1:8">
      <c r="A102" s="301"/>
      <c r="B102" s="331"/>
      <c r="C102" s="304"/>
      <c r="D102" s="14"/>
      <c r="E102" s="14"/>
    </row>
    <row r="103" spans="1:8">
      <c r="A103" s="301"/>
      <c r="B103" s="331"/>
      <c r="C103" s="304"/>
      <c r="D103" s="14"/>
      <c r="E103" s="14"/>
    </row>
    <row r="104" spans="1:8">
      <c r="A104" s="301"/>
      <c r="B104" s="331"/>
      <c r="C104" s="304"/>
      <c r="D104" s="14"/>
      <c r="E104" s="14"/>
    </row>
    <row r="105" spans="1:8">
      <c r="A105" s="301"/>
      <c r="B105" s="331"/>
      <c r="C105" s="304"/>
      <c r="D105" s="14"/>
      <c r="E105" s="14"/>
    </row>
    <row r="106" spans="1:8">
      <c r="A106" s="301"/>
      <c r="B106" s="331"/>
      <c r="C106" s="304"/>
      <c r="D106" s="14"/>
      <c r="E106" s="14"/>
    </row>
    <row r="107" spans="1:8">
      <c r="A107" s="319" t="s">
        <v>350</v>
      </c>
      <c r="B107" s="317"/>
      <c r="C107" s="304"/>
      <c r="D107" s="14"/>
      <c r="E107" s="258" t="str">
        <f>nhood!E6</f>
        <v/>
      </c>
    </row>
    <row r="108" spans="1:8">
      <c r="A108" s="319" t="s">
        <v>351</v>
      </c>
      <c r="B108" s="317"/>
      <c r="C108" s="304"/>
      <c r="D108" s="304"/>
      <c r="E108" s="304"/>
    </row>
    <row r="109" spans="1:8">
      <c r="A109" s="319" t="s">
        <v>352</v>
      </c>
      <c r="B109" s="317"/>
      <c r="C109" s="355" t="str">
        <f>IF(C110*0.1&lt;C108,"Exceed 10% Rule","")</f>
        <v/>
      </c>
      <c r="D109" s="355" t="str">
        <f>IF(D110*0.1&lt;D108,"Exceed 10% Rule","")</f>
        <v/>
      </c>
      <c r="E109" s="355" t="str">
        <f>IF(E110*0.1&lt;E108,"Exceed 10% Rule","")</f>
        <v/>
      </c>
    </row>
    <row r="110" spans="1:8">
      <c r="A110" s="151" t="s">
        <v>54</v>
      </c>
      <c r="B110" s="330"/>
      <c r="C110" s="307">
        <f>SUM(C67:C108)</f>
        <v>13360249.75</v>
      </c>
      <c r="D110" s="260">
        <f>SUM(D67:D108)</f>
        <v>13660439.559999999</v>
      </c>
      <c r="E110" s="260">
        <f>SUM(E67:E108)</f>
        <v>13483637.229999999</v>
      </c>
      <c r="F110" s="11">
        <f>+C110-13284395.41-75854.34</f>
        <v>-1.4551915228366852E-10</v>
      </c>
      <c r="G110" s="11">
        <f>+D110-13432274.56-81605</f>
        <v>146559.99999999814</v>
      </c>
      <c r="H110" s="11">
        <f>+E110-13387639.22-43785</f>
        <v>52213.009999997914</v>
      </c>
    </row>
    <row r="111" spans="1:8">
      <c r="A111" s="37" t="s">
        <v>177</v>
      </c>
      <c r="B111" s="330"/>
      <c r="C111" s="315">
        <f>C56-C110</f>
        <v>455762.09999999404</v>
      </c>
      <c r="D111" s="262">
        <f>D56-D110</f>
        <v>359640.14999999478</v>
      </c>
      <c r="E111" s="45" t="s">
        <v>30</v>
      </c>
    </row>
    <row r="112" spans="1:8">
      <c r="A112" s="23" t="str">
        <f>CONCATENATE("",E1-2," Budget Authority Limited Amount:")</f>
        <v>2011 Budget Authority Limited Amount:</v>
      </c>
      <c r="B112" s="338">
        <f>+inputOth!B59</f>
        <v>13872509</v>
      </c>
      <c r="C112" s="72"/>
      <c r="D112" s="23" t="s">
        <v>55</v>
      </c>
      <c r="E112" s="14">
        <v>119142.34</v>
      </c>
      <c r="F112" s="296" t="str">
        <f>IF(E110/0.95-E110&lt;E112,"Exceeds 5%","")</f>
        <v/>
      </c>
    </row>
    <row r="113" spans="1:6">
      <c r="A113" s="23" t="str">
        <f>CONCATENATE("Violation of Budget Law for ",E1-2,":")</f>
        <v>Violation of Budget Law for 2011:</v>
      </c>
      <c r="B113" s="339" t="str">
        <f>IF(C110&gt;B112,"Yes","")</f>
        <v/>
      </c>
      <c r="C113" s="72"/>
      <c r="D113" s="23" t="s">
        <v>339</v>
      </c>
      <c r="E113" s="40">
        <f>E110+E112</f>
        <v>13602779.569999998</v>
      </c>
    </row>
    <row r="114" spans="1:6">
      <c r="A114" s="23" t="str">
        <f>CONCATENATE("Possible Cash Violation for ",E1-2,":")</f>
        <v>Possible Cash Violation for 2011:</v>
      </c>
      <c r="B114" s="339" t="str">
        <f>IF(C111&lt;0,"Yes","")</f>
        <v/>
      </c>
      <c r="C114" s="21"/>
      <c r="D114" s="24" t="s">
        <v>56</v>
      </c>
      <c r="E114" s="258">
        <f>IF(E113-E56&gt;0,E113-E56,0)</f>
        <v>3687385.0100000035</v>
      </c>
    </row>
    <row r="115" spans="1:6">
      <c r="A115" s="464" t="s">
        <v>264</v>
      </c>
      <c r="B115" s="464"/>
      <c r="C115" s="465"/>
      <c r="D115" s="228">
        <f>(inputOth!E46)</f>
        <v>0</v>
      </c>
      <c r="E115" s="40">
        <f>ROUND(IF(D115&gt;0,(E114*D115),0),0)</f>
        <v>0</v>
      </c>
    </row>
    <row r="116" spans="1:6">
      <c r="A116" s="21"/>
      <c r="B116" s="21"/>
      <c r="C116" s="462" t="str">
        <f>CONCATENATE("Amount of  ",E1-1," Ad Valorem Tax")</f>
        <v>Amount of  2012 Ad Valorem Tax</v>
      </c>
      <c r="D116" s="463"/>
      <c r="E116" s="258">
        <f>E114+E115</f>
        <v>3687385.0100000035</v>
      </c>
      <c r="F116" s="405">
        <v>3607949.05</v>
      </c>
    </row>
    <row r="117" spans="1:6">
      <c r="A117" s="21"/>
      <c r="B117" s="21"/>
      <c r="C117" s="21"/>
      <c r="D117" s="21"/>
      <c r="E117" s="21"/>
      <c r="F117" s="11">
        <f>+E116-F116</f>
        <v>79435.960000003688</v>
      </c>
    </row>
    <row r="118" spans="1:6">
      <c r="A118" s="461" t="s">
        <v>196</v>
      </c>
      <c r="B118" s="461"/>
      <c r="C118" s="461"/>
      <c r="D118" s="461"/>
      <c r="E118" s="461"/>
    </row>
    <row r="120" spans="1:6">
      <c r="A120"/>
      <c r="B120"/>
    </row>
    <row r="123" spans="1:6">
      <c r="A123" s="2"/>
      <c r="B123" s="2"/>
      <c r="C123" s="2"/>
    </row>
  </sheetData>
  <mergeCells count="4">
    <mergeCell ref="A58:E58"/>
    <mergeCell ref="A118:E118"/>
    <mergeCell ref="C116:D116"/>
    <mergeCell ref="A115:C115"/>
  </mergeCells>
  <phoneticPr fontId="0" type="noConversion"/>
  <conditionalFormatting sqref="C108">
    <cfRule type="cellIs" dxfId="156" priority="1" stopIfTrue="1" operator="greaterThan">
      <formula>$C$110*0.1</formula>
    </cfRule>
  </conditionalFormatting>
  <conditionalFormatting sqref="D108">
    <cfRule type="cellIs" dxfId="155" priority="2" stopIfTrue="1" operator="greaterThan">
      <formula>$D$110*0.1</formula>
    </cfRule>
  </conditionalFormatting>
  <conditionalFormatting sqref="E108">
    <cfRule type="cellIs" dxfId="154" priority="3" stopIfTrue="1" operator="greaterThan">
      <formula>$E$110*0.1</formula>
    </cfRule>
  </conditionalFormatting>
  <conditionalFormatting sqref="E112">
    <cfRule type="cellIs" dxfId="153" priority="4" stopIfTrue="1" operator="greaterThan">
      <formula>$E$110/0.95-$E$110</formula>
    </cfRule>
  </conditionalFormatting>
  <conditionalFormatting sqref="C53">
    <cfRule type="cellIs" dxfId="152" priority="5" stopIfTrue="1" operator="greaterThan">
      <formula>$C$55*0.1</formula>
    </cfRule>
  </conditionalFormatting>
  <conditionalFormatting sqref="D53">
    <cfRule type="cellIs" dxfId="151" priority="6" stopIfTrue="1" operator="greaterThan">
      <formula>$D$55*0.1</formula>
    </cfRule>
  </conditionalFormatting>
  <conditionalFormatting sqref="E53">
    <cfRule type="cellIs" dxfId="150" priority="7" stopIfTrue="1" operator="greaterThan">
      <formula>$E$55*0.1</formula>
    </cfRule>
  </conditionalFormatting>
  <pageMargins left="0.5" right="0.5" top="1" bottom="0.5" header="0.5" footer="0.5"/>
  <pageSetup scale="83" fitToHeight="2" orientation="portrait" blackAndWhite="1" r:id="rId1"/>
  <headerFooter alignWithMargins="0">
    <oddHeader>&amp;RState of Kansas
Coffeyville</oddHeader>
    <oddFooter>&amp;Lrevised 8/06/07</oddFooter>
  </headerFooter>
  <rowBreaks count="1" manualBreakCount="1">
    <brk id="76" max="4" man="1"/>
  </rowBreaks>
  <legacyDrawing r:id="rId2"/>
</worksheet>
</file>

<file path=xl/worksheets/sheet11.xml><?xml version="1.0" encoding="utf-8"?>
<worksheet xmlns="http://schemas.openxmlformats.org/spreadsheetml/2006/main" xmlns:r="http://schemas.openxmlformats.org/officeDocument/2006/relationships">
  <sheetPr>
    <pageSetUpPr fitToPage="1"/>
  </sheetPr>
  <dimension ref="A1:D67"/>
  <sheetViews>
    <sheetView view="pageBreakPreview" topLeftCell="A31" zoomScaleNormal="100" workbookViewId="0">
      <selection activeCell="C30" sqref="C30"/>
    </sheetView>
  </sheetViews>
  <sheetFormatPr defaultRowHeight="15.75"/>
  <cols>
    <col min="1" max="1" width="28.33203125" style="2" customWidth="1"/>
    <col min="2" max="3" width="16.44140625" style="2" customWidth="1"/>
    <col min="4" max="4" width="16.44140625" style="2" bestFit="1" customWidth="1"/>
    <col min="5" max="16384" width="8.88671875" style="2"/>
  </cols>
  <sheetData>
    <row r="1" spans="1:4">
      <c r="A1" s="72" t="str">
        <f>inputPrYr!D2</f>
        <v>City of Coffeyville</v>
      </c>
      <c r="B1" s="21"/>
      <c r="C1" s="92"/>
      <c r="D1" s="21">
        <f>inputPrYr!C5</f>
        <v>2013</v>
      </c>
    </row>
    <row r="2" spans="1:4">
      <c r="A2" s="21"/>
      <c r="B2" s="21"/>
      <c r="C2" s="21"/>
      <c r="D2" s="92"/>
    </row>
    <row r="3" spans="1:4">
      <c r="A3" s="90" t="s">
        <v>116</v>
      </c>
      <c r="B3" s="98"/>
      <c r="C3" s="98"/>
      <c r="D3" s="98"/>
    </row>
    <row r="4" spans="1:4">
      <c r="A4" s="92" t="s">
        <v>41</v>
      </c>
      <c r="B4" s="93" t="s">
        <v>62</v>
      </c>
      <c r="C4" s="33" t="s">
        <v>205</v>
      </c>
      <c r="D4" s="33" t="s">
        <v>206</v>
      </c>
    </row>
    <row r="5" spans="1:4">
      <c r="A5" s="20" t="s">
        <v>645</v>
      </c>
      <c r="B5" s="145">
        <f>D1-2</f>
        <v>2011</v>
      </c>
      <c r="C5" s="145">
        <f>D1-1</f>
        <v>2012</v>
      </c>
      <c r="D5" s="145">
        <f>D1</f>
        <v>2013</v>
      </c>
    </row>
    <row r="6" spans="1:4">
      <c r="A6" s="83" t="s">
        <v>50</v>
      </c>
      <c r="B6" s="40"/>
      <c r="C6" s="40"/>
      <c r="D6" s="40"/>
    </row>
    <row r="7" spans="1:4">
      <c r="A7" s="101" t="s">
        <v>546</v>
      </c>
      <c r="B7" s="40"/>
      <c r="C7" s="40"/>
      <c r="D7" s="40"/>
    </row>
    <row r="8" spans="1:4">
      <c r="A8" s="15" t="s">
        <v>644</v>
      </c>
      <c r="B8" s="14">
        <v>291.55</v>
      </c>
      <c r="C8" s="14">
        <v>0</v>
      </c>
      <c r="D8" s="14">
        <v>0</v>
      </c>
    </row>
    <row r="9" spans="1:4">
      <c r="A9" s="15" t="s">
        <v>51</v>
      </c>
      <c r="B9" s="14">
        <v>1118.8399999999999</v>
      </c>
      <c r="C9" s="14">
        <v>1750</v>
      </c>
      <c r="D9" s="14">
        <v>2700</v>
      </c>
    </row>
    <row r="10" spans="1:4">
      <c r="A10" s="15" t="s">
        <v>52</v>
      </c>
      <c r="B10" s="14">
        <v>885.83</v>
      </c>
      <c r="C10" s="14">
        <v>850</v>
      </c>
      <c r="D10" s="14">
        <v>850</v>
      </c>
    </row>
    <row r="11" spans="1:4">
      <c r="A11" s="15" t="s">
        <v>53</v>
      </c>
      <c r="B11" s="14">
        <v>3391.16</v>
      </c>
      <c r="C11" s="14">
        <v>600</v>
      </c>
      <c r="D11" s="14">
        <v>3000</v>
      </c>
    </row>
    <row r="12" spans="1:4">
      <c r="A12" s="15"/>
      <c r="B12" s="14"/>
      <c r="C12" s="14"/>
      <c r="D12" s="14"/>
    </row>
    <row r="13" spans="1:4">
      <c r="A13" s="8"/>
      <c r="B13" s="14"/>
      <c r="C13" s="14"/>
      <c r="D13" s="14"/>
    </row>
    <row r="14" spans="1:4">
      <c r="A14" s="8"/>
      <c r="B14" s="14"/>
      <c r="C14" s="14"/>
      <c r="D14" s="14"/>
    </row>
    <row r="15" spans="1:4">
      <c r="A15" s="83" t="s">
        <v>13</v>
      </c>
      <c r="B15" s="260">
        <f>SUM(B8:B14)</f>
        <v>5687.3799999999992</v>
      </c>
      <c r="C15" s="260">
        <f>SUM(C8:C14)</f>
        <v>3200</v>
      </c>
      <c r="D15" s="260">
        <f>SUM(D8:D14)</f>
        <v>6550</v>
      </c>
    </row>
    <row r="16" spans="1:4">
      <c r="A16" s="100" t="s">
        <v>547</v>
      </c>
      <c r="B16" s="72"/>
      <c r="C16" s="72"/>
      <c r="D16" s="72"/>
    </row>
    <row r="17" spans="1:4">
      <c r="A17" s="15" t="s">
        <v>644</v>
      </c>
      <c r="B17" s="14">
        <v>116917.67</v>
      </c>
      <c r="C17" s="14">
        <v>110342.68</v>
      </c>
      <c r="D17" s="14">
        <v>132564.85999999999</v>
      </c>
    </row>
    <row r="18" spans="1:4">
      <c r="A18" s="15" t="s">
        <v>51</v>
      </c>
      <c r="B18" s="14">
        <v>8216.14</v>
      </c>
      <c r="C18" s="14">
        <v>7950</v>
      </c>
      <c r="D18" s="14">
        <v>10250</v>
      </c>
    </row>
    <row r="19" spans="1:4">
      <c r="A19" s="15" t="s">
        <v>52</v>
      </c>
      <c r="B19" s="14">
        <v>272.36</v>
      </c>
      <c r="C19" s="14">
        <v>600</v>
      </c>
      <c r="D19" s="14">
        <v>600</v>
      </c>
    </row>
    <row r="20" spans="1:4">
      <c r="A20" s="15" t="s">
        <v>53</v>
      </c>
      <c r="B20" s="14">
        <v>0</v>
      </c>
      <c r="C20" s="14">
        <v>250</v>
      </c>
      <c r="D20" s="14">
        <v>250</v>
      </c>
    </row>
    <row r="21" spans="1:4">
      <c r="A21" s="15"/>
      <c r="B21" s="14"/>
      <c r="C21" s="14"/>
      <c r="D21" s="14"/>
    </row>
    <row r="22" spans="1:4">
      <c r="A22" s="83" t="s">
        <v>13</v>
      </c>
      <c r="B22" s="260">
        <f>SUM(B17:B21)</f>
        <v>125406.17</v>
      </c>
      <c r="C22" s="260">
        <f>SUM(C17:C20)</f>
        <v>119142.68</v>
      </c>
      <c r="D22" s="260">
        <f>SUM(D17:D20)</f>
        <v>143664.85999999999</v>
      </c>
    </row>
    <row r="23" spans="1:4">
      <c r="A23" s="100" t="s">
        <v>548</v>
      </c>
      <c r="B23" s="72"/>
      <c r="C23" s="72"/>
      <c r="D23" s="72"/>
    </row>
    <row r="24" spans="1:4">
      <c r="A24" s="15" t="s">
        <v>644</v>
      </c>
      <c r="B24" s="14">
        <v>15602.16</v>
      </c>
      <c r="C24" s="14">
        <v>15441.14</v>
      </c>
      <c r="D24" s="14">
        <v>15459.16</v>
      </c>
    </row>
    <row r="25" spans="1:4">
      <c r="A25" s="15" t="s">
        <v>51</v>
      </c>
      <c r="B25" s="14">
        <v>102903.25</v>
      </c>
      <c r="C25" s="14">
        <v>131200</v>
      </c>
      <c r="D25" s="14">
        <v>135500</v>
      </c>
    </row>
    <row r="26" spans="1:4">
      <c r="A26" s="15" t="s">
        <v>52</v>
      </c>
      <c r="B26" s="14">
        <v>0</v>
      </c>
      <c r="C26" s="14">
        <v>0</v>
      </c>
      <c r="D26" s="14">
        <v>0</v>
      </c>
    </row>
    <row r="27" spans="1:4">
      <c r="A27" s="15" t="s">
        <v>53</v>
      </c>
      <c r="B27" s="14">
        <v>0</v>
      </c>
      <c r="C27" s="14">
        <v>0</v>
      </c>
      <c r="D27" s="14">
        <v>0</v>
      </c>
    </row>
    <row r="28" spans="1:4">
      <c r="A28" s="15"/>
      <c r="B28" s="14"/>
      <c r="C28" s="14"/>
      <c r="D28" s="14"/>
    </row>
    <row r="29" spans="1:4">
      <c r="A29" s="83" t="s">
        <v>13</v>
      </c>
      <c r="B29" s="260">
        <f>SUM(B24:B27)</f>
        <v>118505.41</v>
      </c>
      <c r="C29" s="260">
        <f>SUM(C24:C27)</f>
        <v>146641.14000000001</v>
      </c>
      <c r="D29" s="260">
        <f>SUM(D24:D27)</f>
        <v>150959.16</v>
      </c>
    </row>
    <row r="30" spans="1:4">
      <c r="A30" s="100" t="s">
        <v>549</v>
      </c>
      <c r="B30" s="72"/>
      <c r="C30" s="72"/>
      <c r="D30" s="72"/>
    </row>
    <row r="31" spans="1:4">
      <c r="A31" s="15" t="s">
        <v>644</v>
      </c>
      <c r="B31" s="14">
        <v>141072.35</v>
      </c>
      <c r="C31" s="14">
        <v>144596.54999999999</v>
      </c>
      <c r="D31" s="14">
        <v>145386.69</v>
      </c>
    </row>
    <row r="32" spans="1:4">
      <c r="A32" s="15" t="s">
        <v>51</v>
      </c>
      <c r="B32" s="14">
        <v>3499.06</v>
      </c>
      <c r="C32" s="14">
        <v>4222</v>
      </c>
      <c r="D32" s="14">
        <v>4672</v>
      </c>
    </row>
    <row r="33" spans="1:4">
      <c r="A33" s="15" t="s">
        <v>52</v>
      </c>
      <c r="B33" s="14">
        <v>1765.12</v>
      </c>
      <c r="C33" s="14">
        <v>1640</v>
      </c>
      <c r="D33" s="14">
        <v>1740</v>
      </c>
    </row>
    <row r="34" spans="1:4">
      <c r="A34" s="15" t="s">
        <v>53</v>
      </c>
      <c r="B34" s="14">
        <v>495.74</v>
      </c>
      <c r="C34" s="14">
        <v>250</v>
      </c>
      <c r="D34" s="14">
        <v>500</v>
      </c>
    </row>
    <row r="35" spans="1:4">
      <c r="A35" s="83" t="s">
        <v>13</v>
      </c>
      <c r="B35" s="260">
        <f>SUM(B31:B34)</f>
        <v>146832.26999999999</v>
      </c>
      <c r="C35" s="260">
        <f>SUM(C31:C34)</f>
        <v>150708.54999999999</v>
      </c>
      <c r="D35" s="260">
        <f>SUM(D31:D34)</f>
        <v>152298.69</v>
      </c>
    </row>
    <row r="36" spans="1:4">
      <c r="A36" s="100" t="s">
        <v>192</v>
      </c>
      <c r="B36" s="72"/>
      <c r="C36" s="72"/>
      <c r="D36" s="72"/>
    </row>
    <row r="37" spans="1:4">
      <c r="A37" s="15" t="s">
        <v>644</v>
      </c>
      <c r="B37" s="14">
        <v>73129.990000000005</v>
      </c>
      <c r="C37" s="14">
        <v>74223.69</v>
      </c>
      <c r="D37" s="14">
        <v>74630.78</v>
      </c>
    </row>
    <row r="38" spans="1:4">
      <c r="A38" s="15" t="s">
        <v>51</v>
      </c>
      <c r="B38" s="14">
        <v>1081.5</v>
      </c>
      <c r="C38" s="14">
        <v>1372</v>
      </c>
      <c r="D38" s="14">
        <v>1447</v>
      </c>
    </row>
    <row r="39" spans="1:4">
      <c r="A39" s="15" t="s">
        <v>52</v>
      </c>
      <c r="B39" s="14">
        <v>392.83</v>
      </c>
      <c r="C39" s="14">
        <v>670</v>
      </c>
      <c r="D39" s="14">
        <v>720</v>
      </c>
    </row>
    <row r="40" spans="1:4">
      <c r="A40" s="15" t="s">
        <v>53</v>
      </c>
      <c r="B40" s="14">
        <v>0</v>
      </c>
      <c r="C40" s="14">
        <v>250</v>
      </c>
      <c r="D40" s="14">
        <v>500</v>
      </c>
    </row>
    <row r="41" spans="1:4">
      <c r="A41" s="15"/>
      <c r="B41" s="14"/>
      <c r="C41" s="14"/>
      <c r="D41" s="14"/>
    </row>
    <row r="42" spans="1:4">
      <c r="A42" s="83" t="s">
        <v>13</v>
      </c>
      <c r="B42" s="260">
        <f>SUM(B37:B40)</f>
        <v>74604.320000000007</v>
      </c>
      <c r="C42" s="260">
        <f>SUM(C37:C40)</f>
        <v>76515.69</v>
      </c>
      <c r="D42" s="260">
        <f>SUM(D37:D40)</f>
        <v>77297.78</v>
      </c>
    </row>
    <row r="43" spans="1:4">
      <c r="A43" s="100" t="s">
        <v>550</v>
      </c>
      <c r="B43" s="72"/>
      <c r="C43" s="72"/>
      <c r="D43" s="72"/>
    </row>
    <row r="44" spans="1:4">
      <c r="A44" s="15" t="s">
        <v>644</v>
      </c>
      <c r="B44" s="14">
        <v>59994.86</v>
      </c>
      <c r="C44" s="14">
        <v>62228.959999999999</v>
      </c>
      <c r="D44" s="14">
        <v>62268.57</v>
      </c>
    </row>
    <row r="45" spans="1:4">
      <c r="A45" s="15" t="s">
        <v>51</v>
      </c>
      <c r="B45" s="14">
        <v>1595.05</v>
      </c>
      <c r="C45" s="14">
        <v>2452</v>
      </c>
      <c r="D45" s="14">
        <v>2452</v>
      </c>
    </row>
    <row r="46" spans="1:4">
      <c r="A46" s="15" t="s">
        <v>52</v>
      </c>
      <c r="B46" s="14">
        <v>199.77</v>
      </c>
      <c r="C46" s="14">
        <v>320</v>
      </c>
      <c r="D46" s="14">
        <v>320</v>
      </c>
    </row>
    <row r="47" spans="1:4">
      <c r="A47" s="15" t="s">
        <v>53</v>
      </c>
      <c r="B47" s="14">
        <v>187.34</v>
      </c>
      <c r="C47" s="14">
        <v>250</v>
      </c>
      <c r="D47" s="14">
        <v>250</v>
      </c>
    </row>
    <row r="48" spans="1:4">
      <c r="A48" s="15"/>
      <c r="B48" s="14"/>
      <c r="C48" s="14"/>
      <c r="D48" s="14"/>
    </row>
    <row r="49" spans="1:4">
      <c r="A49" s="83" t="s">
        <v>13</v>
      </c>
      <c r="B49" s="260">
        <f>SUM(B44:B48)</f>
        <v>61977.02</v>
      </c>
      <c r="C49" s="260">
        <f>SUM(C44:C47)</f>
        <v>65250.96</v>
      </c>
      <c r="D49" s="260">
        <f>SUM(D44:D47)</f>
        <v>65290.57</v>
      </c>
    </row>
    <row r="50" spans="1:4">
      <c r="A50" s="100" t="s">
        <v>551</v>
      </c>
      <c r="B50" s="72"/>
      <c r="C50" s="72"/>
      <c r="D50" s="72"/>
    </row>
    <row r="51" spans="1:4">
      <c r="A51" s="15" t="s">
        <v>644</v>
      </c>
      <c r="B51" s="14">
        <v>266257.71000000002</v>
      </c>
      <c r="C51" s="14">
        <v>275106.61</v>
      </c>
      <c r="D51" s="14">
        <v>248183.29</v>
      </c>
    </row>
    <row r="52" spans="1:4">
      <c r="A52" s="15" t="s">
        <v>51</v>
      </c>
      <c r="B52" s="14">
        <f>46666.72+34</f>
        <v>46700.72</v>
      </c>
      <c r="C52" s="14">
        <f>59836+1400</f>
        <v>61236</v>
      </c>
      <c r="D52" s="14">
        <f>62740+1400</f>
        <v>64140</v>
      </c>
    </row>
    <row r="53" spans="1:4">
      <c r="A53" s="15" t="s">
        <v>52</v>
      </c>
      <c r="B53" s="14">
        <v>32250.19</v>
      </c>
      <c r="C53" s="14">
        <v>40725</v>
      </c>
      <c r="D53" s="14">
        <v>41725</v>
      </c>
    </row>
    <row r="54" spans="1:4">
      <c r="A54" s="15" t="s">
        <v>53</v>
      </c>
      <c r="B54" s="14">
        <v>793.27</v>
      </c>
      <c r="C54" s="14">
        <v>12000</v>
      </c>
      <c r="D54" s="14">
        <v>1000</v>
      </c>
    </row>
    <row r="55" spans="1:4">
      <c r="A55" s="15"/>
      <c r="B55" s="14"/>
      <c r="C55" s="14"/>
      <c r="D55" s="14"/>
    </row>
    <row r="56" spans="1:4">
      <c r="A56" s="83" t="s">
        <v>13</v>
      </c>
      <c r="B56" s="260">
        <f>SUM(B51:B54)</f>
        <v>346001.89000000007</v>
      </c>
      <c r="C56" s="260">
        <f>SUM(C51:C54)</f>
        <v>389067.61</v>
      </c>
      <c r="D56" s="260">
        <f>SUM(D51:D54)</f>
        <v>355048.29000000004</v>
      </c>
    </row>
    <row r="57" spans="1:4">
      <c r="A57" s="100" t="s">
        <v>655</v>
      </c>
      <c r="B57" s="72"/>
      <c r="C57" s="72"/>
      <c r="D57" s="72"/>
    </row>
    <row r="58" spans="1:4">
      <c r="A58" s="15" t="s">
        <v>644</v>
      </c>
      <c r="B58" s="14">
        <v>102329.05</v>
      </c>
      <c r="C58" s="14">
        <v>143031.74</v>
      </c>
      <c r="D58" s="14">
        <v>147282.26999999999</v>
      </c>
    </row>
    <row r="59" spans="1:4">
      <c r="A59" s="15" t="s">
        <v>51</v>
      </c>
      <c r="B59" s="14">
        <v>17777.560000000001</v>
      </c>
      <c r="C59" s="14">
        <v>36175</v>
      </c>
      <c r="D59" s="14">
        <v>36097.5</v>
      </c>
    </row>
    <row r="60" spans="1:4">
      <c r="A60" s="15" t="s">
        <v>52</v>
      </c>
      <c r="B60" s="14">
        <v>1415.82</v>
      </c>
      <c r="C60" s="14">
        <v>2400</v>
      </c>
      <c r="D60" s="14">
        <v>2650</v>
      </c>
    </row>
    <row r="61" spans="1:4">
      <c r="A61" s="15" t="s">
        <v>53</v>
      </c>
      <c r="B61" s="14">
        <v>374.68</v>
      </c>
      <c r="C61" s="14">
        <v>500</v>
      </c>
      <c r="D61" s="14">
        <v>400</v>
      </c>
    </row>
    <row r="62" spans="1:4">
      <c r="A62" s="15"/>
      <c r="B62" s="14"/>
      <c r="C62" s="14"/>
      <c r="D62" s="14"/>
    </row>
    <row r="63" spans="1:4">
      <c r="A63" s="83" t="s">
        <v>13</v>
      </c>
      <c r="B63" s="260">
        <f>SUM(B58:B61)</f>
        <v>121897.11</v>
      </c>
      <c r="C63" s="260">
        <f>SUM(C58:C61)</f>
        <v>182106.74</v>
      </c>
      <c r="D63" s="260">
        <f>SUM(D58:D61)</f>
        <v>186429.77</v>
      </c>
    </row>
    <row r="64" spans="1:4">
      <c r="A64" s="21"/>
      <c r="B64" s="72"/>
      <c r="C64" s="72"/>
      <c r="D64" s="72"/>
    </row>
    <row r="65" spans="1:4" ht="16.5" thickBot="1">
      <c r="A65" s="83" t="s">
        <v>59</v>
      </c>
      <c r="B65" s="261">
        <f>B15+B22+B29+B35+B42+B49+B56+B63</f>
        <v>1000911.57</v>
      </c>
      <c r="C65" s="261">
        <f>C15+C22+C29+C35+C42+C49+C56+C63</f>
        <v>1132633.3700000001</v>
      </c>
      <c r="D65" s="261">
        <f>D15+D22+D29+D35+D42+D49+D56+D63</f>
        <v>1137539.1199999999</v>
      </c>
    </row>
    <row r="66" spans="1:4" ht="16.5" thickTop="1">
      <c r="A66" s="21"/>
      <c r="B66" s="72"/>
      <c r="C66" s="72"/>
      <c r="D66" s="72"/>
    </row>
    <row r="67" spans="1:4">
      <c r="A67" s="23" t="s">
        <v>58</v>
      </c>
      <c r="B67" s="99" t="s">
        <v>197</v>
      </c>
      <c r="C67" s="72"/>
      <c r="D67" s="72"/>
    </row>
  </sheetData>
  <phoneticPr fontId="0" type="noConversion"/>
  <pageMargins left="0.5" right="0.5" top="1" bottom="0.5" header="0.5" footer="0.5"/>
  <pageSetup scale="72" orientation="portrait" blackAndWhite="1" horizontalDpi="300" verticalDpi="300" r:id="rId1"/>
  <headerFooter alignWithMargins="0">
    <oddHeader>&amp;RState of Kansas
Coffeyville</oddHeader>
    <oddFooter>&amp;Lrevised 8/06/07</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D67"/>
  <sheetViews>
    <sheetView view="pageBreakPreview" topLeftCell="A28" zoomScaleNormal="100" workbookViewId="0">
      <selection activeCell="C30" sqref="C30"/>
    </sheetView>
  </sheetViews>
  <sheetFormatPr defaultRowHeight="15.75"/>
  <cols>
    <col min="1" max="1" width="28.33203125" style="2" customWidth="1"/>
    <col min="2" max="3" width="16.44140625" style="2" customWidth="1"/>
    <col min="4" max="4" width="16.44140625" style="2" bestFit="1" customWidth="1"/>
    <col min="5" max="16384" width="8.88671875" style="2"/>
  </cols>
  <sheetData>
    <row r="1" spans="1:4">
      <c r="A1" s="72" t="str">
        <f>inputPrYr!D2</f>
        <v>City of Coffeyville</v>
      </c>
      <c r="B1" s="21"/>
      <c r="C1" s="92"/>
      <c r="D1" s="21">
        <f>inputPrYr!C5</f>
        <v>2013</v>
      </c>
    </row>
    <row r="2" spans="1:4">
      <c r="A2" s="21"/>
      <c r="B2" s="21"/>
      <c r="C2" s="21"/>
      <c r="D2" s="92"/>
    </row>
    <row r="3" spans="1:4">
      <c r="A3" s="90" t="s">
        <v>116</v>
      </c>
      <c r="B3" s="98"/>
      <c r="C3" s="98"/>
      <c r="D3" s="98"/>
    </row>
    <row r="4" spans="1:4">
      <c r="A4" s="92" t="s">
        <v>41</v>
      </c>
      <c r="B4" s="93" t="s">
        <v>62</v>
      </c>
      <c r="C4" s="33" t="s">
        <v>205</v>
      </c>
      <c r="D4" s="33" t="s">
        <v>206</v>
      </c>
    </row>
    <row r="5" spans="1:4">
      <c r="A5" s="20" t="s">
        <v>645</v>
      </c>
      <c r="B5" s="145">
        <f>D1-2</f>
        <v>2011</v>
      </c>
      <c r="C5" s="145">
        <f>D1-1</f>
        <v>2012</v>
      </c>
      <c r="D5" s="145">
        <f>D1</f>
        <v>2013</v>
      </c>
    </row>
    <row r="6" spans="1:4">
      <c r="A6" s="83" t="s">
        <v>50</v>
      </c>
      <c r="B6" s="40"/>
      <c r="C6" s="40"/>
      <c r="D6" s="40"/>
    </row>
    <row r="7" spans="1:4">
      <c r="A7" s="101" t="s">
        <v>552</v>
      </c>
      <c r="B7" s="40"/>
      <c r="C7" s="40"/>
      <c r="D7" s="40"/>
    </row>
    <row r="8" spans="1:4">
      <c r="A8" s="15" t="s">
        <v>644</v>
      </c>
      <c r="B8" s="14">
        <v>72970.66</v>
      </c>
      <c r="C8" s="14">
        <v>74223.69</v>
      </c>
      <c r="D8" s="14">
        <v>74630.78</v>
      </c>
    </row>
    <row r="9" spans="1:4">
      <c r="A9" s="15" t="s">
        <v>51</v>
      </c>
      <c r="B9" s="14">
        <v>459</v>
      </c>
      <c r="C9" s="14">
        <v>875</v>
      </c>
      <c r="D9" s="14">
        <v>925</v>
      </c>
    </row>
    <row r="10" spans="1:4">
      <c r="A10" s="15" t="s">
        <v>52</v>
      </c>
      <c r="B10" s="14">
        <v>993.34</v>
      </c>
      <c r="C10" s="14">
        <v>1400</v>
      </c>
      <c r="D10" s="14">
        <v>1500</v>
      </c>
    </row>
    <row r="11" spans="1:4">
      <c r="A11" s="15" t="s">
        <v>53</v>
      </c>
      <c r="B11" s="14">
        <v>0</v>
      </c>
      <c r="C11" s="14">
        <v>250</v>
      </c>
      <c r="D11" s="14">
        <v>500</v>
      </c>
    </row>
    <row r="12" spans="1:4">
      <c r="A12" s="15"/>
      <c r="B12" s="14"/>
      <c r="C12" s="14"/>
      <c r="D12" s="14"/>
    </row>
    <row r="13" spans="1:4">
      <c r="A13" s="8"/>
      <c r="B13" s="14"/>
      <c r="C13" s="14"/>
      <c r="D13" s="14"/>
    </row>
    <row r="14" spans="1:4">
      <c r="A14" s="8"/>
      <c r="B14" s="14"/>
      <c r="C14" s="14"/>
      <c r="D14" s="14"/>
    </row>
    <row r="15" spans="1:4">
      <c r="A15" s="83" t="s">
        <v>13</v>
      </c>
      <c r="B15" s="260">
        <f>SUM(B8:B14)</f>
        <v>74423</v>
      </c>
      <c r="C15" s="260">
        <f>SUM(C8:C14)</f>
        <v>76748.69</v>
      </c>
      <c r="D15" s="260">
        <f>SUM(D8:D14)</f>
        <v>77555.78</v>
      </c>
    </row>
    <row r="16" spans="1:4">
      <c r="A16" s="100" t="s">
        <v>553</v>
      </c>
      <c r="B16" s="72"/>
      <c r="C16" s="72"/>
      <c r="D16" s="72"/>
    </row>
    <row r="17" spans="1:4">
      <c r="A17" s="15" t="s">
        <v>644</v>
      </c>
      <c r="B17" s="14">
        <v>2073153.85</v>
      </c>
      <c r="C17" s="14">
        <v>2274603.7799999998</v>
      </c>
      <c r="D17" s="14">
        <v>2332393.84</v>
      </c>
    </row>
    <row r="18" spans="1:4">
      <c r="A18" s="15" t="s">
        <v>51</v>
      </c>
      <c r="B18" s="14">
        <f>37551.81+28518.87</f>
        <v>66070.679999999993</v>
      </c>
      <c r="C18" s="14">
        <f>47655+28500</f>
        <v>76155</v>
      </c>
      <c r="D18" s="14">
        <f>56400+29500</f>
        <v>85900</v>
      </c>
    </row>
    <row r="19" spans="1:4">
      <c r="A19" s="15" t="s">
        <v>52</v>
      </c>
      <c r="B19" s="14">
        <v>91706.54</v>
      </c>
      <c r="C19" s="14">
        <v>98910</v>
      </c>
      <c r="D19" s="14">
        <v>114250</v>
      </c>
    </row>
    <row r="20" spans="1:4">
      <c r="A20" s="15" t="s">
        <v>53</v>
      </c>
      <c r="B20" s="14">
        <v>14085.86</v>
      </c>
      <c r="C20" s="14">
        <v>36500</v>
      </c>
      <c r="D20" s="14">
        <v>34500</v>
      </c>
    </row>
    <row r="21" spans="1:4">
      <c r="A21" s="15"/>
      <c r="B21" s="14"/>
      <c r="C21" s="14"/>
      <c r="D21" s="14"/>
    </row>
    <row r="22" spans="1:4">
      <c r="A22" s="83" t="s">
        <v>13</v>
      </c>
      <c r="B22" s="260">
        <f>SUM(B17:B20)</f>
        <v>2245016.9300000002</v>
      </c>
      <c r="C22" s="260">
        <f>SUM(C17:C20)</f>
        <v>2486168.7799999998</v>
      </c>
      <c r="D22" s="260">
        <f>SUM(D17:D20)</f>
        <v>2567043.84</v>
      </c>
    </row>
    <row r="23" spans="1:4">
      <c r="A23" s="100" t="s">
        <v>559</v>
      </c>
      <c r="B23" s="72"/>
      <c r="C23" s="72"/>
      <c r="D23" s="72"/>
    </row>
    <row r="24" spans="1:4">
      <c r="A24" s="15" t="s">
        <v>644</v>
      </c>
      <c r="B24" s="14">
        <v>42895.38</v>
      </c>
      <c r="C24" s="14">
        <v>50387.09</v>
      </c>
      <c r="D24" s="14">
        <v>52205.47</v>
      </c>
    </row>
    <row r="25" spans="1:4">
      <c r="A25" s="15" t="s">
        <v>51</v>
      </c>
      <c r="B25" s="14">
        <f>19753.05+7220.65</f>
        <v>26973.699999999997</v>
      </c>
      <c r="C25" s="14">
        <f>19910+2725</f>
        <v>22635</v>
      </c>
      <c r="D25" s="14">
        <f>20741+3050</f>
        <v>23791</v>
      </c>
    </row>
    <row r="26" spans="1:4">
      <c r="A26" s="15" t="s">
        <v>52</v>
      </c>
      <c r="B26" s="14">
        <v>4672.8900000000003</v>
      </c>
      <c r="C26" s="14">
        <v>5160</v>
      </c>
      <c r="D26" s="14">
        <v>5060</v>
      </c>
    </row>
    <row r="27" spans="1:4">
      <c r="A27" s="15" t="s">
        <v>53</v>
      </c>
      <c r="B27" s="14">
        <v>672.5</v>
      </c>
      <c r="C27" s="14">
        <v>200</v>
      </c>
      <c r="D27" s="14">
        <v>900</v>
      </c>
    </row>
    <row r="28" spans="1:4">
      <c r="A28" s="15"/>
      <c r="B28" s="14"/>
      <c r="C28" s="14"/>
      <c r="D28" s="14"/>
    </row>
    <row r="29" spans="1:4">
      <c r="A29" s="83" t="s">
        <v>13</v>
      </c>
      <c r="B29" s="260">
        <f>SUM(B24:B27)</f>
        <v>75214.469999999987</v>
      </c>
      <c r="C29" s="260">
        <f>SUM(C24:C27)</f>
        <v>78382.09</v>
      </c>
      <c r="D29" s="260">
        <f>SUM(D24:D27)</f>
        <v>81956.47</v>
      </c>
    </row>
    <row r="30" spans="1:4">
      <c r="A30" s="100" t="s">
        <v>560</v>
      </c>
      <c r="B30" s="72"/>
      <c r="C30" s="72"/>
      <c r="D30" s="72"/>
    </row>
    <row r="31" spans="1:4">
      <c r="A31" s="15" t="s">
        <v>644</v>
      </c>
      <c r="B31" s="14">
        <v>1361451.83</v>
      </c>
      <c r="C31" s="14">
        <v>1425925.44</v>
      </c>
      <c r="D31" s="14">
        <v>1419830.97</v>
      </c>
    </row>
    <row r="32" spans="1:4">
      <c r="A32" s="15" t="s">
        <v>51</v>
      </c>
      <c r="B32" s="14">
        <f>28489.43+21776.87</f>
        <v>50266.3</v>
      </c>
      <c r="C32" s="14">
        <f>36080+18500</f>
        <v>54580</v>
      </c>
      <c r="D32" s="14">
        <f>39410+20000</f>
        <v>59410</v>
      </c>
    </row>
    <row r="33" spans="1:4">
      <c r="A33" s="15" t="s">
        <v>52</v>
      </c>
      <c r="B33" s="14">
        <v>45624.31</v>
      </c>
      <c r="C33" s="14">
        <v>46275</v>
      </c>
      <c r="D33" s="14">
        <v>46300</v>
      </c>
    </row>
    <row r="34" spans="1:4">
      <c r="A34" s="15" t="s">
        <v>53</v>
      </c>
      <c r="B34" s="14">
        <v>5402.59</v>
      </c>
      <c r="C34" s="14">
        <v>15000</v>
      </c>
      <c r="D34" s="14">
        <v>21000</v>
      </c>
    </row>
    <row r="35" spans="1:4">
      <c r="A35" s="83" t="s">
        <v>13</v>
      </c>
      <c r="B35" s="260">
        <f>SUM(B31:B34)</f>
        <v>1462745.0300000003</v>
      </c>
      <c r="C35" s="260">
        <f>SUM(C31:C34)</f>
        <v>1541780.44</v>
      </c>
      <c r="D35" s="260">
        <f>SUM(D31:D34)</f>
        <v>1546540.97</v>
      </c>
    </row>
    <row r="36" spans="1:4">
      <c r="A36" s="100" t="s">
        <v>362</v>
      </c>
      <c r="B36" s="72"/>
      <c r="C36" s="72"/>
      <c r="D36" s="72"/>
    </row>
    <row r="37" spans="1:4">
      <c r="A37" s="15" t="s">
        <v>644</v>
      </c>
      <c r="B37" s="14">
        <v>103326.78</v>
      </c>
      <c r="C37" s="14">
        <v>110216.34</v>
      </c>
      <c r="D37" s="14">
        <v>109003.45</v>
      </c>
    </row>
    <row r="38" spans="1:4">
      <c r="A38" s="15" t="s">
        <v>51</v>
      </c>
      <c r="B38" s="14">
        <f>23877.33+341.5</f>
        <v>24218.83</v>
      </c>
      <c r="C38" s="14">
        <f>20550+750</f>
        <v>21300</v>
      </c>
      <c r="D38" s="14">
        <f>20640+1000</f>
        <v>21640</v>
      </c>
    </row>
    <row r="39" spans="1:4">
      <c r="A39" s="15" t="s">
        <v>52</v>
      </c>
      <c r="B39" s="14">
        <v>4115.42</v>
      </c>
      <c r="C39" s="14">
        <v>4535</v>
      </c>
      <c r="D39" s="14">
        <v>4650</v>
      </c>
    </row>
    <row r="40" spans="1:4">
      <c r="A40" s="15" t="s">
        <v>53</v>
      </c>
      <c r="B40" s="14">
        <v>0</v>
      </c>
      <c r="C40" s="14">
        <v>250</v>
      </c>
      <c r="D40" s="14">
        <v>500</v>
      </c>
    </row>
    <row r="41" spans="1:4">
      <c r="A41" s="15"/>
      <c r="B41" s="14"/>
      <c r="C41" s="14"/>
      <c r="D41" s="14"/>
    </row>
    <row r="42" spans="1:4">
      <c r="A42" s="83" t="s">
        <v>13</v>
      </c>
      <c r="B42" s="260">
        <f>SUM(B37:B40)</f>
        <v>131661.03</v>
      </c>
      <c r="C42" s="260">
        <f>SUM(C37:C40)</f>
        <v>136301.34</v>
      </c>
      <c r="D42" s="260">
        <f>SUM(D37:D41)</f>
        <v>135793.45000000001</v>
      </c>
    </row>
    <row r="43" spans="1:4">
      <c r="A43" s="100" t="s">
        <v>561</v>
      </c>
      <c r="B43" s="72"/>
      <c r="C43" s="72"/>
      <c r="D43" s="72"/>
    </row>
    <row r="44" spans="1:4">
      <c r="A44" s="15" t="s">
        <v>644</v>
      </c>
      <c r="B44" s="14">
        <v>293767.71000000002</v>
      </c>
      <c r="C44" s="14">
        <v>302946.43</v>
      </c>
      <c r="D44" s="14">
        <v>307107.01</v>
      </c>
    </row>
    <row r="45" spans="1:4">
      <c r="A45" s="15" t="s">
        <v>51</v>
      </c>
      <c r="B45" s="14">
        <f>5896.42+469.7</f>
        <v>6366.12</v>
      </c>
      <c r="C45" s="14">
        <f>7195+500</f>
        <v>7695</v>
      </c>
      <c r="D45" s="14">
        <f>10135+700</f>
        <v>10835</v>
      </c>
    </row>
    <row r="46" spans="1:4">
      <c r="A46" s="15" t="s">
        <v>52</v>
      </c>
      <c r="B46" s="14">
        <v>10062.09</v>
      </c>
      <c r="C46" s="14">
        <v>11620</v>
      </c>
      <c r="D46" s="14">
        <v>10750</v>
      </c>
    </row>
    <row r="47" spans="1:4">
      <c r="A47" s="15" t="s">
        <v>53</v>
      </c>
      <c r="B47" s="14">
        <v>8919</v>
      </c>
      <c r="C47" s="14">
        <v>5650</v>
      </c>
      <c r="D47" s="14">
        <v>5300</v>
      </c>
    </row>
    <row r="48" spans="1:4">
      <c r="A48" s="15"/>
      <c r="B48" s="14"/>
      <c r="C48" s="14"/>
      <c r="D48" s="14"/>
    </row>
    <row r="49" spans="1:4">
      <c r="A49" s="83" t="s">
        <v>13</v>
      </c>
      <c r="B49" s="260">
        <f>SUM(B44:B47)</f>
        <v>319114.92000000004</v>
      </c>
      <c r="C49" s="260">
        <f>SUM(C44:C47)</f>
        <v>327911.43</v>
      </c>
      <c r="D49" s="260">
        <f>SUM(D44:D47)</f>
        <v>333992.01</v>
      </c>
    </row>
    <row r="50" spans="1:4">
      <c r="A50" s="100" t="s">
        <v>540</v>
      </c>
      <c r="B50" s="72"/>
      <c r="C50" s="72"/>
      <c r="D50" s="72"/>
    </row>
    <row r="51" spans="1:4">
      <c r="A51" s="15" t="s">
        <v>644</v>
      </c>
      <c r="B51" s="14">
        <v>108157.89</v>
      </c>
      <c r="C51" s="14">
        <v>102514.84</v>
      </c>
      <c r="D51" s="14">
        <v>59931.56</v>
      </c>
    </row>
    <row r="52" spans="1:4">
      <c r="A52" s="15" t="s">
        <v>51</v>
      </c>
      <c r="B52" s="14">
        <f>4190.57+0</f>
        <v>4190.57</v>
      </c>
      <c r="C52" s="14">
        <f>4622+500</f>
        <v>5122</v>
      </c>
      <c r="D52" s="14">
        <f>5647+500</f>
        <v>6147</v>
      </c>
    </row>
    <row r="53" spans="1:4">
      <c r="A53" s="15" t="s">
        <v>52</v>
      </c>
      <c r="B53" s="14">
        <v>232.85</v>
      </c>
      <c r="C53" s="14">
        <v>975</v>
      </c>
      <c r="D53" s="14">
        <v>1325</v>
      </c>
    </row>
    <row r="54" spans="1:4">
      <c r="A54" s="15" t="s">
        <v>53</v>
      </c>
      <c r="B54" s="14">
        <v>0</v>
      </c>
      <c r="C54" s="14">
        <v>1200</v>
      </c>
      <c r="D54" s="14">
        <v>1200</v>
      </c>
    </row>
    <row r="55" spans="1:4">
      <c r="A55" s="15"/>
      <c r="B55" s="14"/>
      <c r="C55" s="14"/>
      <c r="D55" s="14"/>
    </row>
    <row r="56" spans="1:4">
      <c r="A56" s="83" t="s">
        <v>13</v>
      </c>
      <c r="B56" s="260">
        <f>SUM(B51:B54)</f>
        <v>112581.31</v>
      </c>
      <c r="C56" s="260">
        <f>SUM(C51:C54)</f>
        <v>109811.84</v>
      </c>
      <c r="D56" s="260">
        <f>SUM(D51:D54)</f>
        <v>68603.56</v>
      </c>
    </row>
    <row r="57" spans="1:4">
      <c r="A57" s="100" t="s">
        <v>562</v>
      </c>
      <c r="B57" s="72"/>
      <c r="C57" s="72"/>
      <c r="D57" s="72"/>
    </row>
    <row r="58" spans="1:4">
      <c r="A58" s="15" t="s">
        <v>644</v>
      </c>
      <c r="B58" s="14">
        <v>43496.22</v>
      </c>
      <c r="C58" s="14">
        <v>45127.31</v>
      </c>
      <c r="D58" s="14">
        <v>45434.91</v>
      </c>
    </row>
    <row r="59" spans="1:4">
      <c r="A59" s="15" t="s">
        <v>51</v>
      </c>
      <c r="B59" s="14">
        <f>5326.92+1970.33</f>
        <v>7297.25</v>
      </c>
      <c r="C59" s="14">
        <f>5050+5600</f>
        <v>10650</v>
      </c>
      <c r="D59" s="14">
        <f>5000+3100</f>
        <v>8100</v>
      </c>
    </row>
    <row r="60" spans="1:4">
      <c r="A60" s="15" t="s">
        <v>52</v>
      </c>
      <c r="B60" s="14">
        <v>5095.57</v>
      </c>
      <c r="C60" s="14">
        <v>3500</v>
      </c>
      <c r="D60" s="14">
        <v>5600</v>
      </c>
    </row>
    <row r="61" spans="1:4">
      <c r="A61" s="15" t="s">
        <v>53</v>
      </c>
      <c r="B61" s="14">
        <v>399</v>
      </c>
      <c r="C61" s="14">
        <v>5000</v>
      </c>
      <c r="D61" s="14">
        <v>2500</v>
      </c>
    </row>
    <row r="62" spans="1:4">
      <c r="A62" s="15"/>
      <c r="B62" s="14"/>
      <c r="C62" s="14"/>
      <c r="D62" s="14"/>
    </row>
    <row r="63" spans="1:4">
      <c r="A63" s="83" t="s">
        <v>13</v>
      </c>
      <c r="B63" s="260">
        <f>SUM(B58:B61)</f>
        <v>56288.04</v>
      </c>
      <c r="C63" s="260">
        <f>SUM(C58:C61)</f>
        <v>64277.31</v>
      </c>
      <c r="D63" s="260">
        <f>SUM(D58:D61)</f>
        <v>61634.91</v>
      </c>
    </row>
    <row r="64" spans="1:4">
      <c r="A64" s="21"/>
      <c r="B64" s="72"/>
      <c r="C64" s="72"/>
      <c r="D64" s="72"/>
    </row>
    <row r="65" spans="1:4" ht="16.5" thickBot="1">
      <c r="A65" s="83" t="s">
        <v>59</v>
      </c>
      <c r="B65" s="261">
        <f>B15+B22+B29+B35+B42+B49+B56+B63</f>
        <v>4477044.7300000004</v>
      </c>
      <c r="C65" s="261">
        <f>C15+C22+C29+C35+C42+C49+C56+C63</f>
        <v>4821381.919999999</v>
      </c>
      <c r="D65" s="261">
        <f>D15+D22+D29+D35+D42+D49+D56+D63</f>
        <v>4873120.9899999993</v>
      </c>
    </row>
    <row r="66" spans="1:4" ht="16.5" thickTop="1">
      <c r="A66" s="21"/>
      <c r="B66" s="72"/>
      <c r="C66" s="72"/>
      <c r="D66" s="72"/>
    </row>
    <row r="67" spans="1:4">
      <c r="A67" s="23" t="s">
        <v>58</v>
      </c>
      <c r="B67" s="99" t="s">
        <v>573</v>
      </c>
      <c r="C67" s="72"/>
      <c r="D67" s="72"/>
    </row>
  </sheetData>
  <phoneticPr fontId="10" type="noConversion"/>
  <pageMargins left="0.5" right="0.5" top="1" bottom="0.5" header="0.5" footer="0.5"/>
  <pageSetup scale="72" orientation="portrait" blackAndWhite="1" r:id="rId1"/>
  <headerFooter alignWithMargins="0">
    <oddHeader>&amp;RState of Kansas
Coffeyville</oddHeader>
    <oddFooter>&amp;Lrevised 8/06/07</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D67"/>
  <sheetViews>
    <sheetView view="pageBreakPreview" topLeftCell="A34" zoomScaleNormal="100" workbookViewId="0">
      <selection activeCell="C30" sqref="C30"/>
    </sheetView>
  </sheetViews>
  <sheetFormatPr defaultRowHeight="15.75"/>
  <cols>
    <col min="1" max="1" width="28.33203125" style="2" customWidth="1"/>
    <col min="2" max="3" width="16.44140625" style="2" customWidth="1"/>
    <col min="4" max="4" width="16.44140625" style="2" bestFit="1" customWidth="1"/>
    <col min="5" max="16384" width="8.88671875" style="2"/>
  </cols>
  <sheetData>
    <row r="1" spans="1:4">
      <c r="A1" s="72" t="str">
        <f>inputPrYr!D2</f>
        <v>City of Coffeyville</v>
      </c>
      <c r="B1" s="21"/>
      <c r="C1" s="92"/>
      <c r="D1" s="21">
        <f>inputPrYr!C5</f>
        <v>2013</v>
      </c>
    </row>
    <row r="2" spans="1:4">
      <c r="A2" s="21"/>
      <c r="B2" s="21"/>
      <c r="C2" s="21"/>
      <c r="D2" s="92"/>
    </row>
    <row r="3" spans="1:4">
      <c r="A3" s="90" t="s">
        <v>116</v>
      </c>
      <c r="B3" s="98"/>
      <c r="C3" s="98"/>
      <c r="D3" s="98"/>
    </row>
    <row r="4" spans="1:4">
      <c r="A4" s="92" t="s">
        <v>41</v>
      </c>
      <c r="B4" s="93" t="s">
        <v>62</v>
      </c>
      <c r="C4" s="33" t="s">
        <v>205</v>
      </c>
      <c r="D4" s="33" t="s">
        <v>206</v>
      </c>
    </row>
    <row r="5" spans="1:4">
      <c r="A5" s="20" t="s">
        <v>645</v>
      </c>
      <c r="B5" s="145">
        <f>D1-2</f>
        <v>2011</v>
      </c>
      <c r="C5" s="145">
        <f>D1-1</f>
        <v>2012</v>
      </c>
      <c r="D5" s="145">
        <f>D1</f>
        <v>2013</v>
      </c>
    </row>
    <row r="6" spans="1:4">
      <c r="A6" s="83" t="s">
        <v>50</v>
      </c>
      <c r="B6" s="40"/>
      <c r="C6" s="40"/>
      <c r="D6" s="40"/>
    </row>
    <row r="7" spans="1:4">
      <c r="A7" s="101" t="s">
        <v>563</v>
      </c>
      <c r="B7" s="40"/>
      <c r="C7" s="40"/>
      <c r="D7" s="40"/>
    </row>
    <row r="8" spans="1:4">
      <c r="A8" s="15" t="s">
        <v>644</v>
      </c>
      <c r="B8" s="14">
        <v>0</v>
      </c>
      <c r="C8" s="14">
        <v>0</v>
      </c>
      <c r="D8" s="14">
        <v>0</v>
      </c>
    </row>
    <row r="9" spans="1:4">
      <c r="A9" s="15" t="s">
        <v>51</v>
      </c>
      <c r="B9" s="14">
        <v>1707.36</v>
      </c>
      <c r="C9" s="14">
        <v>5000</v>
      </c>
      <c r="D9" s="14">
        <v>5000</v>
      </c>
    </row>
    <row r="10" spans="1:4">
      <c r="A10" s="15" t="s">
        <v>52</v>
      </c>
      <c r="B10" s="14">
        <v>16859.21</v>
      </c>
      <c r="C10" s="14">
        <v>10450</v>
      </c>
      <c r="D10" s="14">
        <v>10450</v>
      </c>
    </row>
    <row r="11" spans="1:4">
      <c r="A11" s="15" t="s">
        <v>53</v>
      </c>
      <c r="B11" s="14">
        <v>0</v>
      </c>
      <c r="C11" s="14">
        <v>0</v>
      </c>
      <c r="D11" s="14">
        <v>0</v>
      </c>
    </row>
    <row r="12" spans="1:4">
      <c r="A12" s="15"/>
      <c r="B12" s="14"/>
      <c r="C12" s="14"/>
      <c r="D12" s="14"/>
    </row>
    <row r="13" spans="1:4">
      <c r="A13" s="8"/>
      <c r="B13" s="14"/>
      <c r="C13" s="14"/>
      <c r="D13" s="14"/>
    </row>
    <row r="14" spans="1:4">
      <c r="A14" s="8"/>
      <c r="B14" s="14"/>
      <c r="C14" s="14"/>
      <c r="D14" s="14"/>
    </row>
    <row r="15" spans="1:4">
      <c r="A15" s="83" t="s">
        <v>13</v>
      </c>
      <c r="B15" s="260">
        <f>SUM(B8:B14)</f>
        <v>18566.57</v>
      </c>
      <c r="C15" s="260">
        <f>SUM(C8:C14)</f>
        <v>15450</v>
      </c>
      <c r="D15" s="260">
        <f>SUM(D8:D14)</f>
        <v>15450</v>
      </c>
    </row>
    <row r="16" spans="1:4">
      <c r="A16" s="100" t="s">
        <v>564</v>
      </c>
      <c r="B16" s="72"/>
      <c r="C16" s="72"/>
      <c r="D16" s="72"/>
    </row>
    <row r="17" spans="1:4">
      <c r="A17" s="15" t="s">
        <v>644</v>
      </c>
      <c r="B17" s="14">
        <v>0</v>
      </c>
      <c r="C17" s="14">
        <v>0</v>
      </c>
      <c r="D17" s="14">
        <v>0</v>
      </c>
    </row>
    <row r="18" spans="1:4">
      <c r="A18" s="15" t="s">
        <v>51</v>
      </c>
      <c r="B18" s="14">
        <v>98912.73</v>
      </c>
      <c r="C18" s="14">
        <v>104125</v>
      </c>
      <c r="D18" s="14">
        <v>117225</v>
      </c>
    </row>
    <row r="19" spans="1:4">
      <c r="A19" s="15" t="s">
        <v>52</v>
      </c>
      <c r="B19" s="14">
        <v>18306.72</v>
      </c>
      <c r="C19" s="14">
        <v>18600</v>
      </c>
      <c r="D19" s="14">
        <v>18600</v>
      </c>
    </row>
    <row r="20" spans="1:4">
      <c r="A20" s="15" t="s">
        <v>53</v>
      </c>
      <c r="B20" s="14">
        <v>3255.04</v>
      </c>
      <c r="C20" s="14">
        <v>1700</v>
      </c>
      <c r="D20" s="14">
        <v>1700</v>
      </c>
    </row>
    <row r="21" spans="1:4">
      <c r="A21" s="15"/>
      <c r="B21" s="14"/>
      <c r="C21" s="14"/>
      <c r="D21" s="14"/>
    </row>
    <row r="22" spans="1:4">
      <c r="A22" s="83" t="s">
        <v>13</v>
      </c>
      <c r="B22" s="260">
        <f>SUM(B17:B20)</f>
        <v>120474.48999999999</v>
      </c>
      <c r="C22" s="260">
        <f>SUM(C17:C20)</f>
        <v>124425</v>
      </c>
      <c r="D22" s="260">
        <f>SUM(D17:D20)</f>
        <v>137525</v>
      </c>
    </row>
    <row r="23" spans="1:4">
      <c r="A23" s="100" t="s">
        <v>565</v>
      </c>
      <c r="B23" s="72"/>
      <c r="C23" s="72"/>
      <c r="D23" s="72"/>
    </row>
    <row r="24" spans="1:4">
      <c r="A24" s="15" t="s">
        <v>644</v>
      </c>
      <c r="B24" s="14">
        <v>0</v>
      </c>
      <c r="C24" s="14">
        <v>0</v>
      </c>
      <c r="D24" s="14">
        <v>0</v>
      </c>
    </row>
    <row r="25" spans="1:4">
      <c r="A25" s="15" t="s">
        <v>51</v>
      </c>
      <c r="B25" s="14">
        <v>1949.6</v>
      </c>
      <c r="C25" s="14">
        <v>2800</v>
      </c>
      <c r="D25" s="14">
        <v>3300</v>
      </c>
    </row>
    <row r="26" spans="1:4">
      <c r="A26" s="15" t="s">
        <v>52</v>
      </c>
      <c r="B26" s="14">
        <v>0</v>
      </c>
      <c r="C26" s="14">
        <v>0</v>
      </c>
      <c r="D26" s="14">
        <v>0</v>
      </c>
    </row>
    <row r="27" spans="1:4">
      <c r="A27" s="15" t="s">
        <v>53</v>
      </c>
      <c r="B27" s="14">
        <v>0</v>
      </c>
      <c r="C27" s="14">
        <v>0</v>
      </c>
      <c r="D27" s="14">
        <v>0</v>
      </c>
    </row>
    <row r="28" spans="1:4">
      <c r="A28" s="15"/>
      <c r="B28" s="14"/>
      <c r="C28" s="14"/>
      <c r="D28" s="14"/>
    </row>
    <row r="29" spans="1:4">
      <c r="A29" s="83" t="s">
        <v>13</v>
      </c>
      <c r="B29" s="260">
        <f>SUM(B24:B27)</f>
        <v>1949.6</v>
      </c>
      <c r="C29" s="260">
        <f>SUM(C24:C27)</f>
        <v>2800</v>
      </c>
      <c r="D29" s="260">
        <f>SUM(D24:D27)</f>
        <v>3300</v>
      </c>
    </row>
    <row r="30" spans="1:4">
      <c r="A30" s="100" t="s">
        <v>566</v>
      </c>
      <c r="B30" s="72"/>
      <c r="C30" s="72"/>
      <c r="D30" s="72"/>
    </row>
    <row r="31" spans="1:4">
      <c r="A31" s="15" t="s">
        <v>644</v>
      </c>
      <c r="B31" s="14">
        <v>0</v>
      </c>
      <c r="C31" s="14">
        <v>0</v>
      </c>
      <c r="D31" s="14">
        <v>0</v>
      </c>
    </row>
    <row r="32" spans="1:4">
      <c r="A32" s="15" t="s">
        <v>51</v>
      </c>
      <c r="B32" s="14">
        <f>16549.03+4729.51</f>
        <v>21278.54</v>
      </c>
      <c r="C32" s="14">
        <f>1300+1000</f>
        <v>2300</v>
      </c>
      <c r="D32" s="14">
        <f>400+500</f>
        <v>900</v>
      </c>
    </row>
    <row r="33" spans="1:4">
      <c r="A33" s="15" t="s">
        <v>52</v>
      </c>
      <c r="B33" s="14">
        <v>359.2</v>
      </c>
      <c r="C33" s="14">
        <v>0</v>
      </c>
      <c r="D33" s="14">
        <v>0</v>
      </c>
    </row>
    <row r="34" spans="1:4">
      <c r="A34" s="15" t="s">
        <v>53</v>
      </c>
      <c r="B34" s="14">
        <v>0</v>
      </c>
      <c r="C34" s="14">
        <v>2000</v>
      </c>
      <c r="D34" s="14">
        <v>1000</v>
      </c>
    </row>
    <row r="35" spans="1:4">
      <c r="A35" s="83" t="s">
        <v>13</v>
      </c>
      <c r="B35" s="260">
        <f>SUM(B31:B34)</f>
        <v>21637.74</v>
      </c>
      <c r="C35" s="260">
        <f>SUM(C31:C34)</f>
        <v>4300</v>
      </c>
      <c r="D35" s="260">
        <f>SUM(D31:D34)</f>
        <v>1900</v>
      </c>
    </row>
    <row r="36" spans="1:4">
      <c r="A36" s="100" t="s">
        <v>567</v>
      </c>
      <c r="B36" s="72"/>
      <c r="C36" s="72"/>
      <c r="D36" s="72"/>
    </row>
    <row r="37" spans="1:4">
      <c r="A37" s="15" t="s">
        <v>644</v>
      </c>
      <c r="B37" s="14">
        <v>0</v>
      </c>
      <c r="C37" s="14">
        <v>0</v>
      </c>
      <c r="D37" s="14">
        <v>0</v>
      </c>
    </row>
    <row r="38" spans="1:4">
      <c r="A38" s="15" t="s">
        <v>51</v>
      </c>
      <c r="B38" s="14">
        <v>2625.8</v>
      </c>
      <c r="C38" s="14">
        <v>2500</v>
      </c>
      <c r="D38" s="14">
        <v>2500</v>
      </c>
    </row>
    <row r="39" spans="1:4">
      <c r="A39" s="15" t="s">
        <v>52</v>
      </c>
      <c r="B39" s="14">
        <v>0</v>
      </c>
      <c r="C39" s="14">
        <v>0</v>
      </c>
      <c r="D39" s="14">
        <v>0</v>
      </c>
    </row>
    <row r="40" spans="1:4">
      <c r="A40" s="15" t="s">
        <v>53</v>
      </c>
      <c r="B40" s="14">
        <v>0</v>
      </c>
      <c r="C40" s="14">
        <v>0</v>
      </c>
      <c r="D40" s="14">
        <v>0</v>
      </c>
    </row>
    <row r="41" spans="1:4">
      <c r="A41" s="15"/>
      <c r="B41" s="14"/>
      <c r="C41" s="14"/>
      <c r="D41" s="14"/>
    </row>
    <row r="42" spans="1:4">
      <c r="A42" s="83" t="s">
        <v>13</v>
      </c>
      <c r="B42" s="260">
        <f>SUM(B37:B40)</f>
        <v>2625.8</v>
      </c>
      <c r="C42" s="260">
        <f>SUM(C37:C40)</f>
        <v>2500</v>
      </c>
      <c r="D42" s="260">
        <f>SUM(D37:D40)</f>
        <v>2500</v>
      </c>
    </row>
    <row r="43" spans="1:4">
      <c r="A43" s="100" t="s">
        <v>568</v>
      </c>
      <c r="B43" s="72"/>
      <c r="C43" s="72"/>
      <c r="D43" s="72"/>
    </row>
    <row r="44" spans="1:4">
      <c r="A44" s="15" t="s">
        <v>644</v>
      </c>
      <c r="B44" s="14">
        <v>90403.35</v>
      </c>
      <c r="C44" s="14">
        <f>92373.84+1000</f>
        <v>93373.84</v>
      </c>
      <c r="D44" s="14">
        <f>92975.39+1000</f>
        <v>93975.39</v>
      </c>
    </row>
    <row r="45" spans="1:4">
      <c r="A45" s="15" t="s">
        <v>51</v>
      </c>
      <c r="B45" s="14">
        <v>9198.76</v>
      </c>
      <c r="C45" s="14">
        <v>15050</v>
      </c>
      <c r="D45" s="14">
        <v>15050</v>
      </c>
    </row>
    <row r="46" spans="1:4">
      <c r="A46" s="15" t="s">
        <v>52</v>
      </c>
      <c r="B46" s="14">
        <v>20</v>
      </c>
      <c r="C46" s="14">
        <v>0</v>
      </c>
      <c r="D46" s="14">
        <v>0</v>
      </c>
    </row>
    <row r="47" spans="1:4">
      <c r="A47" s="15" t="s">
        <v>53</v>
      </c>
      <c r="B47" s="14">
        <v>0</v>
      </c>
      <c r="C47" s="14">
        <v>0</v>
      </c>
      <c r="D47" s="14">
        <v>0</v>
      </c>
    </row>
    <row r="48" spans="1:4">
      <c r="A48" s="15"/>
      <c r="B48" s="14"/>
      <c r="C48" s="14"/>
      <c r="D48" s="14"/>
    </row>
    <row r="49" spans="1:4">
      <c r="A49" s="83" t="s">
        <v>13</v>
      </c>
      <c r="B49" s="260">
        <f>SUM(B44:B47)</f>
        <v>99622.11</v>
      </c>
      <c r="C49" s="260">
        <f>SUM(C44:C47)</f>
        <v>108423.84</v>
      </c>
      <c r="D49" s="260">
        <f>SUM(D44:D47)</f>
        <v>109025.39</v>
      </c>
    </row>
    <row r="50" spans="1:4">
      <c r="A50" s="100" t="s">
        <v>569</v>
      </c>
      <c r="B50" s="72"/>
      <c r="C50" s="72"/>
      <c r="D50" s="72"/>
    </row>
    <row r="51" spans="1:4">
      <c r="A51" s="15" t="s">
        <v>644</v>
      </c>
      <c r="B51" s="14">
        <f>1020313.59+295088.71</f>
        <v>1315402.3</v>
      </c>
      <c r="C51" s="14">
        <f>1048299.43+281500</f>
        <v>1329799.4300000002</v>
      </c>
      <c r="D51" s="14">
        <v>1061328.73</v>
      </c>
    </row>
    <row r="52" spans="1:4">
      <c r="A52" s="15" t="s">
        <v>51</v>
      </c>
      <c r="B52" s="14">
        <v>31023.77</v>
      </c>
      <c r="C52" s="14">
        <v>31050</v>
      </c>
      <c r="D52" s="14">
        <f>32200+88250</f>
        <v>120450</v>
      </c>
    </row>
    <row r="53" spans="1:4">
      <c r="A53" s="15" t="s">
        <v>52</v>
      </c>
      <c r="B53" s="14">
        <v>53648.87</v>
      </c>
      <c r="C53" s="14">
        <v>79750</v>
      </c>
      <c r="D53" s="14">
        <v>280600</v>
      </c>
    </row>
    <row r="54" spans="1:4">
      <c r="A54" s="15" t="s">
        <v>53</v>
      </c>
      <c r="B54" s="14">
        <v>2995.98</v>
      </c>
      <c r="C54" s="14">
        <v>2350</v>
      </c>
      <c r="D54" s="14">
        <v>12350</v>
      </c>
    </row>
    <row r="55" spans="1:4">
      <c r="A55" s="15"/>
      <c r="B55" s="14"/>
      <c r="C55" s="14"/>
      <c r="D55" s="14"/>
    </row>
    <row r="56" spans="1:4">
      <c r="A56" s="83" t="s">
        <v>13</v>
      </c>
      <c r="B56" s="260">
        <f>SUM(B51:B54)</f>
        <v>1403070.9200000002</v>
      </c>
      <c r="C56" s="260">
        <f>SUM(C51:C54)</f>
        <v>1442949.4300000002</v>
      </c>
      <c r="D56" s="260">
        <f>SUM(D51:D54)</f>
        <v>1474728.73</v>
      </c>
    </row>
    <row r="57" spans="1:4">
      <c r="A57" s="100" t="s">
        <v>570</v>
      </c>
      <c r="B57" s="72"/>
      <c r="C57" s="72"/>
      <c r="D57" s="72"/>
    </row>
    <row r="58" spans="1:4">
      <c r="A58" s="15" t="s">
        <v>441</v>
      </c>
      <c r="B58" s="14">
        <v>470000</v>
      </c>
      <c r="C58" s="14">
        <v>470000</v>
      </c>
      <c r="D58" s="14">
        <v>470000</v>
      </c>
    </row>
    <row r="59" spans="1:4">
      <c r="A59" s="15" t="s">
        <v>363</v>
      </c>
      <c r="B59" s="14">
        <f>696018.69-470000-6000</f>
        <v>220018.68999999994</v>
      </c>
      <c r="C59" s="14">
        <v>164000</v>
      </c>
      <c r="D59" s="14">
        <v>144000</v>
      </c>
    </row>
    <row r="60" spans="1:4">
      <c r="A60" s="15" t="s">
        <v>440</v>
      </c>
      <c r="B60" s="14">
        <v>6000</v>
      </c>
      <c r="C60" s="14">
        <v>6000</v>
      </c>
      <c r="D60" s="14">
        <v>6000</v>
      </c>
    </row>
    <row r="61" spans="1:4">
      <c r="A61" s="15" t="s">
        <v>439</v>
      </c>
      <c r="B61" s="18">
        <f>3528421.76-1788375</f>
        <v>1740046.7599999998</v>
      </c>
      <c r="C61" s="14">
        <f>800000*2</f>
        <v>1600000</v>
      </c>
      <c r="D61" s="14">
        <f>3307550-1757550</f>
        <v>1550000</v>
      </c>
    </row>
    <row r="62" spans="1:4">
      <c r="A62" s="15" t="s">
        <v>439</v>
      </c>
      <c r="B62" s="14">
        <v>1788375</v>
      </c>
      <c r="C62" s="14">
        <v>1777411</v>
      </c>
      <c r="D62" s="14">
        <v>1757550</v>
      </c>
    </row>
    <row r="63" spans="1:4">
      <c r="A63" s="83" t="s">
        <v>13</v>
      </c>
      <c r="B63" s="260">
        <f>SUM(B58:B62)</f>
        <v>4224440.4499999993</v>
      </c>
      <c r="C63" s="260">
        <f>SUM(C58:C62)</f>
        <v>4017411</v>
      </c>
      <c r="D63" s="260">
        <f>SUM(D58:D62)</f>
        <v>3927550</v>
      </c>
    </row>
    <row r="64" spans="1:4">
      <c r="A64" s="21"/>
      <c r="B64" s="72"/>
      <c r="C64" s="72"/>
      <c r="D64" s="72"/>
    </row>
    <row r="65" spans="1:4" ht="16.5" thickBot="1">
      <c r="A65" s="83" t="s">
        <v>59</v>
      </c>
      <c r="B65" s="261">
        <f>B15+B22+B29+B35+B42+B49+B56+B63</f>
        <v>5892387.6799999997</v>
      </c>
      <c r="C65" s="261">
        <f>C15+C22+C29+C35+C42+C49+C56+C63</f>
        <v>5718259.2700000005</v>
      </c>
      <c r="D65" s="261">
        <f>D15+D22+D29+D35+D42+D49+D56+D63</f>
        <v>5671979.1200000001</v>
      </c>
    </row>
    <row r="66" spans="1:4" ht="16.5" thickTop="1">
      <c r="A66" s="21"/>
      <c r="B66" s="72"/>
      <c r="C66" s="72"/>
      <c r="D66" s="72"/>
    </row>
    <row r="67" spans="1:4">
      <c r="A67" s="23" t="s">
        <v>58</v>
      </c>
      <c r="B67" s="99" t="s">
        <v>574</v>
      </c>
      <c r="C67" s="72"/>
      <c r="D67" s="72"/>
    </row>
  </sheetData>
  <phoneticPr fontId="10" type="noConversion"/>
  <pageMargins left="0.5" right="0.5" top="1" bottom="0.5" header="0.5" footer="0.5"/>
  <pageSetup scale="72" orientation="portrait" blackAndWhite="1" r:id="rId1"/>
  <headerFooter alignWithMargins="0">
    <oddHeader>&amp;RState of Kansas
Coffeyville</oddHeader>
    <oddFooter>&amp;Lrevised 8/06/07</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D67"/>
  <sheetViews>
    <sheetView view="pageBreakPreview" topLeftCell="A34" zoomScaleNormal="100" workbookViewId="0">
      <selection activeCell="D32" sqref="D32"/>
    </sheetView>
  </sheetViews>
  <sheetFormatPr defaultRowHeight="15.75"/>
  <cols>
    <col min="1" max="1" width="28.33203125" style="2" customWidth="1"/>
    <col min="2" max="3" width="16.44140625" style="2" customWidth="1"/>
    <col min="4" max="4" width="16.44140625" style="2" bestFit="1" customWidth="1"/>
    <col min="5" max="16384" width="8.88671875" style="2"/>
  </cols>
  <sheetData>
    <row r="1" spans="1:4">
      <c r="A1" s="72" t="str">
        <f>inputPrYr!D2</f>
        <v>City of Coffeyville</v>
      </c>
      <c r="B1" s="21"/>
      <c r="C1" s="92"/>
      <c r="D1" s="21">
        <f>inputPrYr!C5</f>
        <v>2013</v>
      </c>
    </row>
    <row r="2" spans="1:4">
      <c r="A2" s="21"/>
      <c r="B2" s="21"/>
      <c r="C2" s="21"/>
      <c r="D2" s="92"/>
    </row>
    <row r="3" spans="1:4">
      <c r="A3" s="90" t="s">
        <v>116</v>
      </c>
      <c r="B3" s="98"/>
      <c r="C3" s="98"/>
      <c r="D3" s="98"/>
    </row>
    <row r="4" spans="1:4">
      <c r="A4" s="92" t="s">
        <v>41</v>
      </c>
      <c r="B4" s="93" t="s">
        <v>62</v>
      </c>
      <c r="C4" s="33" t="s">
        <v>205</v>
      </c>
      <c r="D4" s="33" t="s">
        <v>206</v>
      </c>
    </row>
    <row r="5" spans="1:4">
      <c r="A5" s="20" t="s">
        <v>645</v>
      </c>
      <c r="B5" s="145">
        <f>D1-2</f>
        <v>2011</v>
      </c>
      <c r="C5" s="145">
        <f>D1-1</f>
        <v>2012</v>
      </c>
      <c r="D5" s="145">
        <f>D1</f>
        <v>2013</v>
      </c>
    </row>
    <row r="6" spans="1:4">
      <c r="A6" s="83" t="s">
        <v>50</v>
      </c>
      <c r="B6" s="40"/>
      <c r="C6" s="40"/>
      <c r="D6" s="40"/>
    </row>
    <row r="7" spans="1:4">
      <c r="A7" s="100" t="s">
        <v>571</v>
      </c>
      <c r="B7" s="40"/>
      <c r="C7" s="40"/>
      <c r="D7" s="40"/>
    </row>
    <row r="8" spans="1:4">
      <c r="A8" s="15" t="s">
        <v>438</v>
      </c>
      <c r="B8" s="14">
        <v>174004.67</v>
      </c>
      <c r="C8" s="14">
        <v>160000</v>
      </c>
      <c r="D8" s="14">
        <v>155000</v>
      </c>
    </row>
    <row r="9" spans="1:4">
      <c r="A9" s="15"/>
      <c r="B9" s="14"/>
      <c r="C9" s="14"/>
      <c r="D9" s="14"/>
    </row>
    <row r="10" spans="1:4">
      <c r="A10" s="15"/>
      <c r="B10" s="14"/>
      <c r="C10" s="14"/>
      <c r="D10" s="14"/>
    </row>
    <row r="11" spans="1:4">
      <c r="A11" s="15"/>
      <c r="B11" s="14"/>
      <c r="C11" s="14"/>
      <c r="D11" s="14"/>
    </row>
    <row r="12" spans="1:4">
      <c r="A12" s="15"/>
      <c r="B12" s="14"/>
      <c r="C12" s="14"/>
      <c r="D12" s="14"/>
    </row>
    <row r="13" spans="1:4">
      <c r="A13" s="8"/>
      <c r="B13" s="14"/>
      <c r="C13" s="14"/>
      <c r="D13" s="14"/>
    </row>
    <row r="14" spans="1:4">
      <c r="A14" s="8"/>
      <c r="B14" s="14"/>
      <c r="C14" s="14"/>
      <c r="D14" s="14"/>
    </row>
    <row r="15" spans="1:4">
      <c r="A15" s="83" t="s">
        <v>13</v>
      </c>
      <c r="B15" s="260">
        <f>SUM(B8:B14)</f>
        <v>174004.67</v>
      </c>
      <c r="C15" s="260">
        <f>SUM(C8:C14)</f>
        <v>160000</v>
      </c>
      <c r="D15" s="260">
        <f>SUM(D8:D14)</f>
        <v>155000</v>
      </c>
    </row>
    <row r="16" spans="1:4">
      <c r="A16" s="101" t="s">
        <v>572</v>
      </c>
      <c r="B16" s="72"/>
      <c r="C16" s="72"/>
      <c r="D16" s="72"/>
    </row>
    <row r="17" spans="1:4">
      <c r="A17" s="15" t="s">
        <v>436</v>
      </c>
      <c r="B17" s="14">
        <f>1740046.76/2</f>
        <v>870023.38</v>
      </c>
      <c r="C17" s="14">
        <v>800000</v>
      </c>
      <c r="D17" s="14">
        <v>775000</v>
      </c>
    </row>
    <row r="18" spans="1:4">
      <c r="A18" s="15" t="s">
        <v>437</v>
      </c>
      <c r="B18" s="14">
        <f>+B17</f>
        <v>870023.38</v>
      </c>
      <c r="C18" s="14">
        <v>800000</v>
      </c>
      <c r="D18" s="14">
        <v>775000</v>
      </c>
    </row>
    <row r="19" spans="1:4">
      <c r="A19" s="15"/>
      <c r="B19" s="14"/>
      <c r="C19" s="14"/>
      <c r="D19" s="14"/>
    </row>
    <row r="20" spans="1:4">
      <c r="A20" s="15"/>
      <c r="B20" s="14"/>
      <c r="C20" s="14"/>
      <c r="D20" s="14"/>
    </row>
    <row r="21" spans="1:4">
      <c r="A21" s="15"/>
      <c r="B21" s="14"/>
      <c r="C21" s="14"/>
      <c r="D21" s="14"/>
    </row>
    <row r="22" spans="1:4">
      <c r="A22" s="83" t="s">
        <v>13</v>
      </c>
      <c r="B22" s="260">
        <f>SUM(B17:B20)</f>
        <v>1740046.76</v>
      </c>
      <c r="C22" s="260">
        <f>SUM(C17:C20)</f>
        <v>1600000</v>
      </c>
      <c r="D22" s="260">
        <f>SUM(D17:D20)</f>
        <v>1550000</v>
      </c>
    </row>
    <row r="23" spans="1:4">
      <c r="A23" s="100" t="s">
        <v>431</v>
      </c>
      <c r="B23" s="72"/>
      <c r="C23" s="72"/>
      <c r="D23" s="72"/>
    </row>
    <row r="24" spans="1:4">
      <c r="A24" s="15" t="s">
        <v>51</v>
      </c>
      <c r="B24" s="14">
        <v>69854.34</v>
      </c>
      <c r="C24" s="14">
        <v>75605</v>
      </c>
      <c r="D24" s="14">
        <v>31625</v>
      </c>
    </row>
    <row r="25" spans="1:4">
      <c r="A25" s="15" t="s">
        <v>52</v>
      </c>
      <c r="B25" s="14">
        <v>0</v>
      </c>
      <c r="C25" s="14">
        <v>0</v>
      </c>
      <c r="D25" s="14">
        <v>6160</v>
      </c>
    </row>
    <row r="26" spans="1:4">
      <c r="A26" s="15" t="s">
        <v>656</v>
      </c>
      <c r="B26" s="14">
        <v>6000</v>
      </c>
      <c r="C26" s="14">
        <v>6000</v>
      </c>
      <c r="D26" s="14">
        <v>6000</v>
      </c>
    </row>
    <row r="27" spans="1:4">
      <c r="A27" s="15"/>
      <c r="B27" s="14"/>
      <c r="C27" s="14"/>
      <c r="D27" s="14"/>
    </row>
    <row r="28" spans="1:4">
      <c r="A28" s="15"/>
      <c r="B28" s="14"/>
      <c r="C28" s="14"/>
      <c r="D28" s="14"/>
    </row>
    <row r="29" spans="1:4">
      <c r="A29" s="83" t="s">
        <v>13</v>
      </c>
      <c r="B29" s="260">
        <f>SUM(B24:B27)</f>
        <v>75854.34</v>
      </c>
      <c r="C29" s="260">
        <f>SUM(C24:C27)</f>
        <v>81605</v>
      </c>
      <c r="D29" s="260">
        <f>SUM(D24:D27)</f>
        <v>43785</v>
      </c>
    </row>
    <row r="30" spans="1:4">
      <c r="A30" s="100" t="s">
        <v>422</v>
      </c>
      <c r="B30" s="72"/>
      <c r="C30" s="72"/>
      <c r="D30" s="72"/>
    </row>
    <row r="31" spans="1:4">
      <c r="A31" s="15" t="s">
        <v>53</v>
      </c>
      <c r="B31" s="14">
        <v>0</v>
      </c>
      <c r="C31" s="14">
        <v>146560</v>
      </c>
      <c r="D31" s="14">
        <v>52213</v>
      </c>
    </row>
    <row r="32" spans="1:4">
      <c r="A32" s="15"/>
      <c r="B32" s="14"/>
      <c r="C32" s="14"/>
      <c r="D32" s="14"/>
    </row>
    <row r="33" spans="1:4">
      <c r="A33" s="15"/>
      <c r="B33" s="14"/>
      <c r="C33" s="14"/>
      <c r="D33" s="14"/>
    </row>
    <row r="34" spans="1:4">
      <c r="A34" s="15"/>
      <c r="B34" s="14"/>
      <c r="C34" s="14"/>
      <c r="D34" s="14"/>
    </row>
    <row r="35" spans="1:4">
      <c r="A35" s="83" t="s">
        <v>13</v>
      </c>
      <c r="B35" s="260">
        <f>SUM(B31:B34)</f>
        <v>0</v>
      </c>
      <c r="C35" s="260">
        <f>SUM(C31:C34)</f>
        <v>146560</v>
      </c>
      <c r="D35" s="260">
        <f>SUM(D31:D34)</f>
        <v>52213</v>
      </c>
    </row>
    <row r="36" spans="1:4">
      <c r="A36" s="100"/>
      <c r="B36" s="72"/>
      <c r="C36" s="72"/>
      <c r="D36" s="72"/>
    </row>
    <row r="37" spans="1:4">
      <c r="A37" s="15"/>
      <c r="B37" s="14"/>
      <c r="C37" s="14"/>
      <c r="D37" s="14"/>
    </row>
    <row r="38" spans="1:4">
      <c r="A38" s="15"/>
      <c r="B38" s="14"/>
      <c r="C38" s="14"/>
      <c r="D38" s="14"/>
    </row>
    <row r="39" spans="1:4">
      <c r="A39" s="15"/>
      <c r="B39" s="14"/>
      <c r="C39" s="14"/>
      <c r="D39" s="14"/>
    </row>
    <row r="40" spans="1:4">
      <c r="A40" s="15"/>
      <c r="B40" s="14"/>
      <c r="C40" s="14"/>
      <c r="D40" s="14"/>
    </row>
    <row r="41" spans="1:4">
      <c r="A41" s="15"/>
      <c r="B41" s="14"/>
      <c r="C41" s="14"/>
      <c r="D41" s="14"/>
    </row>
    <row r="42" spans="1:4">
      <c r="A42" s="83" t="s">
        <v>13</v>
      </c>
      <c r="B42" s="260">
        <f>SUM(B37:B40)</f>
        <v>0</v>
      </c>
      <c r="C42" s="260">
        <f>SUM(C37:C40)</f>
        <v>0</v>
      </c>
      <c r="D42" s="260">
        <f>SUM(D37:D40)</f>
        <v>0</v>
      </c>
    </row>
    <row r="43" spans="1:4">
      <c r="A43" s="100"/>
      <c r="B43" s="72"/>
      <c r="C43" s="72"/>
      <c r="D43" s="72"/>
    </row>
    <row r="44" spans="1:4">
      <c r="A44" s="15"/>
      <c r="B44" s="14"/>
      <c r="C44" s="14"/>
      <c r="D44" s="14"/>
    </row>
    <row r="45" spans="1:4">
      <c r="A45" s="15"/>
      <c r="B45" s="14"/>
      <c r="C45" s="14"/>
      <c r="D45" s="14"/>
    </row>
    <row r="46" spans="1:4">
      <c r="A46" s="15"/>
      <c r="B46" s="14"/>
      <c r="C46" s="14"/>
      <c r="D46" s="14"/>
    </row>
    <row r="47" spans="1:4">
      <c r="A47" s="15"/>
      <c r="B47" s="14"/>
      <c r="C47" s="14"/>
      <c r="D47" s="14"/>
    </row>
    <row r="48" spans="1:4">
      <c r="A48" s="15"/>
      <c r="B48" s="14"/>
      <c r="C48" s="14"/>
      <c r="D48" s="14"/>
    </row>
    <row r="49" spans="1:4">
      <c r="A49" s="83" t="s">
        <v>13</v>
      </c>
      <c r="B49" s="260">
        <f>SUM(B44:B47)</f>
        <v>0</v>
      </c>
      <c r="C49" s="260">
        <f>SUM(C44:C47)</f>
        <v>0</v>
      </c>
      <c r="D49" s="260">
        <f>SUM(D44:D47)</f>
        <v>0</v>
      </c>
    </row>
    <row r="50" spans="1:4">
      <c r="A50" s="100"/>
      <c r="B50" s="72"/>
      <c r="C50" s="72"/>
      <c r="D50" s="72"/>
    </row>
    <row r="51" spans="1:4">
      <c r="A51" s="15"/>
      <c r="B51" s="14"/>
      <c r="C51" s="14"/>
      <c r="D51" s="14"/>
    </row>
    <row r="52" spans="1:4">
      <c r="A52" s="15"/>
      <c r="B52" s="14"/>
      <c r="C52" s="14"/>
      <c r="D52" s="14"/>
    </row>
    <row r="53" spans="1:4">
      <c r="A53" s="15"/>
      <c r="B53" s="14"/>
      <c r="C53" s="14"/>
      <c r="D53" s="14"/>
    </row>
    <row r="54" spans="1:4">
      <c r="A54" s="15"/>
      <c r="B54" s="14"/>
      <c r="C54" s="14"/>
      <c r="D54" s="14"/>
    </row>
    <row r="55" spans="1:4">
      <c r="A55" s="15"/>
      <c r="B55" s="14"/>
      <c r="C55" s="14"/>
      <c r="D55" s="14"/>
    </row>
    <row r="56" spans="1:4">
      <c r="A56" s="83" t="s">
        <v>13</v>
      </c>
      <c r="B56" s="260">
        <f>SUM(B51:B54)</f>
        <v>0</v>
      </c>
      <c r="C56" s="260">
        <f>SUM(C51:C54)</f>
        <v>0</v>
      </c>
      <c r="D56" s="260">
        <f>SUM(D51:D54)</f>
        <v>0</v>
      </c>
    </row>
    <row r="57" spans="1:4">
      <c r="A57" s="100"/>
      <c r="B57" s="72"/>
      <c r="C57" s="72"/>
      <c r="D57" s="72"/>
    </row>
    <row r="58" spans="1:4">
      <c r="A58" s="15"/>
      <c r="B58" s="14"/>
      <c r="C58" s="14"/>
      <c r="D58" s="14"/>
    </row>
    <row r="59" spans="1:4">
      <c r="A59" s="15"/>
      <c r="B59" s="14"/>
      <c r="C59" s="14"/>
      <c r="D59" s="14"/>
    </row>
    <row r="60" spans="1:4">
      <c r="A60" s="15"/>
      <c r="B60" s="14"/>
      <c r="C60" s="14"/>
      <c r="D60" s="14"/>
    </row>
    <row r="61" spans="1:4">
      <c r="A61" s="15"/>
      <c r="B61" s="14"/>
      <c r="C61" s="14"/>
      <c r="D61" s="14"/>
    </row>
    <row r="62" spans="1:4">
      <c r="A62" s="15"/>
      <c r="B62" s="14"/>
      <c r="C62" s="14"/>
      <c r="D62" s="14"/>
    </row>
    <row r="63" spans="1:4">
      <c r="A63" s="83" t="s">
        <v>13</v>
      </c>
      <c r="B63" s="260">
        <f>SUM(B58:B61)</f>
        <v>0</v>
      </c>
      <c r="C63" s="260">
        <f>SUM(C58:C61)</f>
        <v>0</v>
      </c>
      <c r="D63" s="260">
        <f>SUM(D58:D61)</f>
        <v>0</v>
      </c>
    </row>
    <row r="64" spans="1:4">
      <c r="A64" s="21"/>
      <c r="B64" s="72"/>
      <c r="C64" s="72"/>
      <c r="D64" s="72"/>
    </row>
    <row r="65" spans="1:4" ht="16.5" thickBot="1">
      <c r="A65" s="83" t="s">
        <v>59</v>
      </c>
      <c r="B65" s="261">
        <f>B15+B22+B29+B35+B42+B49+B56+B63</f>
        <v>1989905.77</v>
      </c>
      <c r="C65" s="261">
        <f>C15+C22+C29+C35+C42+C49+C56+C63</f>
        <v>1988165</v>
      </c>
      <c r="D65" s="261">
        <f>D15+D22+D29+D35+D42+D49+D56+D63</f>
        <v>1800998</v>
      </c>
    </row>
    <row r="66" spans="1:4" ht="16.5" thickTop="1">
      <c r="A66" s="21"/>
      <c r="B66" s="72"/>
      <c r="C66" s="72"/>
      <c r="D66" s="72"/>
    </row>
    <row r="67" spans="1:4">
      <c r="A67" s="23" t="s">
        <v>58</v>
      </c>
      <c r="B67" s="99" t="s">
        <v>575</v>
      </c>
      <c r="C67" s="72"/>
      <c r="D67" s="72"/>
    </row>
  </sheetData>
  <phoneticPr fontId="10" type="noConversion"/>
  <pageMargins left="0.5" right="0.5" top="1" bottom="0.5" header="0.5" footer="0.5"/>
  <pageSetup scale="72" orientation="portrait" blackAndWhite="1" r:id="rId1"/>
  <headerFooter alignWithMargins="0">
    <oddHeader>&amp;RState of Kansas
Coffeyville</oddHeader>
    <oddFooter>&amp;Lrevised 8/06/07</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74"/>
  <sheetViews>
    <sheetView view="pageBreakPreview" topLeftCell="A43" zoomScaleNormal="100" workbookViewId="0">
      <selection activeCell="C30" sqref="C30"/>
    </sheetView>
  </sheetViews>
  <sheetFormatPr defaultRowHeight="15.75"/>
  <cols>
    <col min="1" max="1" width="28.77734375" style="7" customWidth="1"/>
    <col min="2" max="2" width="9.5546875" style="7" customWidth="1"/>
    <col min="3" max="4" width="16.44140625" style="7" customWidth="1"/>
    <col min="5" max="5" width="16.44140625" style="7" bestFit="1" customWidth="1"/>
    <col min="6" max="16384" width="8.88671875" style="7"/>
  </cols>
  <sheetData>
    <row r="1" spans="1:5">
      <c r="A1" s="72" t="str">
        <f>inputPrYr!D2</f>
        <v>City of Coffeyville</v>
      </c>
      <c r="B1" s="72"/>
      <c r="C1" s="21"/>
      <c r="D1" s="21"/>
      <c r="E1" s="142">
        <f>inputPrYr!$C$5</f>
        <v>2013</v>
      </c>
    </row>
    <row r="2" spans="1:5">
      <c r="A2" s="21"/>
      <c r="B2" s="21"/>
      <c r="C2" s="21"/>
      <c r="D2" s="21"/>
      <c r="E2" s="24"/>
    </row>
    <row r="3" spans="1:5">
      <c r="A3" s="90" t="s">
        <v>346</v>
      </c>
      <c r="B3" s="90"/>
      <c r="C3" s="94"/>
      <c r="D3" s="94"/>
      <c r="E3" s="143"/>
    </row>
    <row r="4" spans="1:5">
      <c r="A4" s="21"/>
      <c r="B4" s="21"/>
      <c r="C4" s="144"/>
      <c r="D4" s="144"/>
      <c r="E4" s="144"/>
    </row>
    <row r="5" spans="1:5">
      <c r="A5" s="25" t="s">
        <v>41</v>
      </c>
      <c r="B5" s="25"/>
      <c r="C5" s="93" t="s">
        <v>62</v>
      </c>
      <c r="D5" s="33" t="s">
        <v>205</v>
      </c>
      <c r="E5" s="33" t="s">
        <v>206</v>
      </c>
    </row>
    <row r="6" spans="1:5">
      <c r="A6" s="137" t="s">
        <v>220</v>
      </c>
      <c r="B6" s="137"/>
      <c r="C6" s="146">
        <f>E1-2</f>
        <v>2011</v>
      </c>
      <c r="D6" s="146">
        <f>E1-1</f>
        <v>2012</v>
      </c>
      <c r="E6" s="146">
        <f>E1</f>
        <v>2013</v>
      </c>
    </row>
    <row r="7" spans="1:5">
      <c r="A7" s="37" t="s">
        <v>176</v>
      </c>
      <c r="B7" s="309"/>
      <c r="C7" s="325">
        <v>384978.15</v>
      </c>
      <c r="D7" s="148">
        <f>C67</f>
        <v>3045384.83</v>
      </c>
      <c r="E7" s="148">
        <f>D67</f>
        <v>3042419.83</v>
      </c>
    </row>
    <row r="8" spans="1:5">
      <c r="A8" s="308" t="s">
        <v>178</v>
      </c>
      <c r="B8" s="309"/>
      <c r="C8" s="326"/>
      <c r="D8" s="148"/>
      <c r="E8" s="148"/>
    </row>
    <row r="9" spans="1:5">
      <c r="A9" s="37" t="s">
        <v>42</v>
      </c>
      <c r="B9" s="309"/>
      <c r="C9" s="325"/>
      <c r="D9" s="149">
        <f>inputPrYr!D17</f>
        <v>0</v>
      </c>
      <c r="E9" s="97" t="s">
        <v>30</v>
      </c>
    </row>
    <row r="10" spans="1:5">
      <c r="A10" s="37" t="s">
        <v>43</v>
      </c>
      <c r="B10" s="309"/>
      <c r="C10" s="325"/>
      <c r="D10" s="147"/>
      <c r="E10" s="147"/>
    </row>
    <row r="11" spans="1:5">
      <c r="A11" s="37" t="s">
        <v>44</v>
      </c>
      <c r="B11" s="309"/>
      <c r="C11" s="325"/>
      <c r="D11" s="147"/>
      <c r="E11" s="149" t="str">
        <f>mvalloc!C8</f>
        <v xml:space="preserve">  </v>
      </c>
    </row>
    <row r="12" spans="1:5">
      <c r="A12" s="37" t="s">
        <v>45</v>
      </c>
      <c r="B12" s="309"/>
      <c r="C12" s="325"/>
      <c r="D12" s="147"/>
      <c r="E12" s="149" t="str">
        <f>mvalloc!D8</f>
        <v xml:space="preserve"> </v>
      </c>
    </row>
    <row r="13" spans="1:5">
      <c r="A13" s="322" t="s">
        <v>153</v>
      </c>
      <c r="B13" s="309"/>
      <c r="C13" s="325"/>
      <c r="D13" s="147"/>
      <c r="E13" s="149" t="str">
        <f>mvalloc!E8</f>
        <v xml:space="preserve"> </v>
      </c>
    </row>
    <row r="14" spans="1:5">
      <c r="A14" s="322" t="s">
        <v>224</v>
      </c>
      <c r="B14" s="309"/>
      <c r="C14" s="325"/>
      <c r="D14" s="147"/>
      <c r="E14" s="149" t="str">
        <f>mvalloc!F8</f>
        <v xml:space="preserve"> </v>
      </c>
    </row>
    <row r="15" spans="1:5">
      <c r="A15" s="322"/>
      <c r="B15" s="309"/>
      <c r="C15" s="325"/>
      <c r="D15" s="147"/>
      <c r="E15" s="149"/>
    </row>
    <row r="16" spans="1:5">
      <c r="A16" s="322"/>
      <c r="B16" s="309"/>
      <c r="C16" s="325"/>
      <c r="D16" s="147"/>
      <c r="E16" s="149"/>
    </row>
    <row r="17" spans="1:5">
      <c r="A17" s="323" t="s">
        <v>556</v>
      </c>
      <c r="B17" s="310"/>
      <c r="C17" s="325">
        <v>0</v>
      </c>
      <c r="D17" s="147">
        <v>0</v>
      </c>
      <c r="E17" s="147">
        <v>0</v>
      </c>
    </row>
    <row r="18" spans="1:5">
      <c r="A18" s="323" t="s">
        <v>366</v>
      </c>
      <c r="B18" s="310"/>
      <c r="C18" s="325">
        <f>3620919.51+510400</f>
        <v>4131319.51</v>
      </c>
      <c r="D18" s="147">
        <v>0</v>
      </c>
      <c r="E18" s="150">
        <v>0</v>
      </c>
    </row>
    <row r="19" spans="1:5">
      <c r="A19" s="323" t="s">
        <v>465</v>
      </c>
      <c r="B19" s="310"/>
      <c r="C19" s="325">
        <v>0</v>
      </c>
      <c r="D19" s="147">
        <v>170000</v>
      </c>
      <c r="E19" s="147">
        <v>170000</v>
      </c>
    </row>
    <row r="20" spans="1:5">
      <c r="A20" s="323" t="s">
        <v>657</v>
      </c>
      <c r="B20" s="310"/>
      <c r="C20" s="325">
        <v>0</v>
      </c>
      <c r="D20" s="147">
        <v>100000</v>
      </c>
      <c r="E20" s="147">
        <v>100000</v>
      </c>
    </row>
    <row r="21" spans="1:5">
      <c r="A21" s="323"/>
      <c r="B21" s="310"/>
      <c r="C21" s="325"/>
      <c r="D21" s="147"/>
      <c r="E21" s="147"/>
    </row>
    <row r="22" spans="1:5">
      <c r="A22" s="323"/>
      <c r="B22" s="310"/>
      <c r="C22" s="325"/>
      <c r="D22" s="147"/>
      <c r="E22" s="147"/>
    </row>
    <row r="23" spans="1:5">
      <c r="A23" s="323"/>
      <c r="B23" s="310"/>
      <c r="C23" s="325"/>
      <c r="D23" s="147"/>
      <c r="E23" s="147"/>
    </row>
    <row r="24" spans="1:5">
      <c r="A24" s="323"/>
      <c r="B24" s="310"/>
      <c r="C24" s="325"/>
      <c r="D24" s="147"/>
      <c r="E24" s="147"/>
    </row>
    <row r="25" spans="1:5">
      <c r="A25" s="323"/>
      <c r="B25" s="310"/>
      <c r="C25" s="325"/>
      <c r="D25" s="147"/>
      <c r="E25" s="147"/>
    </row>
    <row r="26" spans="1:5">
      <c r="A26" s="323"/>
      <c r="B26" s="310"/>
      <c r="C26" s="325"/>
      <c r="D26" s="147"/>
      <c r="E26" s="147"/>
    </row>
    <row r="27" spans="1:5">
      <c r="A27" s="323"/>
      <c r="B27" s="310"/>
      <c r="C27" s="325"/>
      <c r="D27" s="147"/>
      <c r="E27" s="147"/>
    </row>
    <row r="28" spans="1:5">
      <c r="A28" s="323"/>
      <c r="B28" s="310"/>
      <c r="C28" s="325"/>
      <c r="D28" s="147"/>
      <c r="E28" s="147"/>
    </row>
    <row r="29" spans="1:5">
      <c r="A29" s="323"/>
      <c r="B29" s="310"/>
      <c r="C29" s="325"/>
      <c r="D29" s="147"/>
      <c r="E29" s="147"/>
    </row>
    <row r="30" spans="1:5">
      <c r="A30" s="323"/>
      <c r="B30" s="310"/>
      <c r="C30" s="325"/>
      <c r="D30" s="147"/>
      <c r="E30" s="147"/>
    </row>
    <row r="31" spans="1:5">
      <c r="A31" s="323"/>
      <c r="B31" s="310"/>
      <c r="C31" s="325"/>
      <c r="D31" s="147"/>
      <c r="E31" s="147"/>
    </row>
    <row r="32" spans="1:5">
      <c r="A32" s="324" t="s">
        <v>46</v>
      </c>
      <c r="B32" s="310"/>
      <c r="C32" s="325">
        <v>0</v>
      </c>
      <c r="D32" s="147">
        <v>0</v>
      </c>
      <c r="E32" s="147">
        <v>0</v>
      </c>
    </row>
    <row r="33" spans="1:5">
      <c r="A33" s="321" t="s">
        <v>351</v>
      </c>
      <c r="B33" s="317"/>
      <c r="C33" s="325"/>
      <c r="D33" s="325"/>
      <c r="E33" s="325"/>
    </row>
    <row r="34" spans="1:5">
      <c r="A34" s="311" t="s">
        <v>353</v>
      </c>
      <c r="B34" s="317"/>
      <c r="C34" s="355" t="str">
        <f>IF(C35*0.1&lt;C33,"Exceed 10% Rule","")</f>
        <v/>
      </c>
      <c r="D34" s="355" t="str">
        <f>IF(D35*0.1&lt;D33,"Exceed 10% Rule","")</f>
        <v/>
      </c>
      <c r="E34" s="355" t="str">
        <f>IF(E35*0.1&lt;E33,"Exceed 10% Rule","")</f>
        <v/>
      </c>
    </row>
    <row r="35" spans="1:5">
      <c r="A35" s="151" t="s">
        <v>47</v>
      </c>
      <c r="B35" s="309"/>
      <c r="C35" s="279">
        <f>SUM(C9:C33)</f>
        <v>4131319.51</v>
      </c>
      <c r="D35" s="277">
        <f>SUM(D9:D33)</f>
        <v>270000</v>
      </c>
      <c r="E35" s="278">
        <f>SUM(E9:E33)</f>
        <v>270000</v>
      </c>
    </row>
    <row r="36" spans="1:5">
      <c r="A36" s="151" t="s">
        <v>48</v>
      </c>
      <c r="B36" s="309"/>
      <c r="C36" s="279">
        <f>C7+C35</f>
        <v>4516297.66</v>
      </c>
      <c r="D36" s="279">
        <f>D7+D35</f>
        <v>3315384.83</v>
      </c>
      <c r="E36" s="276">
        <f>E7+E35</f>
        <v>3312419.83</v>
      </c>
    </row>
    <row r="37" spans="1:5">
      <c r="A37" s="308" t="s">
        <v>50</v>
      </c>
      <c r="B37" s="309"/>
      <c r="C37" s="327"/>
      <c r="D37" s="149"/>
      <c r="E37" s="149"/>
    </row>
    <row r="38" spans="1:5">
      <c r="A38" s="301" t="s">
        <v>443</v>
      </c>
      <c r="B38" s="310"/>
      <c r="C38" s="325">
        <f>87189.31-192891.26+510400</f>
        <v>404698.05</v>
      </c>
      <c r="D38" s="147">
        <v>0</v>
      </c>
      <c r="E38" s="147">
        <v>17604.830000000002</v>
      </c>
    </row>
    <row r="39" spans="1:5">
      <c r="A39" s="301" t="s">
        <v>446</v>
      </c>
      <c r="B39" s="310"/>
      <c r="C39" s="325">
        <v>0</v>
      </c>
      <c r="D39" s="147">
        <v>0</v>
      </c>
      <c r="E39" s="147">
        <v>0</v>
      </c>
    </row>
    <row r="40" spans="1:5">
      <c r="A40" s="301" t="s">
        <v>529</v>
      </c>
      <c r="B40" s="310"/>
      <c r="C40" s="325">
        <v>54240.09</v>
      </c>
      <c r="D40" s="147">
        <v>122965</v>
      </c>
      <c r="E40" s="147">
        <v>119590</v>
      </c>
    </row>
    <row r="41" spans="1:5">
      <c r="A41" s="301" t="s">
        <v>530</v>
      </c>
      <c r="B41" s="310"/>
      <c r="C41" s="325">
        <v>1011974.69</v>
      </c>
      <c r="D41" s="147">
        <v>150000</v>
      </c>
      <c r="E41" s="147">
        <v>150000</v>
      </c>
    </row>
    <row r="42" spans="1:5">
      <c r="A42" s="301"/>
      <c r="B42" s="310"/>
      <c r="C42" s="325"/>
      <c r="D42" s="147"/>
      <c r="E42" s="147"/>
    </row>
    <row r="43" spans="1:5">
      <c r="A43" s="301"/>
      <c r="B43" s="310"/>
      <c r="C43" s="325"/>
      <c r="D43" s="147"/>
      <c r="E43" s="147"/>
    </row>
    <row r="44" spans="1:5">
      <c r="A44" s="301"/>
      <c r="B44" s="310"/>
      <c r="C44" s="325"/>
      <c r="D44" s="147"/>
      <c r="E44" s="147"/>
    </row>
    <row r="45" spans="1:5">
      <c r="A45" s="301"/>
      <c r="B45" s="310"/>
      <c r="C45" s="325"/>
      <c r="D45" s="147"/>
      <c r="E45" s="147"/>
    </row>
    <row r="46" spans="1:5">
      <c r="A46" s="301"/>
      <c r="B46" s="310"/>
      <c r="C46" s="325"/>
      <c r="D46" s="147"/>
      <c r="E46" s="147"/>
    </row>
    <row r="47" spans="1:5">
      <c r="A47" s="301"/>
      <c r="B47" s="310"/>
      <c r="C47" s="325"/>
      <c r="D47" s="147"/>
      <c r="E47" s="147"/>
    </row>
    <row r="48" spans="1:5">
      <c r="A48" s="301"/>
      <c r="B48" s="310"/>
      <c r="C48" s="325"/>
      <c r="D48" s="147"/>
      <c r="E48" s="147"/>
    </row>
    <row r="49" spans="1:5">
      <c r="A49" s="301"/>
      <c r="B49" s="310"/>
      <c r="C49" s="325"/>
      <c r="D49" s="147"/>
      <c r="E49" s="147"/>
    </row>
    <row r="50" spans="1:5">
      <c r="A50" s="301"/>
      <c r="B50" s="310"/>
      <c r="C50" s="325"/>
      <c r="D50" s="147"/>
      <c r="E50" s="147"/>
    </row>
    <row r="51" spans="1:5">
      <c r="A51" s="301"/>
      <c r="B51" s="310"/>
      <c r="C51" s="325"/>
      <c r="D51" s="147"/>
      <c r="E51" s="147"/>
    </row>
    <row r="52" spans="1:5">
      <c r="A52" s="301"/>
      <c r="B52" s="310"/>
      <c r="C52" s="325"/>
      <c r="D52" s="147"/>
      <c r="E52" s="147"/>
    </row>
    <row r="53" spans="1:5">
      <c r="A53" s="301"/>
      <c r="B53" s="310"/>
      <c r="C53" s="325"/>
      <c r="D53" s="147"/>
      <c r="E53" s="147"/>
    </row>
    <row r="54" spans="1:5">
      <c r="A54" s="301"/>
      <c r="B54" s="310"/>
      <c r="C54" s="325"/>
      <c r="D54" s="147"/>
      <c r="E54" s="147"/>
    </row>
    <row r="55" spans="1:5">
      <c r="A55" s="301"/>
      <c r="B55" s="310"/>
      <c r="C55" s="325"/>
      <c r="D55" s="147"/>
      <c r="E55" s="147"/>
    </row>
    <row r="56" spans="1:5">
      <c r="A56" s="301"/>
      <c r="B56" s="310"/>
      <c r="C56" s="325"/>
      <c r="D56" s="147"/>
      <c r="E56" s="147"/>
    </row>
    <row r="57" spans="1:5">
      <c r="A57" s="301"/>
      <c r="B57" s="310"/>
      <c r="C57" s="325"/>
      <c r="D57" s="147"/>
      <c r="E57" s="147"/>
    </row>
    <row r="58" spans="1:5">
      <c r="A58" s="301"/>
      <c r="B58" s="310"/>
      <c r="C58" s="325"/>
      <c r="D58" s="147"/>
      <c r="E58" s="147"/>
    </row>
    <row r="59" spans="1:5">
      <c r="A59" s="301"/>
      <c r="B59" s="310"/>
      <c r="C59" s="325"/>
      <c r="D59" s="147"/>
      <c r="E59" s="147"/>
    </row>
    <row r="60" spans="1:5">
      <c r="A60" s="301"/>
      <c r="B60" s="310"/>
      <c r="C60" s="325"/>
      <c r="D60" s="147"/>
      <c r="E60" s="147"/>
    </row>
    <row r="61" spans="1:5">
      <c r="A61" s="301"/>
      <c r="B61" s="310"/>
      <c r="C61" s="325"/>
      <c r="D61" s="147"/>
      <c r="E61" s="147"/>
    </row>
    <row r="62" spans="1:5">
      <c r="A62" s="301"/>
      <c r="B62" s="310"/>
      <c r="C62" s="325"/>
      <c r="D62" s="147"/>
      <c r="E62" s="147"/>
    </row>
    <row r="63" spans="1:5">
      <c r="A63" s="319" t="s">
        <v>350</v>
      </c>
      <c r="B63" s="317"/>
      <c r="C63" s="325"/>
      <c r="D63" s="147"/>
      <c r="E63" s="356" t="str">
        <f>nhood!E7</f>
        <v/>
      </c>
    </row>
    <row r="64" spans="1:5">
      <c r="A64" s="319" t="s">
        <v>351</v>
      </c>
      <c r="B64" s="317"/>
      <c r="C64" s="325"/>
      <c r="D64" s="325"/>
      <c r="E64" s="325"/>
    </row>
    <row r="65" spans="1:6">
      <c r="A65" s="319" t="s">
        <v>352</v>
      </c>
      <c r="B65" s="317"/>
      <c r="C65" s="355" t="str">
        <f>IF(C66*0.1&lt;C64,"Exceed 10% Rule","")</f>
        <v/>
      </c>
      <c r="D65" s="355" t="str">
        <f>IF(D66*0.1&lt;D64,"Exceed 10% Rule","")</f>
        <v/>
      </c>
      <c r="E65" s="355" t="str">
        <f>IF(E66*0.1&lt;E64,"Exceed 10% Rule","")</f>
        <v/>
      </c>
    </row>
    <row r="66" spans="1:6">
      <c r="A66" s="151" t="s">
        <v>54</v>
      </c>
      <c r="B66" s="309"/>
      <c r="C66" s="279">
        <f>SUM(C38:C64)</f>
        <v>1470912.83</v>
      </c>
      <c r="D66" s="277">
        <f>SUM(D38:D64)</f>
        <v>272965</v>
      </c>
      <c r="E66" s="278">
        <f>SUM(E38:E64)</f>
        <v>287194.83</v>
      </c>
    </row>
    <row r="67" spans="1:6">
      <c r="A67" s="37" t="s">
        <v>177</v>
      </c>
      <c r="B67" s="309"/>
      <c r="C67" s="280">
        <f>C36-C66</f>
        <v>3045384.83</v>
      </c>
      <c r="D67" s="280">
        <f>D36-D66</f>
        <v>3042419.83</v>
      </c>
      <c r="E67" s="97" t="s">
        <v>30</v>
      </c>
    </row>
    <row r="68" spans="1:6">
      <c r="A68" s="23" t="str">
        <f>CONCATENATE("",E1-2," Budget Authority Limited Amount:")</f>
        <v>2011 Budget Authority Limited Amount:</v>
      </c>
      <c r="B68" s="338">
        <f>+inputOth!B60</f>
        <v>4670225</v>
      </c>
      <c r="C68" s="21"/>
      <c r="D68" s="24" t="s">
        <v>55</v>
      </c>
      <c r="E68" s="9">
        <v>0</v>
      </c>
      <c r="F68" s="296" t="str">
        <f>IF(E66/0.95-E66&lt;E68,"Exceeds 5%","")</f>
        <v/>
      </c>
    </row>
    <row r="69" spans="1:6">
      <c r="A69" s="23" t="str">
        <f>CONCATENATE("Violation of Budget Law for ",E1-2,":")</f>
        <v>Violation of Budget Law for 2011:</v>
      </c>
      <c r="B69" s="339" t="str">
        <f>IF(C66&gt;B68,"Yes","")</f>
        <v/>
      </c>
      <c r="C69" s="21"/>
      <c r="D69" s="24" t="s">
        <v>339</v>
      </c>
      <c r="E69" s="85">
        <f>E66+E68</f>
        <v>287194.83</v>
      </c>
    </row>
    <row r="70" spans="1:6">
      <c r="A70" s="23" t="str">
        <f>CONCATENATE("Possible Cash Violation for ",E1-2,":")</f>
        <v>Possible Cash Violation for 2011:</v>
      </c>
      <c r="B70" s="339" t="str">
        <f>IF(C67&lt;0,"Yes","")</f>
        <v/>
      </c>
      <c r="C70" s="21"/>
      <c r="D70" s="24" t="s">
        <v>56</v>
      </c>
      <c r="E70" s="262">
        <f>IF(E69-E36&gt;0,E69-E36,0)</f>
        <v>0</v>
      </c>
    </row>
    <row r="71" spans="1:6">
      <c r="A71" s="464" t="s">
        <v>264</v>
      </c>
      <c r="B71" s="464"/>
      <c r="C71" s="465"/>
      <c r="D71" s="228">
        <f>(inputOth!E46)</f>
        <v>0</v>
      </c>
      <c r="E71" s="85">
        <f>ROUND(IF(D71&gt;0,(E70*D71),0),0)</f>
        <v>0</v>
      </c>
    </row>
    <row r="72" spans="1:6">
      <c r="A72" s="21"/>
      <c r="B72" s="21"/>
      <c r="C72" s="462" t="str">
        <f>CONCATENATE("Amount of  ",E1-1," Ad Valorem Tax")</f>
        <v>Amount of  2012 Ad Valorem Tax</v>
      </c>
      <c r="D72" s="466"/>
      <c r="E72" s="262">
        <f>E70+E71</f>
        <v>0</v>
      </c>
    </row>
    <row r="73" spans="1:6">
      <c r="A73" s="24"/>
      <c r="B73" s="24"/>
      <c r="C73" s="21"/>
      <c r="D73" s="21"/>
      <c r="E73" s="21"/>
    </row>
    <row r="74" spans="1:6">
      <c r="A74" s="23"/>
      <c r="B74" s="23" t="s">
        <v>58</v>
      </c>
      <c r="C74" s="100">
        <v>8</v>
      </c>
      <c r="D74" s="21"/>
      <c r="E74" s="21"/>
    </row>
  </sheetData>
  <mergeCells count="2">
    <mergeCell ref="A71:C71"/>
    <mergeCell ref="C72:D72"/>
  </mergeCells>
  <phoneticPr fontId="10" type="noConversion"/>
  <conditionalFormatting sqref="C33">
    <cfRule type="cellIs" dxfId="149" priority="1" stopIfTrue="1" operator="greaterThan">
      <formula>$C$35*0.1</formula>
    </cfRule>
  </conditionalFormatting>
  <conditionalFormatting sqref="D33">
    <cfRule type="cellIs" dxfId="148" priority="2" stopIfTrue="1" operator="greaterThan">
      <formula>$D$35*0.1</formula>
    </cfRule>
  </conditionalFormatting>
  <conditionalFormatting sqref="E33">
    <cfRule type="cellIs" dxfId="147" priority="3" stopIfTrue="1" operator="greaterThan">
      <formula>$E$35*0.1</formula>
    </cfRule>
  </conditionalFormatting>
  <conditionalFormatting sqref="C64">
    <cfRule type="cellIs" dxfId="146" priority="4" stopIfTrue="1" operator="greaterThan">
      <formula>$C$66*0.1</formula>
    </cfRule>
  </conditionalFormatting>
  <conditionalFormatting sqref="D64">
    <cfRule type="cellIs" dxfId="145" priority="5" stopIfTrue="1" operator="greaterThan">
      <formula>$D$66*0.1</formula>
    </cfRule>
  </conditionalFormatting>
  <conditionalFormatting sqref="E64">
    <cfRule type="cellIs" dxfId="144" priority="6" stopIfTrue="1" operator="greaterThan">
      <formula>$E$66*0.1</formula>
    </cfRule>
  </conditionalFormatting>
  <conditionalFormatting sqref="E68">
    <cfRule type="cellIs" dxfId="143" priority="7" stopIfTrue="1" operator="greaterThan">
      <formula>$E$66/0.95-$E$66</formula>
    </cfRule>
  </conditionalFormatting>
  <pageMargins left="0.5" right="0.5" top="1" bottom="0.5" header="0.5" footer="0.5"/>
  <pageSetup scale="66" orientation="portrait" blackAndWhite="1" r:id="rId1"/>
  <headerFooter alignWithMargins="0">
    <oddHeader>&amp;RState of Kansas
Coffeyville</oddHeader>
    <oddFooter>&amp;Lrevised 8/06/07</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F75"/>
  <sheetViews>
    <sheetView view="pageBreakPreview" zoomScaleNormal="100" workbookViewId="0">
      <selection activeCell="E28" sqref="E28"/>
    </sheetView>
  </sheetViews>
  <sheetFormatPr defaultRowHeight="15.75"/>
  <cols>
    <col min="1" max="1" width="28.77734375" style="7" customWidth="1"/>
    <col min="2" max="2" width="9.5546875" style="7" customWidth="1"/>
    <col min="3" max="4" width="16.44140625" style="7" customWidth="1"/>
    <col min="5" max="5" width="16.44140625" style="7" bestFit="1" customWidth="1"/>
    <col min="6" max="16384" width="8.88671875" style="7"/>
  </cols>
  <sheetData>
    <row r="1" spans="1:6">
      <c r="A1" s="72" t="str">
        <f>(inputPrYr!D2)</f>
        <v>City of Coffeyville</v>
      </c>
      <c r="B1" s="72"/>
      <c r="C1" s="21"/>
      <c r="D1" s="21"/>
      <c r="E1" s="138">
        <f>inputPrYr!C5</f>
        <v>2013</v>
      </c>
    </row>
    <row r="2" spans="1:6">
      <c r="A2" s="21"/>
      <c r="B2" s="21"/>
      <c r="C2" s="21"/>
      <c r="D2" s="21"/>
      <c r="E2" s="24"/>
    </row>
    <row r="3" spans="1:6">
      <c r="A3" s="90" t="s">
        <v>114</v>
      </c>
      <c r="B3" s="90"/>
      <c r="C3" s="94"/>
      <c r="D3" s="94"/>
      <c r="E3" s="95"/>
    </row>
    <row r="4" spans="1:6">
      <c r="A4" s="21"/>
      <c r="B4" s="21"/>
      <c r="C4" s="96"/>
      <c r="D4" s="96"/>
      <c r="E4" s="96"/>
    </row>
    <row r="5" spans="1:6">
      <c r="A5" s="25" t="s">
        <v>41</v>
      </c>
      <c r="B5" s="25"/>
      <c r="C5" s="93" t="s">
        <v>62</v>
      </c>
      <c r="D5" s="33" t="s">
        <v>205</v>
      </c>
      <c r="E5" s="33" t="s">
        <v>206</v>
      </c>
    </row>
    <row r="6" spans="1:6">
      <c r="A6" s="137" t="str">
        <f>inputPrYr!B19</f>
        <v>Library</v>
      </c>
      <c r="B6" s="137"/>
      <c r="C6" s="145">
        <f>E1-2</f>
        <v>2011</v>
      </c>
      <c r="D6" s="145">
        <f>E1-1</f>
        <v>2012</v>
      </c>
      <c r="E6" s="145">
        <f>E1</f>
        <v>2013</v>
      </c>
    </row>
    <row r="7" spans="1:6">
      <c r="A7" s="311" t="s">
        <v>176</v>
      </c>
      <c r="B7" s="317"/>
      <c r="C7" s="313">
        <v>17804.87</v>
      </c>
      <c r="D7" s="85">
        <f>C32</f>
        <v>23009.23000000004</v>
      </c>
      <c r="E7" s="85">
        <f>D32</f>
        <v>22096.23000000004</v>
      </c>
    </row>
    <row r="8" spans="1:6">
      <c r="A8" s="316" t="s">
        <v>178</v>
      </c>
      <c r="B8" s="317"/>
      <c r="C8" s="305"/>
      <c r="D8" s="40"/>
      <c r="E8" s="40"/>
    </row>
    <row r="9" spans="1:6">
      <c r="A9" s="37" t="s">
        <v>42</v>
      </c>
      <c r="B9" s="317"/>
      <c r="C9" s="313">
        <v>320050.76</v>
      </c>
      <c r="D9" s="85">
        <f>+inputPrYr!D19</f>
        <v>353046</v>
      </c>
      <c r="E9" s="97" t="s">
        <v>30</v>
      </c>
      <c r="F9" s="376">
        <f>+D9-306832</f>
        <v>46214</v>
      </c>
    </row>
    <row r="10" spans="1:6">
      <c r="A10" s="37" t="s">
        <v>43</v>
      </c>
      <c r="B10" s="317"/>
      <c r="C10" s="313">
        <v>9321.74</v>
      </c>
      <c r="D10" s="9">
        <v>10000</v>
      </c>
      <c r="E10" s="9">
        <f>10000-0.4</f>
        <v>9999.6</v>
      </c>
    </row>
    <row r="11" spans="1:6">
      <c r="A11" s="37" t="s">
        <v>44</v>
      </c>
      <c r="B11" s="317"/>
      <c r="C11" s="313">
        <v>18070.48</v>
      </c>
      <c r="D11" s="9">
        <v>16631</v>
      </c>
      <c r="E11" s="85">
        <f>mvalloc!C9</f>
        <v>19945</v>
      </c>
    </row>
    <row r="12" spans="1:6">
      <c r="A12" s="37" t="s">
        <v>45</v>
      </c>
      <c r="B12" s="317"/>
      <c r="C12" s="313">
        <v>139.33000000000001</v>
      </c>
      <c r="D12" s="9">
        <v>156</v>
      </c>
      <c r="E12" s="85">
        <f>mvalloc!D9</f>
        <v>159</v>
      </c>
    </row>
    <row r="13" spans="1:6">
      <c r="A13" s="321" t="s">
        <v>153</v>
      </c>
      <c r="B13" s="317"/>
      <c r="C13" s="313">
        <v>147.52000000000001</v>
      </c>
      <c r="D13" s="9">
        <v>180</v>
      </c>
      <c r="E13" s="85">
        <f>mvalloc!E9</f>
        <v>191</v>
      </c>
    </row>
    <row r="14" spans="1:6">
      <c r="A14" s="322" t="s">
        <v>224</v>
      </c>
      <c r="B14" s="317"/>
      <c r="C14" s="313">
        <v>0</v>
      </c>
      <c r="D14" s="9">
        <v>0</v>
      </c>
      <c r="E14" s="85">
        <f>mvalloc!F9</f>
        <v>0</v>
      </c>
    </row>
    <row r="15" spans="1:6">
      <c r="A15" s="301" t="s">
        <v>621</v>
      </c>
      <c r="B15" s="318"/>
      <c r="C15" s="313">
        <v>23.22</v>
      </c>
      <c r="D15" s="9">
        <v>2</v>
      </c>
      <c r="E15" s="9">
        <v>49</v>
      </c>
    </row>
    <row r="16" spans="1:6">
      <c r="A16" s="301" t="s">
        <v>681</v>
      </c>
      <c r="B16" s="318"/>
      <c r="C16" s="313">
        <v>689.02</v>
      </c>
      <c r="D16" s="9">
        <v>0</v>
      </c>
      <c r="E16" s="9">
        <v>0</v>
      </c>
    </row>
    <row r="17" spans="1:5">
      <c r="A17" s="312" t="s">
        <v>46</v>
      </c>
      <c r="B17" s="318"/>
      <c r="C17" s="313"/>
      <c r="D17" s="9"/>
      <c r="E17" s="9"/>
    </row>
    <row r="18" spans="1:5">
      <c r="A18" s="321" t="s">
        <v>351</v>
      </c>
      <c r="B18" s="317"/>
      <c r="C18" s="313"/>
      <c r="D18" s="313"/>
      <c r="E18" s="313"/>
    </row>
    <row r="19" spans="1:5">
      <c r="A19" s="311" t="s">
        <v>353</v>
      </c>
      <c r="B19" s="317"/>
      <c r="C19" s="355" t="str">
        <f>IF(C20*0.1&lt;C18,"Exceed 10% Rule","")</f>
        <v/>
      </c>
      <c r="D19" s="355" t="str">
        <f>IF(D20*0.1&lt;D18,"Exceed 10% Rule","")</f>
        <v/>
      </c>
      <c r="E19" s="355" t="str">
        <f>IF(E20*0.1&lt;E18,"Exceed 10% Rule","")</f>
        <v/>
      </c>
    </row>
    <row r="20" spans="1:5">
      <c r="A20" s="151" t="s">
        <v>47</v>
      </c>
      <c r="B20" s="317"/>
      <c r="C20" s="314">
        <f>SUM(C9:C18)</f>
        <v>348442.07</v>
      </c>
      <c r="D20" s="263">
        <f>SUM(D9:D18)</f>
        <v>380015</v>
      </c>
      <c r="E20" s="263">
        <f>SUM(E9:E18)</f>
        <v>30343.599999999999</v>
      </c>
    </row>
    <row r="21" spans="1:5">
      <c r="A21" s="151" t="s">
        <v>48</v>
      </c>
      <c r="B21" s="317"/>
      <c r="C21" s="315">
        <f>C7+C20</f>
        <v>366246.94</v>
      </c>
      <c r="D21" s="262">
        <f>D7+D20</f>
        <v>403024.23000000004</v>
      </c>
      <c r="E21" s="262">
        <f>E7+E20</f>
        <v>52439.830000000038</v>
      </c>
    </row>
    <row r="22" spans="1:5">
      <c r="A22" s="375" t="s">
        <v>50</v>
      </c>
      <c r="B22" s="352"/>
      <c r="C22" s="38"/>
      <c r="D22" s="42"/>
      <c r="E22" s="42"/>
    </row>
    <row r="23" spans="1:5">
      <c r="A23" s="301" t="s">
        <v>423</v>
      </c>
      <c r="B23" s="318"/>
      <c r="C23" s="313">
        <v>337822.99</v>
      </c>
      <c r="D23" s="9">
        <v>261223</v>
      </c>
      <c r="E23" s="9">
        <v>269751</v>
      </c>
    </row>
    <row r="24" spans="1:5">
      <c r="A24" s="301" t="s">
        <v>424</v>
      </c>
      <c r="B24" s="318"/>
      <c r="C24" s="313">
        <v>572.88</v>
      </c>
      <c r="D24" s="9">
        <v>87892</v>
      </c>
      <c r="E24" s="9">
        <v>84390</v>
      </c>
    </row>
    <row r="25" spans="1:5">
      <c r="A25" s="301" t="s">
        <v>443</v>
      </c>
      <c r="B25" s="318"/>
      <c r="C25" s="313">
        <v>4475.3500000000004</v>
      </c>
      <c r="D25" s="9">
        <v>4600</v>
      </c>
      <c r="E25" s="9">
        <v>5000</v>
      </c>
    </row>
    <row r="26" spans="1:5">
      <c r="A26" s="301" t="s">
        <v>425</v>
      </c>
      <c r="B26" s="318"/>
      <c r="C26" s="313">
        <v>366.49</v>
      </c>
      <c r="D26" s="9">
        <v>2500</v>
      </c>
      <c r="E26" s="9">
        <v>25314.87</v>
      </c>
    </row>
    <row r="27" spans="1:5">
      <c r="A27" s="301" t="s">
        <v>422</v>
      </c>
      <c r="B27" s="318"/>
      <c r="C27" s="313">
        <v>0</v>
      </c>
      <c r="D27" s="9">
        <f>353046-328333</f>
        <v>24713</v>
      </c>
      <c r="E27" s="9">
        <v>4841</v>
      </c>
    </row>
    <row r="28" spans="1:5">
      <c r="A28" s="319" t="s">
        <v>350</v>
      </c>
      <c r="B28" s="317"/>
      <c r="C28" s="313"/>
      <c r="D28" s="9"/>
      <c r="E28" s="262" t="str">
        <f>nhood!E8</f>
        <v/>
      </c>
    </row>
    <row r="29" spans="1:5">
      <c r="A29" s="319" t="s">
        <v>351</v>
      </c>
      <c r="B29" s="317"/>
      <c r="C29" s="313"/>
      <c r="D29" s="313"/>
      <c r="E29" s="313"/>
    </row>
    <row r="30" spans="1:5">
      <c r="A30" s="319" t="s">
        <v>352</v>
      </c>
      <c r="B30" s="317"/>
      <c r="C30" s="355" t="str">
        <f>IF(C31*0.1&lt;C29,"Exceed 10% Rule","")</f>
        <v/>
      </c>
      <c r="D30" s="355" t="str">
        <f>IF(D31*0.1&lt;D29,"Exceed 10% Rule","")</f>
        <v/>
      </c>
      <c r="E30" s="355" t="str">
        <f>IF(E31*0.1&lt;E29,"Exceed 10% Rule","")</f>
        <v/>
      </c>
    </row>
    <row r="31" spans="1:5">
      <c r="A31" s="151" t="s">
        <v>54</v>
      </c>
      <c r="B31" s="317"/>
      <c r="C31" s="314">
        <f>SUM(C23:C29)</f>
        <v>343237.70999999996</v>
      </c>
      <c r="D31" s="263">
        <f>SUM(D23:D29)</f>
        <v>380928</v>
      </c>
      <c r="E31" s="263">
        <f>SUM(E23:E29)</f>
        <v>389296.87</v>
      </c>
    </row>
    <row r="32" spans="1:5">
      <c r="A32" s="37" t="s">
        <v>177</v>
      </c>
      <c r="B32" s="317"/>
      <c r="C32" s="315">
        <f>C21-C31</f>
        <v>23009.23000000004</v>
      </c>
      <c r="D32" s="262">
        <f>D21-D31</f>
        <v>22096.23000000004</v>
      </c>
      <c r="E32" s="97" t="s">
        <v>30</v>
      </c>
    </row>
    <row r="33" spans="1:6">
      <c r="A33" s="23" t="str">
        <f>CONCATENATE("",E1-2," Budget Authority Limited Amount:")</f>
        <v>2011 Budget Authority Limited Amount:</v>
      </c>
      <c r="B33" s="338">
        <f>inputOth!B61</f>
        <v>372822</v>
      </c>
      <c r="C33" s="21"/>
      <c r="D33" s="24" t="s">
        <v>55</v>
      </c>
      <c r="E33" s="9">
        <v>5000</v>
      </c>
      <c r="F33" s="296" t="str">
        <f>IF(E31/0.95-E31&lt;E33,"Exceeds 5%","")</f>
        <v/>
      </c>
    </row>
    <row r="34" spans="1:6">
      <c r="A34" s="23" t="str">
        <f>CONCATENATE("Violation of Budget Law for ",E1-2,":")</f>
        <v>Violation of Budget Law for 2011:</v>
      </c>
      <c r="B34" s="339" t="str">
        <f>IF(C31&gt;B33,"Yes","")</f>
        <v/>
      </c>
      <c r="C34" s="21"/>
      <c r="D34" s="24" t="s">
        <v>339</v>
      </c>
      <c r="E34" s="85">
        <f>E31+E33</f>
        <v>394296.87</v>
      </c>
    </row>
    <row r="35" spans="1:6">
      <c r="A35" s="23" t="str">
        <f>CONCATENATE("Possible Cash Violation for ",E1-2,":")</f>
        <v>Possible Cash Violation for 2011:</v>
      </c>
      <c r="B35" s="339" t="str">
        <f>IF(C32&lt;0,"Yes","")</f>
        <v/>
      </c>
      <c r="C35" s="21"/>
      <c r="D35" s="24" t="s">
        <v>56</v>
      </c>
      <c r="E35" s="262">
        <f>IF(E34-E21&gt;0,E34-E21,0)</f>
        <v>341857.04</v>
      </c>
    </row>
    <row r="36" spans="1:6">
      <c r="A36" s="464" t="s">
        <v>264</v>
      </c>
      <c r="B36" s="464"/>
      <c r="C36" s="465"/>
      <c r="D36" s="228">
        <f>(inputOth!E46)</f>
        <v>0</v>
      </c>
      <c r="E36" s="85">
        <f>ROUND(IF(D36&gt;0,(E35*D36),0),0)</f>
        <v>0</v>
      </c>
    </row>
    <row r="37" spans="1:6">
      <c r="A37" s="24"/>
      <c r="B37" s="24"/>
      <c r="C37" s="462" t="str">
        <f>CONCATENATE("Amount of  ",E1-1," Ad Valorem Tax")</f>
        <v>Amount of  2012 Ad Valorem Tax</v>
      </c>
      <c r="D37" s="466"/>
      <c r="E37" s="409">
        <f>E35+E36</f>
        <v>341857.04</v>
      </c>
      <c r="F37" s="376">
        <f>+E37-337015.64</f>
        <v>4841.3999999999651</v>
      </c>
    </row>
    <row r="38" spans="1:6">
      <c r="A38" s="21"/>
      <c r="B38" s="21"/>
      <c r="C38" s="462"/>
      <c r="D38" s="467"/>
      <c r="E38" s="106"/>
    </row>
    <row r="39" spans="1:6">
      <c r="A39" s="25" t="s">
        <v>41</v>
      </c>
      <c r="B39" s="25"/>
      <c r="C39" s="96"/>
      <c r="D39" s="96"/>
      <c r="E39" s="96"/>
    </row>
    <row r="40" spans="1:6">
      <c r="A40" s="21"/>
      <c r="B40" s="21"/>
      <c r="C40" s="93" t="s">
        <v>62</v>
      </c>
      <c r="D40" s="33" t="s">
        <v>205</v>
      </c>
      <c r="E40" s="33" t="s">
        <v>206</v>
      </c>
    </row>
    <row r="41" spans="1:6">
      <c r="A41" s="137" t="str">
        <f>(inputPrYr!B20)</f>
        <v>Employee Benefits</v>
      </c>
      <c r="B41" s="137"/>
      <c r="C41" s="145">
        <f>E1-2</f>
        <v>2011</v>
      </c>
      <c r="D41" s="145">
        <f>E1-1</f>
        <v>2012</v>
      </c>
      <c r="E41" s="145">
        <f>E1</f>
        <v>2013</v>
      </c>
    </row>
    <row r="42" spans="1:6">
      <c r="A42" s="311" t="s">
        <v>176</v>
      </c>
      <c r="B42" s="317"/>
      <c r="C42" s="313">
        <v>0</v>
      </c>
      <c r="D42" s="85">
        <f>C67</f>
        <v>0</v>
      </c>
      <c r="E42" s="85">
        <f>D67</f>
        <v>0</v>
      </c>
    </row>
    <row r="43" spans="1:6">
      <c r="A43" s="316" t="s">
        <v>178</v>
      </c>
      <c r="B43" s="317"/>
      <c r="C43" s="305"/>
      <c r="D43" s="40"/>
      <c r="E43" s="40"/>
    </row>
    <row r="44" spans="1:6">
      <c r="A44" s="37" t="s">
        <v>42</v>
      </c>
      <c r="B44" s="317"/>
      <c r="C44" s="313">
        <v>0</v>
      </c>
      <c r="D44" s="85">
        <f>inputPrYr!D20</f>
        <v>0</v>
      </c>
      <c r="E44" s="97" t="s">
        <v>30</v>
      </c>
    </row>
    <row r="45" spans="1:6">
      <c r="A45" s="37" t="s">
        <v>43</v>
      </c>
      <c r="B45" s="317"/>
      <c r="C45" s="313">
        <v>0</v>
      </c>
      <c r="D45" s="9">
        <v>0</v>
      </c>
      <c r="E45" s="9">
        <v>0</v>
      </c>
    </row>
    <row r="46" spans="1:6">
      <c r="A46" s="37" t="s">
        <v>44</v>
      </c>
      <c r="B46" s="317"/>
      <c r="C46" s="313">
        <v>0</v>
      </c>
      <c r="D46" s="9">
        <v>0</v>
      </c>
      <c r="E46" s="85" t="str">
        <f>mvalloc!C10</f>
        <v xml:space="preserve">  </v>
      </c>
    </row>
    <row r="47" spans="1:6">
      <c r="A47" s="37" t="s">
        <v>45</v>
      </c>
      <c r="B47" s="317"/>
      <c r="C47" s="313">
        <v>0</v>
      </c>
      <c r="D47" s="9">
        <v>0</v>
      </c>
      <c r="E47" s="85" t="str">
        <f>mvalloc!D10</f>
        <v xml:space="preserve"> </v>
      </c>
    </row>
    <row r="48" spans="1:6">
      <c r="A48" s="321" t="s">
        <v>153</v>
      </c>
      <c r="B48" s="317"/>
      <c r="C48" s="313">
        <v>0</v>
      </c>
      <c r="D48" s="9">
        <v>0</v>
      </c>
      <c r="E48" s="85" t="str">
        <f>mvalloc!E10</f>
        <v xml:space="preserve"> </v>
      </c>
    </row>
    <row r="49" spans="1:5">
      <c r="A49" s="322" t="s">
        <v>224</v>
      </c>
      <c r="B49" s="317"/>
      <c r="C49" s="313">
        <v>0</v>
      </c>
      <c r="D49" s="9">
        <v>0</v>
      </c>
      <c r="E49" s="85" t="str">
        <f>mvalloc!F10</f>
        <v xml:space="preserve"> </v>
      </c>
    </row>
    <row r="50" spans="1:5">
      <c r="A50" s="301" t="s">
        <v>621</v>
      </c>
      <c r="B50" s="318"/>
      <c r="C50" s="313">
        <v>0</v>
      </c>
      <c r="D50" s="9">
        <v>0</v>
      </c>
      <c r="E50" s="9">
        <v>0</v>
      </c>
    </row>
    <row r="51" spans="1:5">
      <c r="A51" s="301"/>
      <c r="B51" s="318"/>
      <c r="C51" s="313"/>
      <c r="D51" s="9"/>
      <c r="E51" s="9"/>
    </row>
    <row r="52" spans="1:5">
      <c r="A52" s="312" t="s">
        <v>46</v>
      </c>
      <c r="B52" s="318"/>
      <c r="C52" s="313"/>
      <c r="D52" s="9"/>
      <c r="E52" s="9"/>
    </row>
    <row r="53" spans="1:5">
      <c r="A53" s="321" t="s">
        <v>351</v>
      </c>
      <c r="B53" s="317"/>
      <c r="C53" s="313"/>
      <c r="D53" s="313"/>
      <c r="E53" s="313"/>
    </row>
    <row r="54" spans="1:5">
      <c r="A54" s="311" t="s">
        <v>353</v>
      </c>
      <c r="B54" s="317"/>
      <c r="C54" s="355" t="str">
        <f>IF(C55*0.1&lt;C53,"Exceed 10% Rule","")</f>
        <v/>
      </c>
      <c r="D54" s="355" t="str">
        <f>IF(D55*0.1&lt;D53,"Exceed 10% Rule","")</f>
        <v/>
      </c>
      <c r="E54" s="355" t="str">
        <f>IF(E55*0.1&lt;E53,"Exceed 10% Rule","")</f>
        <v/>
      </c>
    </row>
    <row r="55" spans="1:5">
      <c r="A55" s="151" t="s">
        <v>47</v>
      </c>
      <c r="B55" s="317"/>
      <c r="C55" s="314">
        <f>SUM(C44:C53)</f>
        <v>0</v>
      </c>
      <c r="D55" s="263">
        <f>SUM(D44:D53)</f>
        <v>0</v>
      </c>
      <c r="E55" s="263">
        <f>SUM(E44:E53)</f>
        <v>0</v>
      </c>
    </row>
    <row r="56" spans="1:5">
      <c r="A56" s="151" t="s">
        <v>48</v>
      </c>
      <c r="B56" s="317"/>
      <c r="C56" s="314">
        <f>C42+C55</f>
        <v>0</v>
      </c>
      <c r="D56" s="263">
        <f>D42+D55</f>
        <v>0</v>
      </c>
      <c r="E56" s="263">
        <f>E42+E55</f>
        <v>0</v>
      </c>
    </row>
    <row r="57" spans="1:5">
      <c r="A57" s="37" t="s">
        <v>50</v>
      </c>
      <c r="B57" s="317"/>
      <c r="C57" s="38"/>
      <c r="D57" s="42"/>
      <c r="E57" s="42"/>
    </row>
    <row r="58" spans="1:5">
      <c r="A58" s="301"/>
      <c r="B58" s="318"/>
      <c r="C58" s="313"/>
      <c r="D58" s="9"/>
      <c r="E58" s="9"/>
    </row>
    <row r="59" spans="1:5">
      <c r="A59" s="301"/>
      <c r="B59" s="318"/>
      <c r="C59" s="313"/>
      <c r="D59" s="9"/>
      <c r="E59" s="9"/>
    </row>
    <row r="60" spans="1:5">
      <c r="A60" s="301"/>
      <c r="B60" s="318"/>
      <c r="C60" s="313"/>
      <c r="D60" s="9"/>
      <c r="E60" s="9"/>
    </row>
    <row r="61" spans="1:5">
      <c r="A61" s="301"/>
      <c r="B61" s="318"/>
      <c r="C61" s="313"/>
      <c r="D61" s="9"/>
      <c r="E61" s="9"/>
    </row>
    <row r="62" spans="1:5">
      <c r="A62" s="301"/>
      <c r="B62" s="318"/>
      <c r="C62" s="313"/>
      <c r="D62" s="9"/>
      <c r="E62" s="9"/>
    </row>
    <row r="63" spans="1:5">
      <c r="A63" s="319" t="s">
        <v>350</v>
      </c>
      <c r="B63" s="317"/>
      <c r="C63" s="313"/>
      <c r="D63" s="9"/>
      <c r="E63" s="262" t="str">
        <f>nhood!E9</f>
        <v/>
      </c>
    </row>
    <row r="64" spans="1:5">
      <c r="A64" s="319" t="s">
        <v>351</v>
      </c>
      <c r="B64" s="317"/>
      <c r="C64" s="313"/>
      <c r="D64" s="313"/>
      <c r="E64" s="313"/>
    </row>
    <row r="65" spans="1:6">
      <c r="A65" s="319" t="s">
        <v>352</v>
      </c>
      <c r="B65" s="317"/>
      <c r="C65" s="355" t="str">
        <f>IF(C66*0.1&lt;C64,"Exceed 10% Rule","")</f>
        <v/>
      </c>
      <c r="D65" s="355" t="str">
        <f>IF(D66*0.1&lt;D64,"Exceed 10% Rule","")</f>
        <v/>
      </c>
      <c r="E65" s="355" t="str">
        <f>IF(E66*0.1&lt;E64,"Exceed 10% Rule","")</f>
        <v/>
      </c>
    </row>
    <row r="66" spans="1:6">
      <c r="A66" s="151" t="s">
        <v>54</v>
      </c>
      <c r="B66" s="317"/>
      <c r="C66" s="314">
        <f>SUM(C58:C64)</f>
        <v>0</v>
      </c>
      <c r="D66" s="263">
        <f>SUM(D58:D64)</f>
        <v>0</v>
      </c>
      <c r="E66" s="263">
        <f>SUM(E58:E64)</f>
        <v>0</v>
      </c>
    </row>
    <row r="67" spans="1:6">
      <c r="A67" s="37" t="s">
        <v>177</v>
      </c>
      <c r="B67" s="317"/>
      <c r="C67" s="315">
        <f>C56-C66</f>
        <v>0</v>
      </c>
      <c r="D67" s="262">
        <f>D56-D66</f>
        <v>0</v>
      </c>
      <c r="E67" s="97" t="s">
        <v>30</v>
      </c>
    </row>
    <row r="68" spans="1:6">
      <c r="A68" s="23" t="str">
        <f>CONCATENATE("",E1-2," Budget Authority Limited Amount:")</f>
        <v>2011 Budget Authority Limited Amount:</v>
      </c>
      <c r="B68" s="338">
        <f>inputOth!B62</f>
        <v>0</v>
      </c>
      <c r="C68" s="65"/>
      <c r="D68" s="24" t="s">
        <v>55</v>
      </c>
      <c r="E68" s="9">
        <v>0</v>
      </c>
      <c r="F68" s="296" t="str">
        <f>IF(E66/0.95-E66&lt;E68,"Exceeds 5%","")</f>
        <v/>
      </c>
    </row>
    <row r="69" spans="1:6">
      <c r="A69" s="23" t="str">
        <f>CONCATENATE("Violation of Budget Law for ",E1-2,":")</f>
        <v>Violation of Budget Law for 2011:</v>
      </c>
      <c r="B69" s="339" t="str">
        <f>IF(C66&gt;B68,"Yes","")</f>
        <v/>
      </c>
      <c r="C69" s="65"/>
      <c r="D69" s="24" t="s">
        <v>339</v>
      </c>
      <c r="E69" s="85">
        <f>E66+E68</f>
        <v>0</v>
      </c>
    </row>
    <row r="70" spans="1:6">
      <c r="A70" s="23" t="str">
        <f>CONCATENATE("Possible Cash Violation for ",E1-2,":")</f>
        <v>Possible Cash Violation for 2011:</v>
      </c>
      <c r="B70" s="339" t="str">
        <f>IF(C67&lt;0,"Yes","")</f>
        <v/>
      </c>
      <c r="C70" s="21"/>
      <c r="D70" s="24" t="s">
        <v>56</v>
      </c>
      <c r="E70" s="262">
        <f>IF(E69-E56&gt;0,E69-E56,0)</f>
        <v>0</v>
      </c>
    </row>
    <row r="71" spans="1:6">
      <c r="A71" s="464" t="s">
        <v>264</v>
      </c>
      <c r="B71" s="464"/>
      <c r="C71" s="465"/>
      <c r="D71" s="229">
        <f>(inputOth!E46)</f>
        <v>0</v>
      </c>
      <c r="E71" s="85">
        <f>ROUND(IF(D71&gt;0,(E70*D71),0),0)</f>
        <v>0</v>
      </c>
    </row>
    <row r="72" spans="1:6" ht="16.5" thickBot="1">
      <c r="A72" s="21"/>
      <c r="B72" s="21"/>
      <c r="C72" s="462" t="str">
        <f>CONCATENATE("Amount of  ",E1-1," Ad Valorem Tax")</f>
        <v>Amount of  2012 Ad Valorem Tax</v>
      </c>
      <c r="D72" s="466"/>
      <c r="E72" s="264">
        <f>E70+E71</f>
        <v>0</v>
      </c>
    </row>
    <row r="73" spans="1:6" ht="16.5" thickTop="1">
      <c r="A73" s="21"/>
      <c r="B73" s="21"/>
      <c r="C73" s="374"/>
      <c r="D73" s="374"/>
      <c r="E73" s="374"/>
    </row>
    <row r="74" spans="1:6">
      <c r="A74" s="24"/>
      <c r="B74" s="24" t="s">
        <v>58</v>
      </c>
      <c r="C74" s="100">
        <v>9</v>
      </c>
      <c r="D74" s="21"/>
      <c r="E74" s="21"/>
    </row>
    <row r="75" spans="1:6">
      <c r="A75" s="2"/>
      <c r="B75" s="2"/>
    </row>
  </sheetData>
  <mergeCells count="5">
    <mergeCell ref="C72:D72"/>
    <mergeCell ref="A36:C36"/>
    <mergeCell ref="A71:C71"/>
    <mergeCell ref="C38:D38"/>
    <mergeCell ref="C37:D37"/>
  </mergeCells>
  <phoneticPr fontId="0" type="noConversion"/>
  <conditionalFormatting sqref="C64">
    <cfRule type="cellIs" dxfId="142" priority="1" stopIfTrue="1" operator="greaterThan">
      <formula>$C$66*0.1</formula>
    </cfRule>
  </conditionalFormatting>
  <conditionalFormatting sqref="D64">
    <cfRule type="cellIs" dxfId="141" priority="2" stopIfTrue="1" operator="greaterThan">
      <formula>$D$66*0.1</formula>
    </cfRule>
  </conditionalFormatting>
  <conditionalFormatting sqref="E64">
    <cfRule type="cellIs" dxfId="140" priority="3" stopIfTrue="1" operator="greaterThan">
      <formula>$E$66*0.1</formula>
    </cfRule>
  </conditionalFormatting>
  <conditionalFormatting sqref="E68">
    <cfRule type="cellIs" dxfId="139" priority="4" stopIfTrue="1" operator="greaterThan">
      <formula>$E$66/0.95-$E$66</formula>
    </cfRule>
  </conditionalFormatting>
  <conditionalFormatting sqref="C53">
    <cfRule type="cellIs" dxfId="138" priority="5" stopIfTrue="1" operator="greaterThan">
      <formula>$C$55*0.1</formula>
    </cfRule>
  </conditionalFormatting>
  <conditionalFormatting sqref="D53">
    <cfRule type="cellIs" dxfId="137" priority="6" stopIfTrue="1" operator="greaterThan">
      <formula>$D$55*0.1</formula>
    </cfRule>
  </conditionalFormatting>
  <conditionalFormatting sqref="E53">
    <cfRule type="cellIs" dxfId="136" priority="7" stopIfTrue="1" operator="greaterThan">
      <formula>$E$55*0.1</formula>
    </cfRule>
  </conditionalFormatting>
  <conditionalFormatting sqref="C29">
    <cfRule type="cellIs" dxfId="135" priority="8" stopIfTrue="1" operator="greaterThan">
      <formula>$C$31*0.1</formula>
    </cfRule>
  </conditionalFormatting>
  <conditionalFormatting sqref="D29">
    <cfRule type="cellIs" dxfId="134" priority="9" stopIfTrue="1" operator="greaterThan">
      <formula>$D$31*0.1</formula>
    </cfRule>
  </conditionalFormatting>
  <conditionalFormatting sqref="E29">
    <cfRule type="cellIs" dxfId="133" priority="10" stopIfTrue="1" operator="greaterThan">
      <formula>$E$31*0.1</formula>
    </cfRule>
  </conditionalFormatting>
  <conditionalFormatting sqref="E33">
    <cfRule type="cellIs" dxfId="132" priority="11" stopIfTrue="1" operator="greaterThan">
      <formula>$E$31/0.95-$E$31</formula>
    </cfRule>
  </conditionalFormatting>
  <conditionalFormatting sqref="C18">
    <cfRule type="cellIs" dxfId="131" priority="12" stopIfTrue="1" operator="greaterThan">
      <formula>$C$20*0.1</formula>
    </cfRule>
  </conditionalFormatting>
  <conditionalFormatting sqref="D18">
    <cfRule type="cellIs" dxfId="130" priority="13" stopIfTrue="1" operator="greaterThan">
      <formula>$D$20*0.1</formula>
    </cfRule>
  </conditionalFormatting>
  <conditionalFormatting sqref="E18">
    <cfRule type="cellIs" dxfId="129" priority="14" stopIfTrue="1" operator="greaterThan">
      <formula>$E$20*0.1</formula>
    </cfRule>
  </conditionalFormatting>
  <pageMargins left="0.5" right="0.5" top="1" bottom="0.5" header="0.5" footer="0.5"/>
  <pageSetup scale="66" orientation="portrait" blackAndWhite="1" horizontalDpi="120" verticalDpi="144" r:id="rId1"/>
  <headerFooter alignWithMargins="0">
    <oddHeader>&amp;RState of Kansas
Coffeyville</oddHeader>
    <oddFooter>&amp;Lrevised 8/06/07</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F76"/>
  <sheetViews>
    <sheetView view="pageBreakPreview" zoomScaleNormal="100" workbookViewId="0">
      <selection activeCell="C30" sqref="C30"/>
    </sheetView>
  </sheetViews>
  <sheetFormatPr defaultRowHeight="15.75"/>
  <cols>
    <col min="1" max="1" width="28.77734375" style="7" customWidth="1"/>
    <col min="2" max="2" width="9.5546875" style="7" customWidth="1"/>
    <col min="3" max="4" width="16.44140625" style="7" customWidth="1"/>
    <col min="5" max="5" width="16.44140625" style="7" bestFit="1" customWidth="1"/>
    <col min="6" max="16384" width="8.88671875" style="7"/>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62</v>
      </c>
      <c r="D4" s="33" t="s">
        <v>205</v>
      </c>
      <c r="E4" s="33" t="s">
        <v>206</v>
      </c>
    </row>
    <row r="5" spans="1:5">
      <c r="A5" s="137" t="str">
        <f>(inputPrYr!B32)</f>
        <v>Special Highway</v>
      </c>
      <c r="B5" s="137"/>
      <c r="C5" s="145">
        <f>E1-2</f>
        <v>2011</v>
      </c>
      <c r="D5" s="145">
        <f>E1-1</f>
        <v>2012</v>
      </c>
      <c r="E5" s="145">
        <f>E1</f>
        <v>2013</v>
      </c>
    </row>
    <row r="6" spans="1:5">
      <c r="A6" s="311" t="s">
        <v>176</v>
      </c>
      <c r="B6" s="317"/>
      <c r="C6" s="313"/>
      <c r="D6" s="85">
        <f>C34</f>
        <v>0</v>
      </c>
      <c r="E6" s="85">
        <f>D34</f>
        <v>0</v>
      </c>
    </row>
    <row r="7" spans="1:5">
      <c r="A7" s="316" t="s">
        <v>178</v>
      </c>
      <c r="B7" s="317"/>
      <c r="C7" s="305"/>
      <c r="D7" s="40"/>
      <c r="E7" s="40"/>
    </row>
    <row r="8" spans="1:5">
      <c r="A8" s="319" t="s">
        <v>156</v>
      </c>
      <c r="B8" s="317"/>
      <c r="C8" s="313"/>
      <c r="D8" s="141"/>
      <c r="E8" s="85"/>
    </row>
    <row r="9" spans="1:5">
      <c r="A9" s="320" t="s">
        <v>236</v>
      </c>
      <c r="B9" s="317"/>
      <c r="C9" s="313"/>
      <c r="D9" s="141"/>
      <c r="E9" s="141"/>
    </row>
    <row r="10" spans="1:5">
      <c r="A10" s="301"/>
      <c r="B10" s="318"/>
      <c r="C10" s="313"/>
      <c r="D10" s="9"/>
      <c r="E10" s="9"/>
    </row>
    <row r="11" spans="1:5">
      <c r="A11" s="301"/>
      <c r="B11" s="318"/>
      <c r="C11" s="313"/>
      <c r="D11" s="9"/>
      <c r="E11" s="9"/>
    </row>
    <row r="12" spans="1:5">
      <c r="A12" s="301"/>
      <c r="B12" s="318"/>
      <c r="C12" s="313"/>
      <c r="D12" s="9"/>
      <c r="E12" s="9"/>
    </row>
    <row r="13" spans="1:5">
      <c r="A13" s="301"/>
      <c r="B13" s="318"/>
      <c r="C13" s="313"/>
      <c r="D13" s="9"/>
      <c r="E13" s="9"/>
    </row>
    <row r="14" spans="1:5">
      <c r="A14" s="301"/>
      <c r="B14" s="318"/>
      <c r="C14" s="313"/>
      <c r="D14" s="9"/>
      <c r="E14" s="9"/>
    </row>
    <row r="15" spans="1:5">
      <c r="A15" s="312" t="s">
        <v>46</v>
      </c>
      <c r="B15" s="318"/>
      <c r="C15" s="313"/>
      <c r="D15" s="9"/>
      <c r="E15" s="9"/>
    </row>
    <row r="16" spans="1:5">
      <c r="A16" s="321" t="s">
        <v>351</v>
      </c>
      <c r="B16" s="317"/>
      <c r="C16" s="313"/>
      <c r="D16" s="313"/>
      <c r="E16" s="313"/>
    </row>
    <row r="17" spans="1:5">
      <c r="A17" s="311" t="s">
        <v>353</v>
      </c>
      <c r="B17" s="317"/>
      <c r="C17" s="355" t="str">
        <f>IF(C18*0.1&lt;C16,"Exceed 10% Rule","")</f>
        <v/>
      </c>
      <c r="D17" s="355" t="str">
        <f>IF(D18*0.1&lt;D16,"Exceed 10% Rule","")</f>
        <v/>
      </c>
      <c r="E17" s="355" t="str">
        <f>IF(E18*0.1&lt;E16,"Exceed 10% Rule","")</f>
        <v/>
      </c>
    </row>
    <row r="18" spans="1:5">
      <c r="A18" s="151" t="s">
        <v>47</v>
      </c>
      <c r="B18" s="317"/>
      <c r="C18" s="314">
        <f>SUM(C8:C16)</f>
        <v>0</v>
      </c>
      <c r="D18" s="263">
        <f>SUM(D8:D16)</f>
        <v>0</v>
      </c>
      <c r="E18" s="263">
        <f>SUM(E8:E16)</f>
        <v>0</v>
      </c>
    </row>
    <row r="19" spans="1:5">
      <c r="A19" s="151" t="s">
        <v>48</v>
      </c>
      <c r="B19" s="317"/>
      <c r="C19" s="314">
        <f>C6+C18</f>
        <v>0</v>
      </c>
      <c r="D19" s="263">
        <f>D6+D18</f>
        <v>0</v>
      </c>
      <c r="E19" s="263">
        <f>E6+E18</f>
        <v>0</v>
      </c>
    </row>
    <row r="20" spans="1:5">
      <c r="A20" s="37" t="s">
        <v>50</v>
      </c>
      <c r="B20" s="317"/>
      <c r="C20" s="119"/>
      <c r="D20" s="85"/>
      <c r="E20" s="85"/>
    </row>
    <row r="21" spans="1:5">
      <c r="A21" s="301"/>
      <c r="B21" s="318"/>
      <c r="C21" s="313"/>
      <c r="D21" s="9"/>
      <c r="E21" s="9"/>
    </row>
    <row r="22" spans="1:5">
      <c r="A22" s="301"/>
      <c r="B22" s="318"/>
      <c r="C22" s="313"/>
      <c r="D22" s="9"/>
      <c r="E22" s="9"/>
    </row>
    <row r="23" spans="1:5">
      <c r="A23" s="301"/>
      <c r="B23" s="318"/>
      <c r="C23" s="313"/>
      <c r="D23" s="9"/>
      <c r="E23" s="9"/>
    </row>
    <row r="24" spans="1:5">
      <c r="A24" s="301"/>
      <c r="B24" s="318"/>
      <c r="C24" s="313"/>
      <c r="D24" s="9"/>
      <c r="E24" s="9"/>
    </row>
    <row r="25" spans="1:5">
      <c r="A25" s="301"/>
      <c r="B25" s="318"/>
      <c r="C25" s="313"/>
      <c r="D25" s="9"/>
      <c r="E25" s="9"/>
    </row>
    <row r="26" spans="1:5">
      <c r="A26" s="301"/>
      <c r="B26" s="318"/>
      <c r="C26" s="313"/>
      <c r="D26" s="9"/>
      <c r="E26" s="9"/>
    </row>
    <row r="27" spans="1:5">
      <c r="A27" s="301"/>
      <c r="B27" s="318"/>
      <c r="C27" s="313"/>
      <c r="D27" s="9"/>
      <c r="E27" s="9"/>
    </row>
    <row r="28" spans="1:5">
      <c r="A28" s="301"/>
      <c r="B28" s="318"/>
      <c r="C28" s="313"/>
      <c r="D28" s="9"/>
      <c r="E28" s="9"/>
    </row>
    <row r="29" spans="1:5">
      <c r="A29" s="301"/>
      <c r="B29" s="318"/>
      <c r="C29" s="313"/>
      <c r="D29" s="9"/>
      <c r="E29" s="9"/>
    </row>
    <row r="30" spans="1:5">
      <c r="A30" s="301"/>
      <c r="B30" s="318"/>
      <c r="C30" s="313"/>
      <c r="D30" s="9"/>
      <c r="E30" s="9"/>
    </row>
    <row r="31" spans="1:5">
      <c r="A31" s="319" t="s">
        <v>351</v>
      </c>
      <c r="B31" s="317"/>
      <c r="C31" s="313"/>
      <c r="D31" s="313"/>
      <c r="E31" s="313"/>
    </row>
    <row r="32" spans="1:5">
      <c r="A32" s="319" t="s">
        <v>352</v>
      </c>
      <c r="B32" s="317"/>
      <c r="C32" s="355" t="str">
        <f>IF(C33*0.1&lt;C31,"Exceed 10% Rule","")</f>
        <v/>
      </c>
      <c r="D32" s="355" t="str">
        <f>IF(D33*0.1&lt;D31,"Exceed 10% Rule","")</f>
        <v/>
      </c>
      <c r="E32" s="355" t="str">
        <f>IF(E33*0.1&lt;E31,"Exceed 10% Rule","")</f>
        <v/>
      </c>
    </row>
    <row r="33" spans="1:5">
      <c r="A33" s="151" t="s">
        <v>54</v>
      </c>
      <c r="B33" s="317"/>
      <c r="C33" s="314">
        <f>SUM(C21:C31)</f>
        <v>0</v>
      </c>
      <c r="D33" s="263">
        <f>SUM(D21:D31)</f>
        <v>0</v>
      </c>
      <c r="E33" s="263">
        <f>SUM(E21:E31)</f>
        <v>0</v>
      </c>
    </row>
    <row r="34" spans="1:5">
      <c r="A34" s="37" t="s">
        <v>177</v>
      </c>
      <c r="B34" s="317"/>
      <c r="C34" s="315">
        <f>C19-C33</f>
        <v>0</v>
      </c>
      <c r="D34" s="262">
        <f>D19-D33</f>
        <v>0</v>
      </c>
      <c r="E34" s="262">
        <f>E19-E33</f>
        <v>0</v>
      </c>
    </row>
    <row r="35" spans="1:5">
      <c r="A35" s="23" t="str">
        <f>CONCATENATE("",E1-2," Budget Authority Limited Amount:")</f>
        <v>2011 Budget Authority Limited Amount:</v>
      </c>
      <c r="B35" s="338">
        <f>inputOth!B63</f>
        <v>0</v>
      </c>
      <c r="C35" s="65"/>
      <c r="D35" s="65"/>
      <c r="E35" s="65"/>
    </row>
    <row r="36" spans="1:5">
      <c r="A36" s="23" t="str">
        <f>CONCATENATE("Violation of Budget Law for ",E1-2,":")</f>
        <v>Violation of Budget Law for 2011:</v>
      </c>
      <c r="B36" s="339" t="str">
        <f>IF(C33&gt;B35,"Yes","")</f>
        <v/>
      </c>
      <c r="C36" s="65"/>
      <c r="D36" s="65"/>
      <c r="E36" s="65"/>
    </row>
    <row r="37" spans="1:5">
      <c r="A37" s="23" t="str">
        <f>CONCATENATE("Possible Cash Violation for ",E1-2,":")</f>
        <v>Possible Cash Violation for 2011:</v>
      </c>
      <c r="B37" s="339" t="str">
        <f>IF(C34&lt;0,"Yes","")</f>
        <v/>
      </c>
      <c r="C37" s="65"/>
      <c r="D37" s="65"/>
      <c r="E37" s="65"/>
    </row>
    <row r="38" spans="1:5">
      <c r="A38" s="21"/>
      <c r="B38" s="21"/>
      <c r="C38" s="65"/>
      <c r="D38" s="65"/>
      <c r="E38" s="65"/>
    </row>
    <row r="39" spans="1:5">
      <c r="A39" s="25" t="s">
        <v>41</v>
      </c>
      <c r="B39" s="25"/>
      <c r="C39" s="102"/>
      <c r="D39" s="102"/>
      <c r="E39" s="102"/>
    </row>
    <row r="40" spans="1:5">
      <c r="A40" s="21"/>
      <c r="B40" s="21"/>
      <c r="C40" s="93" t="s">
        <v>62</v>
      </c>
      <c r="D40" s="33" t="s">
        <v>205</v>
      </c>
      <c r="E40" s="33" t="s">
        <v>206</v>
      </c>
    </row>
    <row r="41" spans="1:5">
      <c r="A41" s="137" t="str">
        <f>(inputPrYr!B33)</f>
        <v>Local Alcohol Liquor</v>
      </c>
      <c r="B41" s="137"/>
      <c r="C41" s="145">
        <f>C5</f>
        <v>2011</v>
      </c>
      <c r="D41" s="145">
        <f>D5</f>
        <v>2012</v>
      </c>
      <c r="E41" s="145">
        <f>E5</f>
        <v>2013</v>
      </c>
    </row>
    <row r="42" spans="1:5">
      <c r="A42" s="311" t="s">
        <v>176</v>
      </c>
      <c r="B42" s="317"/>
      <c r="C42" s="313">
        <v>92116.31</v>
      </c>
      <c r="D42" s="85">
        <f>C71</f>
        <v>93330.859999999986</v>
      </c>
      <c r="E42" s="85">
        <f>D71</f>
        <v>89020.859999999986</v>
      </c>
    </row>
    <row r="43" spans="1:5">
      <c r="A43" s="316" t="s">
        <v>178</v>
      </c>
      <c r="B43" s="317"/>
      <c r="C43" s="305"/>
      <c r="D43" s="40"/>
      <c r="E43" s="40"/>
    </row>
    <row r="44" spans="1:5">
      <c r="A44" s="301" t="s">
        <v>496</v>
      </c>
      <c r="B44" s="318"/>
      <c r="C44" s="313">
        <v>19150.87</v>
      </c>
      <c r="D44" s="9">
        <v>19984</v>
      </c>
      <c r="E44" s="9">
        <v>17838</v>
      </c>
    </row>
    <row r="45" spans="1:5">
      <c r="A45" s="301" t="s">
        <v>498</v>
      </c>
      <c r="B45" s="318"/>
      <c r="C45" s="313"/>
      <c r="D45" s="9"/>
      <c r="E45" s="9"/>
    </row>
    <row r="46" spans="1:5">
      <c r="A46" s="301" t="s">
        <v>659</v>
      </c>
      <c r="B46" s="318"/>
      <c r="C46" s="313">
        <v>7660.36</v>
      </c>
      <c r="D46" s="9">
        <v>7993</v>
      </c>
      <c r="E46" s="9">
        <v>7134</v>
      </c>
    </row>
    <row r="47" spans="1:5">
      <c r="A47" s="301" t="s">
        <v>499</v>
      </c>
      <c r="B47" s="318"/>
      <c r="C47" s="313">
        <v>3830.17</v>
      </c>
      <c r="D47" s="9">
        <v>3997</v>
      </c>
      <c r="E47" s="9">
        <v>3568</v>
      </c>
    </row>
    <row r="48" spans="1:5">
      <c r="A48" s="301" t="s">
        <v>500</v>
      </c>
      <c r="B48" s="318"/>
      <c r="C48" s="313">
        <v>3830.17</v>
      </c>
      <c r="D48" s="9">
        <v>3997</v>
      </c>
      <c r="E48" s="9">
        <v>3568</v>
      </c>
    </row>
    <row r="49" spans="1:6">
      <c r="A49" s="301" t="s">
        <v>658</v>
      </c>
      <c r="B49" s="318"/>
      <c r="C49" s="313">
        <v>3830.17</v>
      </c>
      <c r="D49" s="9">
        <v>3997</v>
      </c>
      <c r="E49" s="9">
        <v>3568</v>
      </c>
    </row>
    <row r="50" spans="1:6">
      <c r="A50" s="301" t="s">
        <v>365</v>
      </c>
      <c r="B50" s="318"/>
      <c r="C50" s="313">
        <v>1030</v>
      </c>
      <c r="D50" s="9">
        <v>1030</v>
      </c>
      <c r="E50" s="9">
        <v>1030</v>
      </c>
    </row>
    <row r="51" spans="1:6">
      <c r="A51" s="312" t="s">
        <v>46</v>
      </c>
      <c r="B51" s="318"/>
      <c r="C51" s="313"/>
      <c r="D51" s="9"/>
      <c r="E51" s="9"/>
    </row>
    <row r="52" spans="1:6">
      <c r="A52" s="321" t="s">
        <v>351</v>
      </c>
      <c r="B52" s="317"/>
      <c r="C52" s="313"/>
      <c r="D52" s="313"/>
      <c r="E52" s="313"/>
    </row>
    <row r="53" spans="1:6">
      <c r="A53" s="311" t="s">
        <v>353</v>
      </c>
      <c r="B53" s="317"/>
      <c r="C53" s="355" t="str">
        <f>IF(C54*0.1&lt;C52,"Exceed 10% Rule","")</f>
        <v/>
      </c>
      <c r="D53" s="355" t="str">
        <f>IF(D54*0.1&lt;D52,"Exceed 10% Rule","")</f>
        <v/>
      </c>
      <c r="E53" s="355" t="str">
        <f>IF(E54*0.1&lt;E52,"Exceed 10% Rule","")</f>
        <v/>
      </c>
    </row>
    <row r="54" spans="1:6">
      <c r="A54" s="151" t="s">
        <v>47</v>
      </c>
      <c r="B54" s="317"/>
      <c r="C54" s="314">
        <f>SUM(C44:C52)</f>
        <v>39331.74</v>
      </c>
      <c r="D54" s="263">
        <f>SUM(D44:D52)</f>
        <v>40998</v>
      </c>
      <c r="E54" s="263">
        <f>SUM(E44:E52)</f>
        <v>36706</v>
      </c>
      <c r="F54" s="376"/>
    </row>
    <row r="55" spans="1:6">
      <c r="A55" s="151" t="s">
        <v>48</v>
      </c>
      <c r="B55" s="317"/>
      <c r="C55" s="314">
        <f>C42+C54</f>
        <v>131448.04999999999</v>
      </c>
      <c r="D55" s="263">
        <f>D42+D54</f>
        <v>134328.85999999999</v>
      </c>
      <c r="E55" s="263">
        <f>E42+E54</f>
        <v>125726.85999999999</v>
      </c>
    </row>
    <row r="56" spans="1:6">
      <c r="A56" s="37" t="s">
        <v>50</v>
      </c>
      <c r="B56" s="317"/>
      <c r="C56" s="119"/>
      <c r="D56" s="85"/>
      <c r="E56" s="85"/>
    </row>
    <row r="57" spans="1:6">
      <c r="A57" s="301" t="s">
        <v>426</v>
      </c>
      <c r="B57" s="318"/>
      <c r="C57" s="313">
        <v>7642</v>
      </c>
      <c r="D57" s="9">
        <v>12500</v>
      </c>
      <c r="E57" s="9">
        <v>46693.26</v>
      </c>
    </row>
    <row r="58" spans="1:6">
      <c r="A58" s="301" t="s">
        <v>427</v>
      </c>
      <c r="B58" s="318"/>
      <c r="C58" s="313">
        <f>9575.43+25</f>
        <v>9600.43</v>
      </c>
      <c r="D58" s="9">
        <f>9992+25</f>
        <v>10017</v>
      </c>
      <c r="E58" s="9">
        <f>8919+25</f>
        <v>8944</v>
      </c>
    </row>
    <row r="59" spans="1:6">
      <c r="A59" s="301" t="s">
        <v>330</v>
      </c>
      <c r="B59" s="318"/>
      <c r="C59" s="313">
        <f>9114.45+269.8</f>
        <v>9384.25</v>
      </c>
      <c r="D59" s="9">
        <v>10800</v>
      </c>
      <c r="E59" s="9">
        <v>59385.8</v>
      </c>
    </row>
    <row r="60" spans="1:6">
      <c r="A60" s="301" t="s">
        <v>428</v>
      </c>
      <c r="B60" s="318"/>
      <c r="C60" s="313">
        <v>3830.17</v>
      </c>
      <c r="D60" s="9">
        <v>3997</v>
      </c>
      <c r="E60" s="9">
        <v>3568</v>
      </c>
    </row>
    <row r="61" spans="1:6">
      <c r="A61" s="301" t="s">
        <v>429</v>
      </c>
      <c r="B61" s="318"/>
      <c r="C61" s="313">
        <v>3830.17</v>
      </c>
      <c r="D61" s="9">
        <v>3997</v>
      </c>
      <c r="E61" s="9">
        <v>3568</v>
      </c>
    </row>
    <row r="62" spans="1:6">
      <c r="A62" s="301" t="s">
        <v>660</v>
      </c>
      <c r="B62" s="318"/>
      <c r="C62" s="313">
        <v>3830.17</v>
      </c>
      <c r="D62" s="9">
        <v>3997</v>
      </c>
      <c r="E62" s="9">
        <v>3568</v>
      </c>
    </row>
    <row r="63" spans="1:6">
      <c r="A63" s="301"/>
      <c r="B63" s="318"/>
      <c r="C63" s="313"/>
      <c r="D63" s="9"/>
      <c r="E63" s="9"/>
    </row>
    <row r="64" spans="1:6">
      <c r="A64" s="301"/>
      <c r="B64" s="318"/>
      <c r="C64" s="313"/>
      <c r="D64" s="9"/>
      <c r="E64" s="9"/>
    </row>
    <row r="65" spans="1:5">
      <c r="A65" s="301"/>
      <c r="B65" s="318"/>
      <c r="C65" s="313"/>
      <c r="D65" s="9"/>
      <c r="E65" s="9"/>
    </row>
    <row r="66" spans="1:5">
      <c r="A66" s="301"/>
      <c r="B66" s="318"/>
      <c r="C66" s="313"/>
      <c r="D66" s="9"/>
      <c r="E66" s="9"/>
    </row>
    <row r="67" spans="1:5">
      <c r="A67" s="301"/>
      <c r="B67" s="318"/>
      <c r="C67" s="313"/>
      <c r="D67" s="9"/>
      <c r="E67" s="9"/>
    </row>
    <row r="68" spans="1:5">
      <c r="A68" s="319" t="s">
        <v>351</v>
      </c>
      <c r="B68" s="317"/>
      <c r="C68" s="313"/>
      <c r="D68" s="313"/>
      <c r="E68" s="313"/>
    </row>
    <row r="69" spans="1:5">
      <c r="A69" s="319" t="s">
        <v>352</v>
      </c>
      <c r="B69" s="317"/>
      <c r="C69" s="355" t="str">
        <f>IF(C70*0.1&lt;C68,"Exceed 10% Rule","")</f>
        <v/>
      </c>
      <c r="D69" s="355" t="str">
        <f>IF(D70*0.1&lt;D68,"Exceed 10% Rule","")</f>
        <v/>
      </c>
      <c r="E69" s="355" t="str">
        <f>IF(E70*0.1&lt;E68,"Exceed 10% Rule","")</f>
        <v/>
      </c>
    </row>
    <row r="70" spans="1:5">
      <c r="A70" s="151" t="s">
        <v>54</v>
      </c>
      <c r="B70" s="317"/>
      <c r="C70" s="314">
        <f>SUM(C57:C68)</f>
        <v>38117.189999999995</v>
      </c>
      <c r="D70" s="263">
        <f>SUM(D57:D68)</f>
        <v>45308</v>
      </c>
      <c r="E70" s="263">
        <f>SUM(E57:E68)</f>
        <v>125727.06</v>
      </c>
    </row>
    <row r="71" spans="1:5">
      <c r="A71" s="37" t="s">
        <v>177</v>
      </c>
      <c r="B71" s="317"/>
      <c r="C71" s="315">
        <f>C55-C70</f>
        <v>93330.859999999986</v>
      </c>
      <c r="D71" s="262">
        <f>D55-D70</f>
        <v>89020.859999999986</v>
      </c>
      <c r="E71" s="262">
        <f>E55-E70</f>
        <v>-0.20000000001164153</v>
      </c>
    </row>
    <row r="72" spans="1:5">
      <c r="A72" s="23" t="str">
        <f>CONCATENATE("",E1-2," Budget Authority Limited Amount:")</f>
        <v>2011 Budget Authority Limited Amount:</v>
      </c>
      <c r="B72" s="338">
        <f>inputOth!B64</f>
        <v>127718</v>
      </c>
      <c r="C72" s="21"/>
      <c r="D72" s="21"/>
      <c r="E72" s="21"/>
    </row>
    <row r="73" spans="1:5">
      <c r="A73" s="23" t="str">
        <f>CONCATENATE("Violation of Budget Law for ",E1-2,":")</f>
        <v>Violation of Budget Law for 2011:</v>
      </c>
      <c r="B73" s="339" t="str">
        <f>IF(C70&gt;B72,"Yes","")</f>
        <v/>
      </c>
      <c r="C73" s="21"/>
      <c r="D73" s="21"/>
      <c r="E73" s="21"/>
    </row>
    <row r="74" spans="1:5">
      <c r="A74" s="23" t="str">
        <f>CONCATENATE("Possible Cash Violation for ",E1-2,":")</f>
        <v>Possible Cash Violation for 2011:</v>
      </c>
      <c r="B74" s="339" t="str">
        <f>IF(C71&lt;0,"Yes","")</f>
        <v/>
      </c>
      <c r="C74" s="21"/>
      <c r="D74" s="21"/>
      <c r="E74" s="21"/>
    </row>
    <row r="75" spans="1:5">
      <c r="A75" s="21"/>
      <c r="B75" s="21"/>
      <c r="C75" s="21"/>
      <c r="D75" s="21"/>
      <c r="E75" s="21"/>
    </row>
    <row r="76" spans="1:5">
      <c r="A76" s="24"/>
      <c r="B76" s="24" t="s">
        <v>58</v>
      </c>
      <c r="C76" s="100">
        <v>10</v>
      </c>
      <c r="D76" s="21"/>
      <c r="E76" s="21"/>
    </row>
  </sheetData>
  <phoneticPr fontId="0" type="noConversion"/>
  <conditionalFormatting sqref="C68">
    <cfRule type="cellIs" dxfId="128" priority="1" stopIfTrue="1" operator="greaterThan">
      <formula>$C$70*0.1</formula>
    </cfRule>
  </conditionalFormatting>
  <conditionalFormatting sqref="D68">
    <cfRule type="cellIs" dxfId="127" priority="2" stopIfTrue="1" operator="greaterThan">
      <formula>$D$70*0.1</formula>
    </cfRule>
  </conditionalFormatting>
  <conditionalFormatting sqref="E68">
    <cfRule type="cellIs" dxfId="126" priority="3" stopIfTrue="1" operator="greaterThan">
      <formula>$E$70*0.1</formula>
    </cfRule>
  </conditionalFormatting>
  <conditionalFormatting sqref="C16">
    <cfRule type="cellIs" dxfId="125" priority="4" stopIfTrue="1" operator="greaterThan">
      <formula>$C$18*0.1</formula>
    </cfRule>
  </conditionalFormatting>
  <conditionalFormatting sqref="D16">
    <cfRule type="cellIs" dxfId="124" priority="5" stopIfTrue="1" operator="greaterThan">
      <formula>$D$18*0.1</formula>
    </cfRule>
  </conditionalFormatting>
  <conditionalFormatting sqref="E16">
    <cfRule type="cellIs" dxfId="123" priority="6" stopIfTrue="1" operator="greaterThan">
      <formula>$E$18*0.1</formula>
    </cfRule>
  </conditionalFormatting>
  <conditionalFormatting sqref="C31">
    <cfRule type="cellIs" dxfId="122" priority="7" stopIfTrue="1" operator="greaterThan">
      <formula>$C$33*0.1</formula>
    </cfRule>
  </conditionalFormatting>
  <conditionalFormatting sqref="D31">
    <cfRule type="cellIs" dxfId="121" priority="8" stopIfTrue="1" operator="greaterThan">
      <formula>$D$33*0.1</formula>
    </cfRule>
  </conditionalFormatting>
  <conditionalFormatting sqref="E31">
    <cfRule type="cellIs" dxfId="120" priority="9" stopIfTrue="1" operator="greaterThan">
      <formula>$E$33*0.1</formula>
    </cfRule>
  </conditionalFormatting>
  <conditionalFormatting sqref="C52">
    <cfRule type="cellIs" dxfId="119" priority="10" stopIfTrue="1" operator="greaterThan">
      <formula>$C$54*0.1</formula>
    </cfRule>
  </conditionalFormatting>
  <conditionalFormatting sqref="D52">
    <cfRule type="cellIs" dxfId="118" priority="11" stopIfTrue="1" operator="greaterThan">
      <formula>$D$54*0.1</formula>
    </cfRule>
  </conditionalFormatting>
  <conditionalFormatting sqref="E52">
    <cfRule type="cellIs" dxfId="117" priority="12" stopIfTrue="1" operator="greaterThan">
      <formula>$E$54*0.1</formula>
    </cfRule>
  </conditionalFormatting>
  <pageMargins left="0.5" right="0.5" top="1" bottom="0.5" header="0.5" footer="0.5"/>
  <pageSetup scale="63" orientation="portrait" blackAndWhite="1" horizontalDpi="120" verticalDpi="144" r:id="rId1"/>
  <headerFooter alignWithMargins="0">
    <oddHeader>&amp;RState of Kansas
Coffeyville</oddHeader>
    <oddFooter>&amp;Lrevised 8/06/07</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E74"/>
  <sheetViews>
    <sheetView view="pageBreakPreview" zoomScaleNormal="100" workbookViewId="0">
      <selection activeCell="C30" sqref="C30"/>
    </sheetView>
  </sheetViews>
  <sheetFormatPr defaultRowHeight="15.75"/>
  <cols>
    <col min="1" max="1" width="28.77734375" style="7" customWidth="1"/>
    <col min="2" max="2" width="9.5546875" style="7" customWidth="1"/>
    <col min="3" max="4" width="16.44140625" style="7" customWidth="1"/>
    <col min="5" max="5" width="16.44140625" style="7" bestFit="1" customWidth="1"/>
    <col min="6" max="16384" width="8.88671875" style="7"/>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235</v>
      </c>
      <c r="D4" s="33" t="s">
        <v>205</v>
      </c>
      <c r="E4" s="33" t="s">
        <v>206</v>
      </c>
    </row>
    <row r="5" spans="1:5">
      <c r="A5" s="137" t="str">
        <f>(inputPrYr!B34)</f>
        <v>Youth Activity Center</v>
      </c>
      <c r="B5" s="137"/>
      <c r="C5" s="145">
        <f>E1-2</f>
        <v>2011</v>
      </c>
      <c r="D5" s="145">
        <f>E1-1</f>
        <v>2012</v>
      </c>
      <c r="E5" s="145">
        <f>E1</f>
        <v>2013</v>
      </c>
    </row>
    <row r="6" spans="1:5">
      <c r="A6" s="311" t="s">
        <v>176</v>
      </c>
      <c r="B6" s="317"/>
      <c r="C6" s="313">
        <v>5112.2</v>
      </c>
      <c r="D6" s="85">
        <f>C34</f>
        <v>6567.93</v>
      </c>
      <c r="E6" s="85">
        <f>D34</f>
        <v>3148.0499999999956</v>
      </c>
    </row>
    <row r="7" spans="1:5">
      <c r="A7" s="316" t="s">
        <v>178</v>
      </c>
      <c r="B7" s="317"/>
      <c r="C7" s="305"/>
      <c r="D7" s="40"/>
      <c r="E7" s="40"/>
    </row>
    <row r="8" spans="1:5">
      <c r="A8" s="301" t="s">
        <v>432</v>
      </c>
      <c r="B8" s="318"/>
      <c r="C8" s="313">
        <v>3566</v>
      </c>
      <c r="D8" s="9">
        <v>3500</v>
      </c>
      <c r="E8" s="9">
        <v>3500</v>
      </c>
    </row>
    <row r="9" spans="1:5">
      <c r="A9" s="301" t="s">
        <v>433</v>
      </c>
      <c r="B9" s="318"/>
      <c r="C9" s="313">
        <v>68.790000000000006</v>
      </c>
      <c r="D9" s="9">
        <v>75</v>
      </c>
      <c r="E9" s="9">
        <v>75</v>
      </c>
    </row>
    <row r="10" spans="1:5">
      <c r="A10" s="301" t="s">
        <v>329</v>
      </c>
      <c r="B10" s="318"/>
      <c r="C10" s="313">
        <v>9575.43</v>
      </c>
      <c r="D10" s="9">
        <v>9992</v>
      </c>
      <c r="E10" s="9">
        <v>8919</v>
      </c>
    </row>
    <row r="11" spans="1:5">
      <c r="A11" s="301" t="s">
        <v>408</v>
      </c>
      <c r="B11" s="318"/>
      <c r="C11" s="313">
        <v>0</v>
      </c>
      <c r="D11" s="9">
        <v>0</v>
      </c>
      <c r="E11" s="9">
        <v>0</v>
      </c>
    </row>
    <row r="12" spans="1:5">
      <c r="A12" s="301" t="s">
        <v>465</v>
      </c>
      <c r="B12" s="318"/>
      <c r="C12" s="313">
        <v>25000</v>
      </c>
      <c r="D12" s="9">
        <v>25000</v>
      </c>
      <c r="E12" s="9">
        <v>25000</v>
      </c>
    </row>
    <row r="13" spans="1:5">
      <c r="A13" s="301"/>
      <c r="B13" s="318"/>
      <c r="C13" s="313"/>
      <c r="D13" s="9"/>
      <c r="E13" s="9"/>
    </row>
    <row r="14" spans="1:5">
      <c r="A14" s="312" t="s">
        <v>46</v>
      </c>
      <c r="B14" s="318"/>
      <c r="C14" s="313"/>
      <c r="D14" s="9"/>
      <c r="E14" s="9"/>
    </row>
    <row r="15" spans="1:5">
      <c r="A15" s="321" t="s">
        <v>351</v>
      </c>
      <c r="B15" s="317"/>
      <c r="C15" s="313">
        <v>0</v>
      </c>
      <c r="D15" s="313"/>
      <c r="E15" s="313"/>
    </row>
    <row r="16" spans="1:5">
      <c r="A16" s="311" t="s">
        <v>353</v>
      </c>
      <c r="B16" s="317"/>
      <c r="C16" s="355" t="str">
        <f>IF(C17*0.1&lt;C15,"Exceed 10% Rule","")</f>
        <v/>
      </c>
      <c r="D16" s="355" t="str">
        <f>IF(D17*0.1&lt;D15,"Exceed 10% Rule","")</f>
        <v/>
      </c>
      <c r="E16" s="355" t="str">
        <f>IF(E17*0.1&lt;E15,"Exceed 10% Rule","")</f>
        <v/>
      </c>
    </row>
    <row r="17" spans="1:5">
      <c r="A17" s="151" t="s">
        <v>47</v>
      </c>
      <c r="B17" s="317"/>
      <c r="C17" s="314">
        <f>SUM(C8:C15)</f>
        <v>38210.22</v>
      </c>
      <c r="D17" s="263">
        <f>SUM(D8:D15)</f>
        <v>38567</v>
      </c>
      <c r="E17" s="263">
        <f>SUM(E8:E15)</f>
        <v>37494</v>
      </c>
    </row>
    <row r="18" spans="1:5">
      <c r="A18" s="151" t="s">
        <v>48</v>
      </c>
      <c r="B18" s="317"/>
      <c r="C18" s="314">
        <f>C6+C17</f>
        <v>43322.42</v>
      </c>
      <c r="D18" s="263">
        <f>D6+D17</f>
        <v>45134.93</v>
      </c>
      <c r="E18" s="263">
        <f>E6+E17</f>
        <v>40642.049999999996</v>
      </c>
    </row>
    <row r="19" spans="1:5">
      <c r="A19" s="375" t="s">
        <v>50</v>
      </c>
      <c r="B19" s="352"/>
      <c r="C19" s="119"/>
      <c r="D19" s="85"/>
      <c r="E19" s="85"/>
    </row>
    <row r="20" spans="1:5">
      <c r="A20" s="312" t="s">
        <v>442</v>
      </c>
      <c r="B20" s="318"/>
      <c r="C20" s="313">
        <v>25247.919999999998</v>
      </c>
      <c r="D20" s="9">
        <v>27218.880000000001</v>
      </c>
      <c r="E20" s="9">
        <v>27388.76</v>
      </c>
    </row>
    <row r="21" spans="1:5">
      <c r="A21" s="312" t="s">
        <v>444</v>
      </c>
      <c r="B21" s="318"/>
      <c r="C21" s="313">
        <f>25+8000.72+2461.52</f>
        <v>10487.24</v>
      </c>
      <c r="D21" s="9">
        <f>25+9053+4500</f>
        <v>13578</v>
      </c>
      <c r="E21" s="9">
        <f>25+10974+1000</f>
        <v>11999</v>
      </c>
    </row>
    <row r="22" spans="1:5">
      <c r="A22" s="312" t="s">
        <v>445</v>
      </c>
      <c r="B22" s="318"/>
      <c r="C22" s="313">
        <v>420.33</v>
      </c>
      <c r="D22" s="9">
        <v>690</v>
      </c>
      <c r="E22" s="9">
        <v>790</v>
      </c>
    </row>
    <row r="23" spans="1:5">
      <c r="A23" s="312" t="s">
        <v>446</v>
      </c>
      <c r="B23" s="318"/>
      <c r="C23" s="313">
        <v>599</v>
      </c>
      <c r="D23" s="9">
        <v>500</v>
      </c>
      <c r="E23" s="9">
        <v>464.29</v>
      </c>
    </row>
    <row r="24" spans="1:5">
      <c r="A24" s="301"/>
      <c r="B24" s="318"/>
      <c r="C24" s="313"/>
      <c r="D24" s="9"/>
      <c r="E24" s="9"/>
    </row>
    <row r="25" spans="1:5">
      <c r="A25" s="301"/>
      <c r="B25" s="318"/>
      <c r="C25" s="313"/>
      <c r="D25" s="9"/>
      <c r="E25" s="9"/>
    </row>
    <row r="26" spans="1:5">
      <c r="A26" s="301"/>
      <c r="B26" s="318"/>
      <c r="C26" s="313"/>
      <c r="D26" s="9"/>
      <c r="E26" s="9"/>
    </row>
    <row r="27" spans="1:5">
      <c r="A27" s="301"/>
      <c r="B27" s="318"/>
      <c r="C27" s="313"/>
      <c r="D27" s="9"/>
      <c r="E27" s="9"/>
    </row>
    <row r="28" spans="1:5">
      <c r="A28" s="301"/>
      <c r="B28" s="318"/>
      <c r="C28" s="313"/>
      <c r="D28" s="9"/>
      <c r="E28" s="9"/>
    </row>
    <row r="29" spans="1:5">
      <c r="A29" s="301"/>
      <c r="B29" s="318"/>
      <c r="C29" s="313"/>
      <c r="D29" s="9"/>
      <c r="E29" s="9"/>
    </row>
    <row r="30" spans="1:5">
      <c r="A30" s="301"/>
      <c r="B30" s="318"/>
      <c r="C30" s="313"/>
      <c r="D30" s="9"/>
      <c r="E30" s="9"/>
    </row>
    <row r="31" spans="1:5">
      <c r="A31" s="319" t="s">
        <v>351</v>
      </c>
      <c r="B31" s="317"/>
      <c r="C31" s="313"/>
      <c r="D31" s="313"/>
      <c r="E31" s="313"/>
    </row>
    <row r="32" spans="1:5">
      <c r="A32" s="319" t="s">
        <v>352</v>
      </c>
      <c r="B32" s="317"/>
      <c r="C32" s="355" t="str">
        <f>IF(C33*0.1&lt;C31,"Exceed 10% Rule","")</f>
        <v/>
      </c>
      <c r="D32" s="355" t="str">
        <f>IF(D33*0.1&lt;D31,"Exceed 10% Rule","")</f>
        <v/>
      </c>
      <c r="E32" s="355" t="str">
        <f>IF(E33*0.1&lt;E31,"Exceed 10% Rule","")</f>
        <v/>
      </c>
    </row>
    <row r="33" spans="1:5">
      <c r="A33" s="151" t="s">
        <v>54</v>
      </c>
      <c r="B33" s="317"/>
      <c r="C33" s="314">
        <f>SUM(C20:C31)</f>
        <v>36754.49</v>
      </c>
      <c r="D33" s="263">
        <f>SUM(D20:D31)</f>
        <v>41986.880000000005</v>
      </c>
      <c r="E33" s="263">
        <f>SUM(E20:E31)</f>
        <v>40642.049999999996</v>
      </c>
    </row>
    <row r="34" spans="1:5">
      <c r="A34" s="37" t="s">
        <v>177</v>
      </c>
      <c r="B34" s="317"/>
      <c r="C34" s="315">
        <f>C18-C33</f>
        <v>6567.93</v>
      </c>
      <c r="D34" s="262">
        <f>D18-D33</f>
        <v>3148.0499999999956</v>
      </c>
      <c r="E34" s="262">
        <f>E18-E33</f>
        <v>0</v>
      </c>
    </row>
    <row r="35" spans="1:5">
      <c r="A35" s="23" t="str">
        <f>CONCATENATE("",E1-2," Budget Authority Limited Amount:")</f>
        <v>2011 Budget Authority Limited Amount:</v>
      </c>
      <c r="B35" s="338">
        <f>inputOth!B65</f>
        <v>44094</v>
      </c>
      <c r="C35" s="65"/>
      <c r="D35" s="65"/>
      <c r="E35" s="65"/>
    </row>
    <row r="36" spans="1:5">
      <c r="A36" s="23" t="str">
        <f>CONCATENATE("Violation of Budget Law for ",E1-2,":")</f>
        <v>Violation of Budget Law for 2011:</v>
      </c>
      <c r="B36" s="339" t="str">
        <f>IF(C33&gt;B35,"Yes","")</f>
        <v/>
      </c>
      <c r="C36" s="65"/>
      <c r="D36" s="65"/>
      <c r="E36" s="65"/>
    </row>
    <row r="37" spans="1:5">
      <c r="A37" s="23" t="str">
        <f>CONCATENATE("Possible Cash Violation for ",E1-2,":")</f>
        <v>Possible Cash Violation for 2011:</v>
      </c>
      <c r="B37" s="339" t="str">
        <f>IF(C34&lt;0,"Yes","")</f>
        <v/>
      </c>
      <c r="C37" s="65"/>
      <c r="D37" s="65"/>
      <c r="E37" s="65"/>
    </row>
    <row r="38" spans="1:5">
      <c r="A38" s="21"/>
      <c r="B38" s="21"/>
      <c r="C38" s="65"/>
      <c r="D38" s="65"/>
      <c r="E38" s="65"/>
    </row>
    <row r="39" spans="1:5">
      <c r="A39" s="25" t="s">
        <v>41</v>
      </c>
      <c r="B39" s="25"/>
      <c r="C39" s="102"/>
      <c r="D39" s="102"/>
      <c r="E39" s="102"/>
    </row>
    <row r="40" spans="1:5">
      <c r="A40" s="21"/>
      <c r="B40" s="21"/>
      <c r="C40" s="93" t="s">
        <v>62</v>
      </c>
      <c r="D40" s="33" t="s">
        <v>205</v>
      </c>
      <c r="E40" s="33" t="s">
        <v>206</v>
      </c>
    </row>
    <row r="41" spans="1:5">
      <c r="A41" s="137" t="str">
        <f>(inputPrYr!B35)</f>
        <v>Community Development</v>
      </c>
      <c r="B41" s="137"/>
      <c r="C41" s="145">
        <f>C5</f>
        <v>2011</v>
      </c>
      <c r="D41" s="145">
        <f>D5</f>
        <v>2012</v>
      </c>
      <c r="E41" s="145">
        <f>E5</f>
        <v>2013</v>
      </c>
    </row>
    <row r="42" spans="1:5">
      <c r="A42" s="311" t="s">
        <v>176</v>
      </c>
      <c r="B42" s="317"/>
      <c r="C42" s="313">
        <v>144665.99</v>
      </c>
      <c r="D42" s="85">
        <f>C69</f>
        <v>152605.13999999998</v>
      </c>
      <c r="E42" s="85">
        <f>D69</f>
        <v>155385.13999999998</v>
      </c>
    </row>
    <row r="43" spans="1:5">
      <c r="A43" s="316" t="s">
        <v>178</v>
      </c>
      <c r="B43" s="317"/>
      <c r="C43" s="305"/>
      <c r="D43" s="40"/>
      <c r="E43" s="40"/>
    </row>
    <row r="44" spans="1:5">
      <c r="A44" s="301" t="s">
        <v>501</v>
      </c>
      <c r="B44" s="318"/>
      <c r="C44" s="313">
        <v>8399.4699999999993</v>
      </c>
      <c r="D44" s="9">
        <f>1350+500</f>
        <v>1850</v>
      </c>
      <c r="E44" s="9">
        <f>11040+1000</f>
        <v>12040</v>
      </c>
    </row>
    <row r="45" spans="1:5">
      <c r="A45" s="301" t="s">
        <v>502</v>
      </c>
      <c r="B45" s="318"/>
      <c r="C45" s="313">
        <v>139.68</v>
      </c>
      <c r="D45" s="9">
        <f>20+750</f>
        <v>770</v>
      </c>
      <c r="E45" s="9">
        <f>992+50</f>
        <v>1042</v>
      </c>
    </row>
    <row r="46" spans="1:5">
      <c r="A46" s="301" t="s">
        <v>449</v>
      </c>
      <c r="B46" s="318"/>
      <c r="C46" s="313">
        <v>0</v>
      </c>
      <c r="D46" s="9">
        <v>0</v>
      </c>
      <c r="E46" s="9">
        <v>0</v>
      </c>
    </row>
    <row r="47" spans="1:5">
      <c r="A47" s="301" t="s">
        <v>94</v>
      </c>
      <c r="B47" s="318"/>
      <c r="C47" s="313">
        <v>0</v>
      </c>
      <c r="D47" s="9">
        <f>160+100</f>
        <v>260</v>
      </c>
      <c r="E47" s="9">
        <v>0</v>
      </c>
    </row>
    <row r="48" spans="1:5">
      <c r="A48" s="301"/>
      <c r="B48" s="318"/>
      <c r="C48" s="313"/>
      <c r="D48" s="9"/>
      <c r="E48" s="9"/>
    </row>
    <row r="49" spans="1:5">
      <c r="A49" s="312" t="s">
        <v>46</v>
      </c>
      <c r="B49" s="318"/>
      <c r="C49" s="313"/>
      <c r="D49" s="9"/>
      <c r="E49" s="9"/>
    </row>
    <row r="50" spans="1:5">
      <c r="A50" s="321" t="s">
        <v>351</v>
      </c>
      <c r="B50" s="317"/>
      <c r="C50" s="313"/>
      <c r="D50" s="313"/>
      <c r="E50" s="313"/>
    </row>
    <row r="51" spans="1:5">
      <c r="A51" s="311" t="s">
        <v>353</v>
      </c>
      <c r="B51" s="317"/>
      <c r="C51" s="355" t="str">
        <f>IF(C52*0.1&lt;C50,"Exceed 10% Rule","")</f>
        <v/>
      </c>
      <c r="D51" s="355" t="str">
        <f>IF(D52*0.1&lt;D50,"Exceed 10% Rule","")</f>
        <v/>
      </c>
      <c r="E51" s="355" t="str">
        <f>IF(E52*0.1&lt;E50,"Exceed 10% Rule","")</f>
        <v/>
      </c>
    </row>
    <row r="52" spans="1:5">
      <c r="A52" s="151" t="s">
        <v>47</v>
      </c>
      <c r="B52" s="317"/>
      <c r="C52" s="314">
        <f>SUM(C44:C50)</f>
        <v>8539.15</v>
      </c>
      <c r="D52" s="263">
        <f>SUM(D44:D50)</f>
        <v>2880</v>
      </c>
      <c r="E52" s="263">
        <f>SUM(E44:E50)</f>
        <v>13082</v>
      </c>
    </row>
    <row r="53" spans="1:5">
      <c r="A53" s="151" t="s">
        <v>48</v>
      </c>
      <c r="B53" s="317"/>
      <c r="C53" s="314">
        <f>C42+C52</f>
        <v>153205.13999999998</v>
      </c>
      <c r="D53" s="263">
        <f>D42+D52</f>
        <v>155485.13999999998</v>
      </c>
      <c r="E53" s="263">
        <f>E42+E52</f>
        <v>168467.13999999998</v>
      </c>
    </row>
    <row r="54" spans="1:5">
      <c r="A54" s="37" t="s">
        <v>50</v>
      </c>
      <c r="B54" s="317"/>
      <c r="C54" s="119"/>
      <c r="D54" s="85"/>
      <c r="E54" s="85"/>
    </row>
    <row r="55" spans="1:5">
      <c r="A55" s="312" t="s">
        <v>442</v>
      </c>
      <c r="B55" s="318"/>
      <c r="C55" s="313">
        <v>0</v>
      </c>
      <c r="D55" s="9">
        <v>0</v>
      </c>
      <c r="E55" s="9">
        <v>0</v>
      </c>
    </row>
    <row r="56" spans="1:5">
      <c r="A56" s="312" t="s">
        <v>444</v>
      </c>
      <c r="B56" s="318"/>
      <c r="C56" s="313">
        <f>100+500</f>
        <v>600</v>
      </c>
      <c r="D56" s="9">
        <v>100</v>
      </c>
      <c r="E56" s="9">
        <f>144156.52+365.19+1096.95+296.24+500+4282.08+1000</f>
        <v>151696.97999999998</v>
      </c>
    </row>
    <row r="57" spans="1:5">
      <c r="A57" s="312" t="s">
        <v>446</v>
      </c>
      <c r="B57" s="318"/>
      <c r="C57" s="313">
        <v>0</v>
      </c>
      <c r="D57" s="9">
        <v>0</v>
      </c>
      <c r="E57" s="9">
        <v>16770.16</v>
      </c>
    </row>
    <row r="58" spans="1:5">
      <c r="A58" s="312"/>
      <c r="B58" s="318"/>
      <c r="C58" s="313"/>
      <c r="D58" s="9"/>
      <c r="E58" s="9"/>
    </row>
    <row r="59" spans="1:5">
      <c r="A59" s="312"/>
      <c r="B59" s="318"/>
      <c r="C59" s="313"/>
      <c r="D59" s="9"/>
      <c r="E59" s="9"/>
    </row>
    <row r="60" spans="1:5">
      <c r="A60" s="312"/>
      <c r="B60" s="318"/>
      <c r="C60" s="313"/>
      <c r="D60" s="9"/>
      <c r="E60" s="9"/>
    </row>
    <row r="61" spans="1:5">
      <c r="A61" s="312"/>
      <c r="B61" s="318"/>
      <c r="C61" s="313"/>
      <c r="D61" s="9"/>
      <c r="E61" s="9"/>
    </row>
    <row r="62" spans="1:5">
      <c r="A62" s="301"/>
      <c r="B62" s="318"/>
      <c r="C62" s="313"/>
      <c r="D62" s="9"/>
      <c r="E62" s="9"/>
    </row>
    <row r="63" spans="1:5">
      <c r="A63" s="301"/>
      <c r="B63" s="318"/>
      <c r="C63" s="313"/>
      <c r="D63" s="9"/>
      <c r="E63" s="9"/>
    </row>
    <row r="64" spans="1:5">
      <c r="A64" s="301"/>
      <c r="B64" s="318"/>
      <c r="C64" s="313"/>
      <c r="D64" s="9"/>
      <c r="E64" s="9"/>
    </row>
    <row r="65" spans="1:5">
      <c r="A65" s="301"/>
      <c r="B65" s="318"/>
      <c r="C65" s="313"/>
      <c r="D65" s="9"/>
      <c r="E65" s="9"/>
    </row>
    <row r="66" spans="1:5">
      <c r="A66" s="319" t="s">
        <v>351</v>
      </c>
      <c r="B66" s="317"/>
      <c r="C66" s="313"/>
      <c r="D66" s="313"/>
      <c r="E66" s="313"/>
    </row>
    <row r="67" spans="1:5">
      <c r="A67" s="319" t="s">
        <v>352</v>
      </c>
      <c r="B67" s="317"/>
      <c r="C67" s="355" t="str">
        <f>IF(C68*0.1&lt;C66,"Exceed 10% Rule","")</f>
        <v/>
      </c>
      <c r="D67" s="355" t="str">
        <f>IF(D68*0.1&lt;D66,"Exceed 10% Rule","")</f>
        <v/>
      </c>
      <c r="E67" s="355" t="str">
        <f>IF(E68*0.1&lt;E66,"Exceed 10% Rule","")</f>
        <v/>
      </c>
    </row>
    <row r="68" spans="1:5">
      <c r="A68" s="151" t="s">
        <v>54</v>
      </c>
      <c r="B68" s="317"/>
      <c r="C68" s="314">
        <f>SUM(C55:C66)</f>
        <v>600</v>
      </c>
      <c r="D68" s="263">
        <f>SUM(D55:D66)</f>
        <v>100</v>
      </c>
      <c r="E68" s="263">
        <f>SUM(E55:E66)</f>
        <v>168467.13999999998</v>
      </c>
    </row>
    <row r="69" spans="1:5">
      <c r="A69" s="37" t="s">
        <v>177</v>
      </c>
      <c r="B69" s="317"/>
      <c r="C69" s="315">
        <f>C53-C68</f>
        <v>152605.13999999998</v>
      </c>
      <c r="D69" s="262">
        <f>D53-D68</f>
        <v>155385.13999999998</v>
      </c>
      <c r="E69" s="262">
        <f>E53-E68</f>
        <v>0</v>
      </c>
    </row>
    <row r="70" spans="1:5">
      <c r="A70" s="23" t="str">
        <f>CONCATENATE("",E1-2," Budget Authority Limited Amount:")</f>
        <v>2011 Budget Authority Limited Amount:</v>
      </c>
      <c r="B70" s="338">
        <f>inputOth!B66</f>
        <v>206231</v>
      </c>
      <c r="C70" s="21"/>
      <c r="D70" s="21"/>
      <c r="E70" s="21"/>
    </row>
    <row r="71" spans="1:5">
      <c r="A71" s="23" t="str">
        <f>CONCATENATE("Violation of Budget Law for ",E1-2,":")</f>
        <v>Violation of Budget Law for 2011:</v>
      </c>
      <c r="B71" s="339" t="str">
        <f>IF(C68&gt;B70,"Yes","")</f>
        <v/>
      </c>
      <c r="C71" s="21"/>
      <c r="D71" s="21"/>
      <c r="E71" s="21"/>
    </row>
    <row r="72" spans="1:5">
      <c r="A72" s="23" t="str">
        <f>CONCATENATE("Possible Cash Violation for ",E1-2,":")</f>
        <v>Possible Cash Violation for 2011:</v>
      </c>
      <c r="B72" s="339" t="str">
        <f>IF(C69&lt;0,"Yes","")</f>
        <v/>
      </c>
      <c r="C72" s="21"/>
      <c r="D72" s="21"/>
      <c r="E72" s="21"/>
    </row>
    <row r="73" spans="1:5">
      <c r="A73" s="21"/>
      <c r="B73" s="21"/>
      <c r="C73" s="21"/>
      <c r="D73" s="21"/>
      <c r="E73" s="21"/>
    </row>
    <row r="74" spans="1:5">
      <c r="A74" s="24"/>
      <c r="B74" s="24" t="s">
        <v>58</v>
      </c>
      <c r="C74" s="100">
        <v>11</v>
      </c>
      <c r="D74" s="21"/>
      <c r="E74" s="21"/>
    </row>
  </sheetData>
  <phoneticPr fontId="0" type="noConversion"/>
  <conditionalFormatting sqref="C31">
    <cfRule type="cellIs" dxfId="116" priority="1" stopIfTrue="1" operator="greaterThan">
      <formula>$C$33*0.1</formula>
    </cfRule>
  </conditionalFormatting>
  <conditionalFormatting sqref="D31">
    <cfRule type="cellIs" dxfId="115" priority="2" stopIfTrue="1" operator="greaterThan">
      <formula>$D$33*0.1</formula>
    </cfRule>
  </conditionalFormatting>
  <conditionalFormatting sqref="E31">
    <cfRule type="cellIs" dxfId="114" priority="3" stopIfTrue="1" operator="greaterThan">
      <formula>$E$33*0.1</formula>
    </cfRule>
  </conditionalFormatting>
  <conditionalFormatting sqref="C50">
    <cfRule type="cellIs" dxfId="113" priority="4" stopIfTrue="1" operator="greaterThan">
      <formula>$C$52*0.1</formula>
    </cfRule>
  </conditionalFormatting>
  <conditionalFormatting sqref="D50">
    <cfRule type="cellIs" dxfId="112" priority="5" stopIfTrue="1" operator="greaterThan">
      <formula>$D$52*0.1</formula>
    </cfRule>
  </conditionalFormatting>
  <conditionalFormatting sqref="E50">
    <cfRule type="cellIs" dxfId="111" priority="6" stopIfTrue="1" operator="greaterThan">
      <formula>$E$52*0.1</formula>
    </cfRule>
  </conditionalFormatting>
  <conditionalFormatting sqref="C66">
    <cfRule type="cellIs" dxfId="110" priority="7" stopIfTrue="1" operator="greaterThan">
      <formula>$C$68*0.1</formula>
    </cfRule>
  </conditionalFormatting>
  <conditionalFormatting sqref="D66">
    <cfRule type="cellIs" dxfId="109" priority="8" stopIfTrue="1" operator="greaterThan">
      <formula>$D$68*0.1</formula>
    </cfRule>
  </conditionalFormatting>
  <conditionalFormatting sqref="E66">
    <cfRule type="cellIs" dxfId="108" priority="9" stopIfTrue="1" operator="greaterThan">
      <formula>$E$68*0.1</formula>
    </cfRule>
  </conditionalFormatting>
  <conditionalFormatting sqref="C15">
    <cfRule type="cellIs" dxfId="107" priority="10" stopIfTrue="1" operator="greaterThan">
      <formula>$C$17*0.1</formula>
    </cfRule>
  </conditionalFormatting>
  <conditionalFormatting sqref="D15">
    <cfRule type="cellIs" dxfId="106" priority="11" stopIfTrue="1" operator="greaterThan">
      <formula>$D$17*0.1</formula>
    </cfRule>
  </conditionalFormatting>
  <conditionalFormatting sqref="E15">
    <cfRule type="cellIs" dxfId="105" priority="12" stopIfTrue="1" operator="greaterThan">
      <formula>$E$17*0.1</formula>
    </cfRule>
  </conditionalFormatting>
  <pageMargins left="0.5" right="0.5" top="1" bottom="0.5" header="0.5" footer="0.5"/>
  <pageSetup scale="66" orientation="portrait" blackAndWhite="1" horizontalDpi="120" verticalDpi="144" r:id="rId1"/>
  <headerFooter alignWithMargins="0">
    <oddHeader>&amp;RState of Kansas
Coffeyville</oddHeader>
    <oddFooter>&amp;Lrevised 8/06/07</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E74"/>
  <sheetViews>
    <sheetView view="pageBreakPreview" topLeftCell="A40" zoomScaleNormal="100" workbookViewId="0">
      <selection activeCell="C30" sqref="C30"/>
    </sheetView>
  </sheetViews>
  <sheetFormatPr defaultRowHeight="15.75"/>
  <cols>
    <col min="1" max="1" width="28.77734375" style="7" customWidth="1"/>
    <col min="2" max="2" width="9.5546875" style="7" customWidth="1"/>
    <col min="3" max="4" width="16.44140625" style="7" customWidth="1"/>
    <col min="5" max="5" width="16.44140625" style="7" bestFit="1" customWidth="1"/>
    <col min="6" max="16384" width="8.88671875" style="7"/>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62</v>
      </c>
      <c r="D4" s="33" t="s">
        <v>205</v>
      </c>
      <c r="E4" s="33" t="s">
        <v>206</v>
      </c>
    </row>
    <row r="5" spans="1:5">
      <c r="A5" s="137" t="str">
        <f>(inputPrYr!B36)</f>
        <v>Police VIN</v>
      </c>
      <c r="B5" s="137"/>
      <c r="C5" s="145">
        <f>E1-2</f>
        <v>2011</v>
      </c>
      <c r="D5" s="145">
        <f>E1-1</f>
        <v>2012</v>
      </c>
      <c r="E5" s="145">
        <f>E1</f>
        <v>2013</v>
      </c>
    </row>
    <row r="6" spans="1:5">
      <c r="A6" s="311" t="s">
        <v>176</v>
      </c>
      <c r="B6" s="317"/>
      <c r="C6" s="313">
        <v>231</v>
      </c>
      <c r="D6" s="85">
        <f>C33</f>
        <v>781.5</v>
      </c>
      <c r="E6" s="85">
        <f>D33</f>
        <v>440.5</v>
      </c>
    </row>
    <row r="7" spans="1:5">
      <c r="A7" s="316" t="s">
        <v>178</v>
      </c>
      <c r="B7" s="317"/>
      <c r="C7" s="305"/>
      <c r="D7" s="40"/>
      <c r="E7" s="40"/>
    </row>
    <row r="8" spans="1:5">
      <c r="A8" s="301" t="s">
        <v>452</v>
      </c>
      <c r="B8" s="318"/>
      <c r="C8" s="313">
        <v>15105</v>
      </c>
      <c r="D8" s="9">
        <v>20760</v>
      </c>
      <c r="E8" s="9">
        <v>22000</v>
      </c>
    </row>
    <row r="9" spans="1:5">
      <c r="A9" s="301"/>
      <c r="B9" s="318"/>
      <c r="C9" s="313"/>
      <c r="D9" s="9"/>
      <c r="E9" s="9"/>
    </row>
    <row r="10" spans="1:5">
      <c r="A10" s="301"/>
      <c r="B10" s="318"/>
      <c r="C10" s="313"/>
      <c r="D10" s="9"/>
      <c r="E10" s="9"/>
    </row>
    <row r="11" spans="1:5">
      <c r="A11" s="301"/>
      <c r="B11" s="318"/>
      <c r="C11" s="313"/>
      <c r="D11" s="9"/>
      <c r="E11" s="9"/>
    </row>
    <row r="12" spans="1:5">
      <c r="A12" s="301"/>
      <c r="B12" s="318"/>
      <c r="C12" s="313"/>
      <c r="D12" s="9"/>
      <c r="E12" s="9"/>
    </row>
    <row r="13" spans="1:5">
      <c r="A13" s="301"/>
      <c r="B13" s="318"/>
      <c r="C13" s="313"/>
      <c r="D13" s="9"/>
      <c r="E13" s="9"/>
    </row>
    <row r="14" spans="1:5">
      <c r="A14" s="312" t="s">
        <v>46</v>
      </c>
      <c r="B14" s="318"/>
      <c r="C14" s="313"/>
      <c r="D14" s="9"/>
      <c r="E14" s="9"/>
    </row>
    <row r="15" spans="1:5">
      <c r="A15" s="321" t="s">
        <v>351</v>
      </c>
      <c r="B15" s="317"/>
      <c r="C15" s="313"/>
      <c r="D15" s="313"/>
      <c r="E15" s="313"/>
    </row>
    <row r="16" spans="1:5">
      <c r="A16" s="311" t="s">
        <v>353</v>
      </c>
      <c r="B16" s="317"/>
      <c r="C16" s="355" t="str">
        <f>IF(C17*0.1&lt;C15,"Exceed 10% Rule","")</f>
        <v/>
      </c>
      <c r="D16" s="355" t="str">
        <f>IF(D17*0.1&lt;D15,"Exceed 10% Rule","")</f>
        <v/>
      </c>
      <c r="E16" s="355" t="str">
        <f>IF(E17*0.1&lt;E15,"Exceed 10% Rule","")</f>
        <v/>
      </c>
    </row>
    <row r="17" spans="1:5">
      <c r="A17" s="151" t="s">
        <v>47</v>
      </c>
      <c r="B17" s="317"/>
      <c r="C17" s="314">
        <f>SUM(C8:C15)</f>
        <v>15105</v>
      </c>
      <c r="D17" s="263">
        <f>SUM(D8:D15)</f>
        <v>20760</v>
      </c>
      <c r="E17" s="263">
        <f>SUM(E8:E15)</f>
        <v>22000</v>
      </c>
    </row>
    <row r="18" spans="1:5">
      <c r="A18" s="151" t="s">
        <v>48</v>
      </c>
      <c r="B18" s="317"/>
      <c r="C18" s="314">
        <f>C6+C17</f>
        <v>15336</v>
      </c>
      <c r="D18" s="263">
        <f>D6+D17</f>
        <v>21541.5</v>
      </c>
      <c r="E18" s="263">
        <f>E6+E17</f>
        <v>22440.5</v>
      </c>
    </row>
    <row r="19" spans="1:5">
      <c r="A19" s="37" t="s">
        <v>50</v>
      </c>
      <c r="B19" s="317"/>
      <c r="C19" s="119"/>
      <c r="D19" s="85"/>
      <c r="E19" s="85"/>
    </row>
    <row r="20" spans="1:5">
      <c r="A20" s="301" t="s">
        <v>444</v>
      </c>
      <c r="B20" s="318"/>
      <c r="C20" s="313">
        <f>1529.5+13025</f>
        <v>14554.5</v>
      </c>
      <c r="D20" s="9">
        <f>2076+19025</f>
        <v>21101</v>
      </c>
      <c r="E20" s="9">
        <f>2200+20240.5</f>
        <v>22440.5</v>
      </c>
    </row>
    <row r="21" spans="1:5">
      <c r="A21" s="301"/>
      <c r="B21" s="318"/>
      <c r="C21" s="313"/>
      <c r="D21" s="9"/>
      <c r="E21" s="9"/>
    </row>
    <row r="22" spans="1:5">
      <c r="A22" s="301"/>
      <c r="B22" s="318"/>
      <c r="C22" s="313"/>
      <c r="D22" s="9"/>
      <c r="E22" s="9"/>
    </row>
    <row r="23" spans="1:5">
      <c r="A23" s="301"/>
      <c r="B23" s="318"/>
      <c r="C23" s="313"/>
      <c r="D23" s="9"/>
      <c r="E23" s="9"/>
    </row>
    <row r="24" spans="1:5">
      <c r="A24" s="301"/>
      <c r="B24" s="318"/>
      <c r="C24" s="313"/>
      <c r="D24" s="9"/>
      <c r="E24" s="9"/>
    </row>
    <row r="25" spans="1:5">
      <c r="A25" s="301"/>
      <c r="B25" s="318"/>
      <c r="C25" s="313"/>
      <c r="D25" s="9"/>
      <c r="E25" s="9"/>
    </row>
    <row r="26" spans="1:5">
      <c r="A26" s="301"/>
      <c r="B26" s="318"/>
      <c r="C26" s="313"/>
      <c r="D26" s="9"/>
      <c r="E26" s="9"/>
    </row>
    <row r="27" spans="1:5">
      <c r="A27" s="301"/>
      <c r="B27" s="318"/>
      <c r="C27" s="313"/>
      <c r="D27" s="9"/>
      <c r="E27" s="9"/>
    </row>
    <row r="28" spans="1:5">
      <c r="A28" s="301"/>
      <c r="B28" s="318"/>
      <c r="C28" s="313"/>
      <c r="D28" s="9"/>
      <c r="E28" s="9"/>
    </row>
    <row r="29" spans="1:5">
      <c r="A29" s="301"/>
      <c r="B29" s="318"/>
      <c r="C29" s="313"/>
      <c r="D29" s="9"/>
      <c r="E29" s="9"/>
    </row>
    <row r="30" spans="1:5">
      <c r="A30" s="319" t="s">
        <v>351</v>
      </c>
      <c r="B30" s="317"/>
      <c r="C30" s="313"/>
      <c r="D30" s="313"/>
      <c r="E30" s="313"/>
    </row>
    <row r="31" spans="1:5">
      <c r="A31" s="319" t="s">
        <v>352</v>
      </c>
      <c r="B31" s="317"/>
      <c r="C31" s="355" t="str">
        <f>IF(C32*0.1&lt;C30,"Exceed 10% Rule","")</f>
        <v/>
      </c>
      <c r="D31" s="355" t="str">
        <f>IF(D32*0.1&lt;D30,"Exceed 10% Rule","")</f>
        <v/>
      </c>
      <c r="E31" s="355" t="str">
        <f>IF(E32*0.1&lt;E30,"Exceed 10% Rule","")</f>
        <v/>
      </c>
    </row>
    <row r="32" spans="1:5">
      <c r="A32" s="151" t="s">
        <v>54</v>
      </c>
      <c r="B32" s="317"/>
      <c r="C32" s="314">
        <f>SUM(C20:C30)</f>
        <v>14554.5</v>
      </c>
      <c r="D32" s="263">
        <f>SUM(D20:D30)</f>
        <v>21101</v>
      </c>
      <c r="E32" s="263">
        <f>SUM(E20:E30)</f>
        <v>22440.5</v>
      </c>
    </row>
    <row r="33" spans="1:5">
      <c r="A33" s="37" t="s">
        <v>177</v>
      </c>
      <c r="B33" s="317"/>
      <c r="C33" s="315">
        <f>C18-C32</f>
        <v>781.5</v>
      </c>
      <c r="D33" s="262">
        <f>D18-D32</f>
        <v>440.5</v>
      </c>
      <c r="E33" s="262">
        <f>E18-E32</f>
        <v>0</v>
      </c>
    </row>
    <row r="34" spans="1:5">
      <c r="A34" s="23" t="str">
        <f>CONCATENATE("",E1-2," Budget Authority Limited Amount:")</f>
        <v>2011 Budget Authority Limited Amount:</v>
      </c>
      <c r="B34" s="338">
        <f>inputOth!B67</f>
        <v>14784</v>
      </c>
      <c r="C34" s="65"/>
      <c r="D34" s="65"/>
      <c r="E34" s="65"/>
    </row>
    <row r="35" spans="1:5">
      <c r="A35" s="23" t="str">
        <f>CONCATENATE("Violation of Budget Law for ",E1-2,":")</f>
        <v>Violation of Budget Law for 2011:</v>
      </c>
      <c r="B35" s="339" t="str">
        <f>IF(C32&gt;B34,"Yes","")</f>
        <v/>
      </c>
      <c r="C35" s="65"/>
      <c r="D35" s="65"/>
      <c r="E35" s="65"/>
    </row>
    <row r="36" spans="1:5">
      <c r="A36" s="23" t="str">
        <f>CONCATENATE("Possible Cash Violation for ",E1-2,":")</f>
        <v>Possible Cash Violation for 2011:</v>
      </c>
      <c r="B36" s="339" t="str">
        <f>IF(C33&lt;0,"Yes","")</f>
        <v/>
      </c>
      <c r="C36" s="65"/>
      <c r="D36" s="65"/>
      <c r="E36" s="65"/>
    </row>
    <row r="37" spans="1:5">
      <c r="A37" s="21"/>
      <c r="B37" s="21"/>
      <c r="C37" s="65"/>
      <c r="D37" s="65"/>
      <c r="E37" s="65"/>
    </row>
    <row r="38" spans="1:5">
      <c r="A38" s="25" t="s">
        <v>41</v>
      </c>
      <c r="B38" s="25"/>
      <c r="C38" s="102"/>
      <c r="D38" s="102"/>
      <c r="E38" s="102"/>
    </row>
    <row r="39" spans="1:5">
      <c r="A39" s="21"/>
      <c r="B39" s="21"/>
      <c r="C39" s="93" t="s">
        <v>62</v>
      </c>
      <c r="D39" s="33" t="s">
        <v>205</v>
      </c>
      <c r="E39" s="33" t="s">
        <v>206</v>
      </c>
    </row>
    <row r="40" spans="1:5">
      <c r="A40" s="137" t="str">
        <f>(inputPrYr!B37)</f>
        <v>Memorial Hall Building</v>
      </c>
      <c r="B40" s="137"/>
      <c r="C40" s="145">
        <f>C5</f>
        <v>2011</v>
      </c>
      <c r="D40" s="145">
        <f>D5</f>
        <v>2012</v>
      </c>
      <c r="E40" s="145">
        <f>E5</f>
        <v>2013</v>
      </c>
    </row>
    <row r="41" spans="1:5">
      <c r="A41" s="311" t="s">
        <v>176</v>
      </c>
      <c r="B41" s="317"/>
      <c r="C41" s="313">
        <v>12834.07</v>
      </c>
      <c r="D41" s="85">
        <f>C69</f>
        <v>6.9999999999708962E-2</v>
      </c>
      <c r="E41" s="85">
        <f>D69</f>
        <v>6.9999999999708962E-2</v>
      </c>
    </row>
    <row r="42" spans="1:5">
      <c r="A42" s="316" t="s">
        <v>178</v>
      </c>
      <c r="B42" s="317"/>
      <c r="C42" s="305"/>
      <c r="D42" s="40"/>
      <c r="E42" s="40"/>
    </row>
    <row r="43" spans="1:5">
      <c r="A43" s="301"/>
      <c r="B43" s="318"/>
      <c r="C43" s="313"/>
      <c r="D43" s="9"/>
      <c r="E43" s="9"/>
    </row>
    <row r="44" spans="1:5">
      <c r="A44" s="301"/>
      <c r="B44" s="318"/>
      <c r="C44" s="313"/>
      <c r="D44" s="9"/>
      <c r="E44" s="9"/>
    </row>
    <row r="45" spans="1:5">
      <c r="A45" s="301"/>
      <c r="B45" s="318"/>
      <c r="C45" s="313"/>
      <c r="D45" s="9"/>
      <c r="E45" s="9"/>
    </row>
    <row r="46" spans="1:5">
      <c r="A46" s="301"/>
      <c r="B46" s="318"/>
      <c r="C46" s="313"/>
      <c r="D46" s="9"/>
      <c r="E46" s="9"/>
    </row>
    <row r="47" spans="1:5">
      <c r="A47" s="301"/>
      <c r="B47" s="318"/>
      <c r="C47" s="313"/>
      <c r="D47" s="9"/>
      <c r="E47" s="9"/>
    </row>
    <row r="48" spans="1:5">
      <c r="A48" s="312" t="s">
        <v>46</v>
      </c>
      <c r="B48" s="318"/>
      <c r="C48" s="313"/>
      <c r="D48" s="9"/>
      <c r="E48" s="9"/>
    </row>
    <row r="49" spans="1:5">
      <c r="A49" s="321" t="s">
        <v>351</v>
      </c>
      <c r="B49" s="317"/>
      <c r="C49" s="313"/>
      <c r="D49" s="313"/>
      <c r="E49" s="313"/>
    </row>
    <row r="50" spans="1:5">
      <c r="A50" s="311" t="s">
        <v>353</v>
      </c>
      <c r="B50" s="317"/>
      <c r="C50" s="355" t="str">
        <f>IF(C51*0.1&lt;C49,"Exceed 10% Rule","")</f>
        <v/>
      </c>
      <c r="D50" s="355" t="str">
        <f>IF(D51*0.1&lt;D49,"Exceed 10% Rule","")</f>
        <v/>
      </c>
      <c r="E50" s="355" t="str">
        <f>IF(E51*0.1&lt;E49,"Exceed 10% Rule","")</f>
        <v/>
      </c>
    </row>
    <row r="51" spans="1:5">
      <c r="A51" s="151" t="s">
        <v>47</v>
      </c>
      <c r="B51" s="317"/>
      <c r="C51" s="314">
        <f>SUM(C43:C49)</f>
        <v>0</v>
      </c>
      <c r="D51" s="263">
        <f>SUM(D43:D49)</f>
        <v>0</v>
      </c>
      <c r="E51" s="263">
        <f>SUM(E43:E49)</f>
        <v>0</v>
      </c>
    </row>
    <row r="52" spans="1:5">
      <c r="A52" s="151" t="s">
        <v>48</v>
      </c>
      <c r="B52" s="317"/>
      <c r="C52" s="314">
        <f>C41+C51</f>
        <v>12834.07</v>
      </c>
      <c r="D52" s="263">
        <f>D41+D51</f>
        <v>6.9999999999708962E-2</v>
      </c>
      <c r="E52" s="263">
        <f>E41+E51</f>
        <v>6.9999999999708962E-2</v>
      </c>
    </row>
    <row r="53" spans="1:5">
      <c r="A53" s="37" t="s">
        <v>50</v>
      </c>
      <c r="B53" s="317"/>
      <c r="C53" s="119"/>
      <c r="D53" s="85"/>
      <c r="E53" s="85"/>
    </row>
    <row r="54" spans="1:5">
      <c r="A54" s="301" t="s">
        <v>445</v>
      </c>
      <c r="B54" s="318"/>
      <c r="C54" s="313">
        <v>0</v>
      </c>
      <c r="D54" s="9">
        <v>0</v>
      </c>
      <c r="E54" s="9">
        <v>0</v>
      </c>
    </row>
    <row r="55" spans="1:5">
      <c r="A55" s="301" t="s">
        <v>446</v>
      </c>
      <c r="B55" s="318"/>
      <c r="C55" s="313">
        <v>12834</v>
      </c>
      <c r="D55" s="9">
        <v>0</v>
      </c>
      <c r="E55" s="9">
        <v>0</v>
      </c>
    </row>
    <row r="56" spans="1:5">
      <c r="A56" s="301"/>
      <c r="B56" s="318"/>
      <c r="C56" s="313"/>
      <c r="D56" s="9"/>
      <c r="E56" s="9"/>
    </row>
    <row r="57" spans="1:5">
      <c r="A57" s="301"/>
      <c r="B57" s="318"/>
      <c r="C57" s="313"/>
      <c r="D57" s="9"/>
      <c r="E57" s="9"/>
    </row>
    <row r="58" spans="1:5">
      <c r="A58" s="301"/>
      <c r="B58" s="318"/>
      <c r="C58" s="313"/>
      <c r="D58" s="9"/>
      <c r="E58" s="9"/>
    </row>
    <row r="59" spans="1:5">
      <c r="A59" s="301"/>
      <c r="B59" s="318"/>
      <c r="C59" s="313"/>
      <c r="D59" s="9"/>
      <c r="E59" s="9"/>
    </row>
    <row r="60" spans="1:5">
      <c r="A60" s="301"/>
      <c r="B60" s="318"/>
      <c r="C60" s="313"/>
      <c r="D60" s="9"/>
      <c r="E60" s="9"/>
    </row>
    <row r="61" spans="1:5">
      <c r="A61" s="301"/>
      <c r="B61" s="318"/>
      <c r="C61" s="313"/>
      <c r="D61" s="9"/>
      <c r="E61" s="9"/>
    </row>
    <row r="62" spans="1:5">
      <c r="A62" s="301"/>
      <c r="B62" s="318"/>
      <c r="C62" s="313"/>
      <c r="D62" s="9"/>
      <c r="E62" s="9"/>
    </row>
    <row r="63" spans="1:5">
      <c r="A63" s="301"/>
      <c r="B63" s="318"/>
      <c r="C63" s="313"/>
      <c r="D63" s="9"/>
      <c r="E63" s="9"/>
    </row>
    <row r="64" spans="1:5">
      <c r="A64" s="301"/>
      <c r="B64" s="318"/>
      <c r="C64" s="313"/>
      <c r="D64" s="9"/>
      <c r="E64" s="9"/>
    </row>
    <row r="65" spans="1:5">
      <c r="A65" s="301"/>
      <c r="B65" s="318"/>
      <c r="C65" s="313"/>
      <c r="D65" s="9"/>
      <c r="E65" s="9"/>
    </row>
    <row r="66" spans="1:5">
      <c r="A66" s="319" t="s">
        <v>351</v>
      </c>
      <c r="B66" s="351"/>
      <c r="C66" s="313"/>
      <c r="D66" s="313"/>
      <c r="E66" s="313"/>
    </row>
    <row r="67" spans="1:5">
      <c r="A67" s="353" t="s">
        <v>352</v>
      </c>
      <c r="B67" s="352"/>
      <c r="C67" s="355" t="str">
        <f>IF(C68*0.1&lt;C66,"Exceed 10% Rule","")</f>
        <v/>
      </c>
      <c r="D67" s="355" t="str">
        <f>IF(D68*0.1&lt;D66,"Exceed 10% Rule","")</f>
        <v/>
      </c>
      <c r="E67" s="355" t="str">
        <f>IF(E68*0.1&lt;E66,"Exceed 10% Rule","")</f>
        <v/>
      </c>
    </row>
    <row r="68" spans="1:5">
      <c r="A68" s="151" t="s">
        <v>54</v>
      </c>
      <c r="B68" s="354"/>
      <c r="C68" s="314">
        <f>SUM(C54:C66)</f>
        <v>12834</v>
      </c>
      <c r="D68" s="263">
        <f>SUM(D54:D66)</f>
        <v>0</v>
      </c>
      <c r="E68" s="263">
        <f>SUM(E54:E66)</f>
        <v>0</v>
      </c>
    </row>
    <row r="69" spans="1:5">
      <c r="A69" s="37" t="s">
        <v>177</v>
      </c>
      <c r="B69" s="309"/>
      <c r="C69" s="315">
        <f>C52-C68</f>
        <v>6.9999999999708962E-2</v>
      </c>
      <c r="D69" s="262">
        <f>D52-D68</f>
        <v>6.9999999999708962E-2</v>
      </c>
      <c r="E69" s="262">
        <f>E52-E68</f>
        <v>6.9999999999708962E-2</v>
      </c>
    </row>
    <row r="70" spans="1:5">
      <c r="A70" s="23" t="str">
        <f>CONCATENATE("",E1-2," Budget Authority Limited Amount:")</f>
        <v>2011 Budget Authority Limited Amount:</v>
      </c>
      <c r="B70" s="338">
        <f>inputOth!B68</f>
        <v>12834</v>
      </c>
      <c r="C70" s="21"/>
      <c r="D70" s="21"/>
      <c r="E70" s="21"/>
    </row>
    <row r="71" spans="1:5">
      <c r="A71" s="23" t="str">
        <f>CONCATENATE("Violation of Budget Law for ",E1-2,":")</f>
        <v>Violation of Budget Law for 2011:</v>
      </c>
      <c r="B71" s="339" t="str">
        <f>IF(C68&gt;B70,"Yes","")</f>
        <v/>
      </c>
      <c r="C71" s="21"/>
      <c r="D71" s="21"/>
      <c r="E71" s="21"/>
    </row>
    <row r="72" spans="1:5">
      <c r="A72" s="23" t="str">
        <f>CONCATENATE("Possible Cash Violation for ",E1-2,":")</f>
        <v>Possible Cash Violation for 2011:</v>
      </c>
      <c r="B72" s="339" t="str">
        <f>IF(C69&lt;0,"Yes","")</f>
        <v/>
      </c>
      <c r="C72" s="21"/>
      <c r="D72" s="21"/>
      <c r="E72" s="21"/>
    </row>
    <row r="73" spans="1:5">
      <c r="A73" s="21"/>
      <c r="B73" s="21"/>
      <c r="C73" s="21"/>
      <c r="D73" s="21"/>
      <c r="E73" s="21"/>
    </row>
    <row r="74" spans="1:5">
      <c r="A74" s="24"/>
      <c r="B74" s="24" t="s">
        <v>58</v>
      </c>
      <c r="C74" s="100">
        <v>12</v>
      </c>
      <c r="D74" s="21"/>
      <c r="E74" s="21"/>
    </row>
  </sheetData>
  <phoneticPr fontId="0" type="noConversion"/>
  <conditionalFormatting sqref="C15">
    <cfRule type="cellIs" dxfId="104" priority="1" stopIfTrue="1" operator="greaterThan">
      <formula>$C$17*0.1</formula>
    </cfRule>
  </conditionalFormatting>
  <conditionalFormatting sqref="D15">
    <cfRule type="cellIs" dxfId="103" priority="2" stopIfTrue="1" operator="greaterThan">
      <formula>$D$17*0.1</formula>
    </cfRule>
  </conditionalFormatting>
  <conditionalFormatting sqref="E15">
    <cfRule type="cellIs" dxfId="102" priority="3" stopIfTrue="1" operator="greaterThan">
      <formula>$E$17*0.1</formula>
    </cfRule>
  </conditionalFormatting>
  <conditionalFormatting sqref="C30">
    <cfRule type="cellIs" dxfId="101" priority="4" stopIfTrue="1" operator="greaterThan">
      <formula>$C$32*0.1</formula>
    </cfRule>
  </conditionalFormatting>
  <conditionalFormatting sqref="D30">
    <cfRule type="cellIs" dxfId="100" priority="5" stopIfTrue="1" operator="greaterThan">
      <formula>$D$32*0.1</formula>
    </cfRule>
  </conditionalFormatting>
  <conditionalFormatting sqref="E30">
    <cfRule type="cellIs" dxfId="99" priority="6" stopIfTrue="1" operator="greaterThan">
      <formula>$E$32*0.1</formula>
    </cfRule>
  </conditionalFormatting>
  <conditionalFormatting sqref="C49">
    <cfRule type="cellIs" dxfId="98" priority="7" stopIfTrue="1" operator="greaterThan">
      <formula>$C$51*0.1</formula>
    </cfRule>
  </conditionalFormatting>
  <conditionalFormatting sqref="D49">
    <cfRule type="cellIs" dxfId="97" priority="8" stopIfTrue="1" operator="greaterThan">
      <formula>$D$51*0.1</formula>
    </cfRule>
  </conditionalFormatting>
  <conditionalFormatting sqref="E49">
    <cfRule type="cellIs" dxfId="96" priority="9" stopIfTrue="1" operator="greaterThan">
      <formula>$E$51*0.1</formula>
    </cfRule>
  </conditionalFormatting>
  <conditionalFormatting sqref="C66">
    <cfRule type="cellIs" dxfId="95" priority="10" stopIfTrue="1" operator="greaterThan">
      <formula>$C$68*0.1</formula>
    </cfRule>
  </conditionalFormatting>
  <conditionalFormatting sqref="D66">
    <cfRule type="cellIs" dxfId="94" priority="11" stopIfTrue="1" operator="greaterThan">
      <formula>$D$68*0.1</formula>
    </cfRule>
  </conditionalFormatting>
  <conditionalFormatting sqref="E66">
    <cfRule type="cellIs" dxfId="93" priority="12" stopIfTrue="1" operator="greaterThan">
      <formula>$E$68*0.1</formula>
    </cfRule>
  </conditionalFormatting>
  <pageMargins left="0.5" right="0.5" top="1" bottom="0.5" header="0.5" footer="0.5"/>
  <pageSetup scale="66" orientation="portrait" blackAndWhite="1" horizontalDpi="120" verticalDpi="144" r:id="rId1"/>
  <headerFooter alignWithMargins="0">
    <oddHeader>&amp;RState of Kansas
Coffeyville</oddHeader>
    <oddFooter>&amp;Lrevised 8/06/07</oddFooter>
  </headerFooter>
</worksheet>
</file>

<file path=xl/worksheets/sheet2.xml><?xml version="1.0" encoding="utf-8"?>
<worksheet xmlns="http://schemas.openxmlformats.org/spreadsheetml/2006/main" xmlns:r="http://schemas.openxmlformats.org/officeDocument/2006/relationships">
  <dimension ref="A1:E130"/>
  <sheetViews>
    <sheetView view="pageBreakPreview" zoomScaleNormal="100" workbookViewId="0">
      <selection activeCell="D16" sqref="D16"/>
    </sheetView>
  </sheetViews>
  <sheetFormatPr defaultRowHeight="15.75"/>
  <cols>
    <col min="1" max="1" width="15.77734375" style="7" customWidth="1"/>
    <col min="2" max="2" width="20.77734375" style="7" customWidth="1"/>
    <col min="3" max="3" width="9.77734375" style="7" customWidth="1"/>
    <col min="4" max="4" width="15.109375" style="7" customWidth="1"/>
    <col min="5" max="5" width="15.77734375" style="7" customWidth="1"/>
    <col min="6" max="16384" width="8.88671875" style="7"/>
  </cols>
  <sheetData>
    <row r="1" spans="1:5">
      <c r="A1" s="434" t="s">
        <v>8</v>
      </c>
      <c r="B1" s="435"/>
      <c r="C1" s="435"/>
      <c r="D1" s="435"/>
      <c r="E1" s="435"/>
    </row>
    <row r="2" spans="1:5">
      <c r="A2" s="22" t="s">
        <v>388</v>
      </c>
      <c r="B2" s="21"/>
      <c r="C2" s="21"/>
      <c r="D2" s="254" t="s">
        <v>607</v>
      </c>
      <c r="E2" s="255"/>
    </row>
    <row r="3" spans="1:5">
      <c r="A3" s="22" t="s">
        <v>389</v>
      </c>
      <c r="B3" s="21"/>
      <c r="C3" s="21"/>
      <c r="D3" s="256" t="s">
        <v>538</v>
      </c>
      <c r="E3" s="257"/>
    </row>
    <row r="4" spans="1:5">
      <c r="A4" s="25"/>
      <c r="B4" s="21"/>
      <c r="C4" s="21"/>
      <c r="D4" s="182"/>
      <c r="E4" s="21"/>
    </row>
    <row r="5" spans="1:5">
      <c r="A5" s="22" t="s">
        <v>227</v>
      </c>
      <c r="B5" s="21"/>
      <c r="C5" s="253">
        <v>2013</v>
      </c>
      <c r="D5" s="182"/>
      <c r="E5" s="21"/>
    </row>
    <row r="6" spans="1:5">
      <c r="A6" s="21"/>
      <c r="B6" s="21"/>
      <c r="C6" s="21"/>
      <c r="D6" s="21"/>
      <c r="E6" s="21"/>
    </row>
    <row r="7" spans="1:5" ht="31.5">
      <c r="A7" s="110" t="s">
        <v>327</v>
      </c>
      <c r="B7" s="116"/>
      <c r="C7" s="116"/>
      <c r="D7" s="116"/>
      <c r="E7" s="116"/>
    </row>
    <row r="8" spans="1:5">
      <c r="A8" s="110" t="s">
        <v>326</v>
      </c>
      <c r="B8" s="116"/>
      <c r="C8" s="116"/>
      <c r="D8" s="116"/>
      <c r="E8" s="116"/>
    </row>
    <row r="9" spans="1:5">
      <c r="A9" s="110"/>
      <c r="B9" s="116"/>
      <c r="C9" s="116"/>
      <c r="D9" s="116"/>
      <c r="E9" s="116"/>
    </row>
    <row r="10" spans="1:5">
      <c r="A10" s="432" t="s">
        <v>300</v>
      </c>
      <c r="B10" s="433"/>
      <c r="C10" s="433"/>
      <c r="D10" s="433"/>
      <c r="E10" s="433"/>
    </row>
    <row r="11" spans="1:5">
      <c r="A11" s="21"/>
      <c r="B11" s="21"/>
      <c r="C11" s="21"/>
      <c r="D11" s="21"/>
      <c r="E11" s="21"/>
    </row>
    <row r="12" spans="1:5">
      <c r="A12" s="183" t="s">
        <v>301</v>
      </c>
      <c r="B12" s="126"/>
      <c r="C12" s="21"/>
      <c r="D12" s="21"/>
      <c r="E12" s="21"/>
    </row>
    <row r="13" spans="1:5">
      <c r="A13" s="123" t="str">
        <f>CONCATENATE("the ",C5-1," Budget, Certificate Page:")</f>
        <v>the 2012 Budget, Certificate Page:</v>
      </c>
      <c r="B13" s="124"/>
      <c r="C13" s="21"/>
      <c r="D13" s="21"/>
      <c r="E13" s="21"/>
    </row>
    <row r="14" spans="1:5">
      <c r="A14" s="21"/>
      <c r="B14" s="21"/>
      <c r="C14" s="21"/>
      <c r="D14" s="238" t="s">
        <v>262</v>
      </c>
      <c r="E14" s="168"/>
    </row>
    <row r="15" spans="1:5">
      <c r="A15" s="25" t="s">
        <v>9</v>
      </c>
      <c r="B15" s="21"/>
      <c r="C15" s="49" t="s">
        <v>10</v>
      </c>
      <c r="D15" s="239" t="str">
        <f>CONCATENATE("in ",C5-2," Budget")</f>
        <v>in 2011 Budget</v>
      </c>
      <c r="E15" s="168"/>
    </row>
    <row r="16" spans="1:5">
      <c r="A16" s="21"/>
      <c r="B16" s="44" t="s">
        <v>11</v>
      </c>
      <c r="C16" s="42" t="s">
        <v>180</v>
      </c>
      <c r="D16" s="9">
        <v>3871122</v>
      </c>
      <c r="E16" s="168"/>
    </row>
    <row r="17" spans="1:5">
      <c r="A17" s="21"/>
      <c r="B17" s="44" t="s">
        <v>220</v>
      </c>
      <c r="C17" s="42" t="s">
        <v>228</v>
      </c>
      <c r="D17" s="9">
        <v>0</v>
      </c>
      <c r="E17" s="168"/>
    </row>
    <row r="18" spans="1:5">
      <c r="A18" s="25" t="s">
        <v>12</v>
      </c>
      <c r="B18" s="21"/>
      <c r="C18" s="21"/>
      <c r="D18" s="21"/>
      <c r="E18" s="168"/>
    </row>
    <row r="19" spans="1:5">
      <c r="A19" s="21"/>
      <c r="B19" s="8" t="s">
        <v>537</v>
      </c>
      <c r="C19" s="8"/>
      <c r="D19" s="9">
        <v>353046</v>
      </c>
      <c r="E19" s="168"/>
    </row>
    <row r="20" spans="1:5">
      <c r="A20" s="21"/>
      <c r="B20" s="8" t="s">
        <v>418</v>
      </c>
      <c r="C20" s="8"/>
      <c r="D20" s="9">
        <v>0</v>
      </c>
      <c r="E20" s="168"/>
    </row>
    <row r="21" spans="1:5">
      <c r="A21" s="21"/>
      <c r="B21" s="8"/>
      <c r="C21" s="8"/>
      <c r="D21" s="9"/>
      <c r="E21" s="168"/>
    </row>
    <row r="22" spans="1:5">
      <c r="A22" s="21"/>
      <c r="B22" s="8"/>
      <c r="C22" s="8"/>
      <c r="D22" s="9"/>
      <c r="E22" s="168"/>
    </row>
    <row r="23" spans="1:5">
      <c r="A23" s="21"/>
      <c r="B23" s="8"/>
      <c r="C23" s="8"/>
      <c r="D23" s="9"/>
      <c r="E23" s="168"/>
    </row>
    <row r="24" spans="1:5">
      <c r="A24" s="21"/>
      <c r="B24" s="8"/>
      <c r="C24" s="8"/>
      <c r="D24" s="9"/>
      <c r="E24" s="168"/>
    </row>
    <row r="25" spans="1:5">
      <c r="A25" s="21"/>
      <c r="B25" s="8"/>
      <c r="C25" s="8"/>
      <c r="D25" s="9"/>
      <c r="E25" s="168"/>
    </row>
    <row r="26" spans="1:5">
      <c r="A26" s="21"/>
      <c r="B26" s="8"/>
      <c r="C26" s="8"/>
      <c r="D26" s="9"/>
      <c r="E26" s="168"/>
    </row>
    <row r="27" spans="1:5">
      <c r="A27" s="21"/>
      <c r="B27" s="8"/>
      <c r="C27" s="8"/>
      <c r="D27" s="9"/>
      <c r="E27" s="168"/>
    </row>
    <row r="28" spans="1:5">
      <c r="A28" s="21"/>
      <c r="B28" s="8"/>
      <c r="C28" s="8"/>
      <c r="D28" s="9"/>
      <c r="E28" s="168"/>
    </row>
    <row r="29" spans="1:5">
      <c r="A29" s="111" t="str">
        <f>CONCATENATE("Total Tax Levy Funds for ",C5-1," Budgeted Year")</f>
        <v>Total Tax Levy Funds for 2012 Budgeted Year</v>
      </c>
      <c r="B29" s="20"/>
      <c r="C29" s="117"/>
      <c r="D29" s="258">
        <f>SUM(D16:D28)</f>
        <v>4224168</v>
      </c>
      <c r="E29" s="168"/>
    </row>
    <row r="30" spans="1:5">
      <c r="A30" s="130"/>
      <c r="B30" s="106"/>
      <c r="C30" s="106"/>
      <c r="D30" s="137"/>
      <c r="E30" s="168"/>
    </row>
    <row r="31" spans="1:5">
      <c r="A31" s="25" t="s">
        <v>233</v>
      </c>
      <c r="B31" s="21"/>
      <c r="C31" s="21"/>
      <c r="D31" s="21"/>
      <c r="E31" s="21"/>
    </row>
    <row r="32" spans="1:5">
      <c r="A32" s="21"/>
      <c r="B32" s="42" t="s">
        <v>155</v>
      </c>
      <c r="C32" s="21"/>
      <c r="D32" s="21"/>
      <c r="E32" s="21"/>
    </row>
    <row r="33" spans="1:5">
      <c r="A33" s="21"/>
      <c r="B33" s="8" t="s">
        <v>539</v>
      </c>
      <c r="C33" s="21"/>
      <c r="D33" s="21"/>
      <c r="E33" s="21"/>
    </row>
    <row r="34" spans="1:5">
      <c r="A34" s="21"/>
      <c r="B34" s="8" t="s">
        <v>430</v>
      </c>
      <c r="C34" s="21"/>
      <c r="D34" s="21"/>
      <c r="E34" s="21"/>
    </row>
    <row r="35" spans="1:5">
      <c r="A35" s="21"/>
      <c r="B35" s="8" t="s">
        <v>540</v>
      </c>
      <c r="C35" s="21"/>
      <c r="D35" s="21"/>
      <c r="E35" s="21"/>
    </row>
    <row r="36" spans="1:5">
      <c r="A36" s="21"/>
      <c r="B36" s="8" t="s">
        <v>541</v>
      </c>
      <c r="C36" s="21"/>
      <c r="D36" s="21"/>
      <c r="E36" s="21"/>
    </row>
    <row r="37" spans="1:5">
      <c r="A37" s="21"/>
      <c r="B37" s="8" t="s">
        <v>542</v>
      </c>
      <c r="C37" s="21"/>
      <c r="D37" s="21"/>
      <c r="E37" s="21"/>
    </row>
    <row r="38" spans="1:5">
      <c r="A38" s="21"/>
      <c r="B38" s="8" t="s">
        <v>543</v>
      </c>
      <c r="C38" s="21"/>
      <c r="D38" s="21"/>
      <c r="E38" s="21"/>
    </row>
    <row r="39" spans="1:5">
      <c r="A39" s="21"/>
      <c r="B39" s="8" t="s">
        <v>544</v>
      </c>
      <c r="C39" s="21"/>
      <c r="D39" s="21"/>
      <c r="E39" s="21"/>
    </row>
    <row r="40" spans="1:5">
      <c r="A40" s="21"/>
      <c r="B40" s="8" t="s">
        <v>545</v>
      </c>
      <c r="C40" s="21"/>
      <c r="D40" s="21"/>
      <c r="E40" s="21"/>
    </row>
    <row r="41" spans="1:5">
      <c r="A41" s="21"/>
      <c r="B41" s="8" t="s">
        <v>576</v>
      </c>
      <c r="C41" s="21"/>
      <c r="D41" s="21"/>
      <c r="E41" s="21"/>
    </row>
    <row r="42" spans="1:5">
      <c r="A42" s="21"/>
      <c r="B42" s="10" t="s">
        <v>577</v>
      </c>
      <c r="C42" s="21"/>
      <c r="D42" s="21"/>
      <c r="E42" s="21"/>
    </row>
    <row r="43" spans="1:5">
      <c r="A43" s="21"/>
      <c r="B43" s="10" t="s">
        <v>578</v>
      </c>
      <c r="C43" s="21"/>
      <c r="D43" s="21"/>
      <c r="E43" s="21"/>
    </row>
    <row r="44" spans="1:5">
      <c r="A44" s="21"/>
      <c r="B44" s="10" t="s">
        <v>599</v>
      </c>
      <c r="C44" s="21"/>
      <c r="D44" s="21"/>
      <c r="E44" s="21"/>
    </row>
    <row r="45" spans="1:5">
      <c r="A45" s="21"/>
      <c r="B45" s="10" t="s">
        <v>598</v>
      </c>
      <c r="C45" s="21"/>
      <c r="D45" s="21"/>
      <c r="E45" s="21"/>
    </row>
    <row r="46" spans="1:5">
      <c r="A46" s="21"/>
      <c r="B46" s="10" t="s">
        <v>581</v>
      </c>
      <c r="C46" s="21"/>
      <c r="D46" s="21"/>
      <c r="E46" s="21"/>
    </row>
    <row r="47" spans="1:5">
      <c r="A47" s="21"/>
      <c r="B47" s="10" t="s">
        <v>582</v>
      </c>
      <c r="C47" s="21"/>
      <c r="D47" s="21"/>
      <c r="E47" s="21"/>
    </row>
    <row r="48" spans="1:5">
      <c r="A48" s="21"/>
      <c r="B48" s="10" t="s">
        <v>583</v>
      </c>
      <c r="C48" s="21"/>
      <c r="D48" s="21"/>
      <c r="E48" s="21"/>
    </row>
    <row r="49" spans="1:5">
      <c r="A49" s="21"/>
      <c r="B49" s="10" t="s">
        <v>579</v>
      </c>
      <c r="C49" s="21"/>
      <c r="D49" s="21"/>
      <c r="E49" s="21"/>
    </row>
    <row r="50" spans="1:5">
      <c r="A50" s="21"/>
      <c r="B50" s="10" t="s">
        <v>580</v>
      </c>
      <c r="C50" s="21"/>
      <c r="D50" s="21"/>
      <c r="E50" s="21"/>
    </row>
    <row r="51" spans="1:5">
      <c r="A51" s="21" t="s">
        <v>268</v>
      </c>
      <c r="B51" s="191"/>
      <c r="C51" s="21"/>
      <c r="D51" s="21"/>
      <c r="E51" s="21"/>
    </row>
    <row r="52" spans="1:5">
      <c r="A52" s="21">
        <v>1</v>
      </c>
      <c r="B52" s="10" t="s">
        <v>584</v>
      </c>
      <c r="C52" s="21"/>
      <c r="D52" s="21"/>
      <c r="E52" s="21"/>
    </row>
    <row r="53" spans="1:5">
      <c r="A53" s="21">
        <v>2</v>
      </c>
      <c r="B53" s="10" t="s">
        <v>585</v>
      </c>
      <c r="C53" s="21"/>
      <c r="D53" s="21"/>
      <c r="E53" s="21"/>
    </row>
    <row r="54" spans="1:5">
      <c r="A54" s="21">
        <v>3</v>
      </c>
      <c r="B54" s="10"/>
      <c r="C54" s="21"/>
      <c r="D54" s="21"/>
      <c r="E54" s="21"/>
    </row>
    <row r="55" spans="1:5">
      <c r="A55" s="21">
        <v>4</v>
      </c>
      <c r="B55" s="10"/>
      <c r="C55" s="21"/>
      <c r="D55" s="21"/>
      <c r="E55" s="21"/>
    </row>
    <row r="56" spans="1:5">
      <c r="A56" s="21" t="s">
        <v>269</v>
      </c>
      <c r="B56" s="191"/>
      <c r="C56" s="21"/>
      <c r="D56" s="21"/>
      <c r="E56" s="21"/>
    </row>
    <row r="57" spans="1:5">
      <c r="A57" s="21">
        <v>1</v>
      </c>
      <c r="B57" s="10" t="s">
        <v>586</v>
      </c>
      <c r="C57" s="21"/>
      <c r="D57" s="21"/>
      <c r="E57" s="21"/>
    </row>
    <row r="58" spans="1:5">
      <c r="A58" s="21">
        <v>2</v>
      </c>
      <c r="B58" s="10" t="s">
        <v>587</v>
      </c>
      <c r="C58" s="21"/>
      <c r="D58" s="21"/>
      <c r="E58" s="21"/>
    </row>
    <row r="59" spans="1:5">
      <c r="A59" s="21">
        <v>3</v>
      </c>
      <c r="B59" s="10" t="s">
        <v>588</v>
      </c>
      <c r="C59" s="21"/>
      <c r="D59" s="21"/>
      <c r="E59" s="21"/>
    </row>
    <row r="60" spans="1:5">
      <c r="A60" s="21">
        <v>4</v>
      </c>
      <c r="B60" s="10" t="s">
        <v>589</v>
      </c>
      <c r="C60" s="21"/>
      <c r="D60" s="21"/>
      <c r="E60" s="21"/>
    </row>
    <row r="61" spans="1:5">
      <c r="A61" s="21">
        <v>5</v>
      </c>
      <c r="B61" s="10" t="s">
        <v>591</v>
      </c>
      <c r="C61" s="21"/>
      <c r="D61" s="21"/>
      <c r="E61" s="21"/>
    </row>
    <row r="62" spans="1:5">
      <c r="A62" s="21" t="s">
        <v>270</v>
      </c>
      <c r="B62" s="191"/>
      <c r="C62" s="21"/>
      <c r="D62" s="21"/>
      <c r="E62" s="21"/>
    </row>
    <row r="63" spans="1:5">
      <c r="A63" s="21">
        <v>1</v>
      </c>
      <c r="B63" s="10" t="s">
        <v>592</v>
      </c>
      <c r="C63" s="21"/>
      <c r="D63" s="21"/>
      <c r="E63" s="21"/>
    </row>
    <row r="64" spans="1:5">
      <c r="A64" s="21">
        <v>2</v>
      </c>
      <c r="B64" s="10" t="s">
        <v>593</v>
      </c>
      <c r="C64" s="21"/>
      <c r="D64" s="21"/>
      <c r="E64" s="21"/>
    </row>
    <row r="65" spans="1:5">
      <c r="A65" s="21">
        <v>3</v>
      </c>
      <c r="B65" s="10" t="s">
        <v>590</v>
      </c>
      <c r="C65" s="21"/>
      <c r="D65" s="21"/>
      <c r="E65" s="21"/>
    </row>
    <row r="66" spans="1:5">
      <c r="A66" s="21">
        <v>4</v>
      </c>
      <c r="B66" s="10" t="s">
        <v>571</v>
      </c>
      <c r="C66" s="21"/>
      <c r="D66" s="21"/>
      <c r="E66" s="21"/>
    </row>
    <row r="67" spans="1:5">
      <c r="A67" s="21">
        <v>5</v>
      </c>
      <c r="B67" s="10" t="s">
        <v>594</v>
      </c>
      <c r="C67" s="21"/>
      <c r="D67" s="21"/>
      <c r="E67" s="21"/>
    </row>
    <row r="68" spans="1:5">
      <c r="A68" s="21" t="s">
        <v>271</v>
      </c>
      <c r="B68" s="191"/>
      <c r="C68" s="21"/>
      <c r="D68" s="21"/>
      <c r="E68" s="21"/>
    </row>
    <row r="69" spans="1:5">
      <c r="A69" s="21">
        <v>1</v>
      </c>
      <c r="B69" s="10" t="s">
        <v>570</v>
      </c>
      <c r="C69" s="21"/>
      <c r="D69" s="21"/>
      <c r="E69" s="21"/>
    </row>
    <row r="70" spans="1:5">
      <c r="A70" s="21">
        <v>2</v>
      </c>
      <c r="B70" s="10" t="s">
        <v>595</v>
      </c>
      <c r="C70" s="21"/>
      <c r="D70" s="21"/>
      <c r="E70" s="21"/>
    </row>
    <row r="71" spans="1:5">
      <c r="A71" s="21">
        <v>3</v>
      </c>
      <c r="B71" s="10" t="s">
        <v>596</v>
      </c>
      <c r="C71" s="21"/>
      <c r="D71" s="21"/>
      <c r="E71" s="21"/>
    </row>
    <row r="72" spans="1:5">
      <c r="A72" s="21">
        <v>4</v>
      </c>
      <c r="B72" s="10" t="s">
        <v>597</v>
      </c>
      <c r="C72" s="21"/>
      <c r="D72" s="21"/>
      <c r="E72" s="21"/>
    </row>
    <row r="73" spans="1:5">
      <c r="A73" s="21">
        <v>5</v>
      </c>
      <c r="B73" s="10" t="s">
        <v>600</v>
      </c>
      <c r="C73" s="21"/>
      <c r="D73" s="21"/>
      <c r="E73" s="21"/>
    </row>
    <row r="74" spans="1:5">
      <c r="A74" s="21" t="s">
        <v>272</v>
      </c>
      <c r="B74" s="191"/>
      <c r="C74" s="21"/>
      <c r="D74" s="21"/>
      <c r="E74" s="21"/>
    </row>
    <row r="75" spans="1:5">
      <c r="A75" s="21">
        <v>1</v>
      </c>
      <c r="B75" s="10" t="s">
        <v>601</v>
      </c>
      <c r="C75" s="21"/>
      <c r="D75" s="21"/>
      <c r="E75" s="21"/>
    </row>
    <row r="76" spans="1:5">
      <c r="A76" s="21">
        <v>2</v>
      </c>
      <c r="B76" s="10" t="s">
        <v>603</v>
      </c>
      <c r="C76" s="21"/>
      <c r="D76" s="21"/>
      <c r="E76" s="21"/>
    </row>
    <row r="77" spans="1:5">
      <c r="A77" s="21">
        <v>3</v>
      </c>
      <c r="B77" s="10" t="s">
        <v>602</v>
      </c>
      <c r="C77" s="21"/>
      <c r="D77" s="21"/>
      <c r="E77" s="21"/>
    </row>
    <row r="78" spans="1:5">
      <c r="A78" s="21">
        <v>4</v>
      </c>
      <c r="B78" s="10" t="s">
        <v>604</v>
      </c>
      <c r="C78" s="21"/>
      <c r="D78" s="21"/>
      <c r="E78" s="21"/>
    </row>
    <row r="79" spans="1:5">
      <c r="A79" s="21">
        <v>5</v>
      </c>
      <c r="B79" s="10" t="s">
        <v>605</v>
      </c>
      <c r="C79" s="21"/>
      <c r="D79" s="21"/>
      <c r="E79" s="21"/>
    </row>
    <row r="80" spans="1:5">
      <c r="A80" s="21" t="s">
        <v>369</v>
      </c>
      <c r="B80" s="191"/>
      <c r="C80" s="21"/>
      <c r="D80" s="21"/>
      <c r="E80" s="21"/>
    </row>
    <row r="81" spans="1:5">
      <c r="A81" s="21">
        <v>1</v>
      </c>
      <c r="B81" s="10" t="s">
        <v>370</v>
      </c>
      <c r="C81" s="21"/>
      <c r="D81" s="21"/>
      <c r="E81" s="21"/>
    </row>
    <row r="82" spans="1:5">
      <c r="A82" s="21">
        <v>2</v>
      </c>
      <c r="B82" s="10" t="s">
        <v>670</v>
      </c>
      <c r="C82" s="21"/>
      <c r="D82" s="21"/>
      <c r="E82" s="21"/>
    </row>
    <row r="83" spans="1:5">
      <c r="A83" s="21">
        <v>3</v>
      </c>
      <c r="B83" s="10"/>
      <c r="C83" s="21"/>
      <c r="D83" s="21"/>
      <c r="E83" s="21"/>
    </row>
    <row r="84" spans="1:5">
      <c r="A84" s="21">
        <v>4</v>
      </c>
      <c r="B84" s="10"/>
      <c r="C84" s="21"/>
      <c r="D84" s="21"/>
      <c r="E84" s="21"/>
    </row>
    <row r="85" spans="1:5">
      <c r="A85" s="21">
        <v>5</v>
      </c>
      <c r="B85" s="10"/>
      <c r="C85" s="21"/>
      <c r="D85" s="21"/>
      <c r="E85" s="21"/>
    </row>
    <row r="86" spans="1:5">
      <c r="A86" s="130"/>
      <c r="B86" s="106"/>
      <c r="C86" s="106"/>
      <c r="D86" s="106"/>
      <c r="E86" s="169"/>
    </row>
    <row r="87" spans="1:5">
      <c r="A87" s="21"/>
      <c r="B87" s="21"/>
      <c r="C87" s="21"/>
      <c r="D87" s="21"/>
      <c r="E87" s="21"/>
    </row>
    <row r="88" spans="1:5">
      <c r="A88" s="21"/>
      <c r="B88" s="21"/>
      <c r="C88" s="21"/>
      <c r="D88" s="184" t="str">
        <f>CONCATENATE("",C5-3," Tax Levy Rate")</f>
        <v>2010 Tax Levy Rate</v>
      </c>
      <c r="E88" s="21"/>
    </row>
    <row r="89" spans="1:5">
      <c r="A89" s="123" t="str">
        <f>CONCATENATE("From the ",C5-1," Budget, Budget Summary Page")</f>
        <v>From the 2012 Budget, Budget Summary Page</v>
      </c>
      <c r="B89" s="124"/>
      <c r="C89" s="21"/>
      <c r="D89" s="185" t="str">
        <f>CONCATENATE("(",C5-2," Column)")</f>
        <v>(2011 Column)</v>
      </c>
      <c r="E89" s="21"/>
    </row>
    <row r="90" spans="1:5">
      <c r="A90" s="21"/>
      <c r="B90" s="40" t="str">
        <f>B16</f>
        <v>General</v>
      </c>
      <c r="C90" s="21"/>
      <c r="D90" s="10">
        <v>36.470999999999997</v>
      </c>
      <c r="E90" s="21"/>
    </row>
    <row r="91" spans="1:5">
      <c r="A91" s="21"/>
      <c r="B91" s="40" t="str">
        <f>B17</f>
        <v>Bond &amp; Interest</v>
      </c>
      <c r="C91" s="21"/>
      <c r="D91" s="10">
        <v>0</v>
      </c>
      <c r="E91" s="21"/>
    </row>
    <row r="92" spans="1:5">
      <c r="A92" s="21"/>
      <c r="B92" s="40" t="str">
        <f>B19</f>
        <v>Library</v>
      </c>
      <c r="C92" s="21"/>
      <c r="D92" s="10">
        <v>3.085</v>
      </c>
      <c r="E92" s="21"/>
    </row>
    <row r="93" spans="1:5">
      <c r="A93" s="21"/>
      <c r="B93" s="40" t="str">
        <f>B20</f>
        <v>Employee Benefits</v>
      </c>
      <c r="C93" s="21"/>
      <c r="D93" s="10">
        <v>0</v>
      </c>
      <c r="E93" s="21"/>
    </row>
    <row r="94" spans="1:5">
      <c r="A94" s="21"/>
      <c r="B94" s="40">
        <f>B21</f>
        <v>0</v>
      </c>
      <c r="C94" s="21"/>
      <c r="D94" s="10"/>
      <c r="E94" s="21"/>
    </row>
    <row r="95" spans="1:5">
      <c r="A95" s="21"/>
      <c r="B95" s="40">
        <f t="shared" ref="B95:B101" si="0">B22</f>
        <v>0</v>
      </c>
      <c r="C95" s="21"/>
      <c r="D95" s="10"/>
      <c r="E95" s="21"/>
    </row>
    <row r="96" spans="1:5">
      <c r="A96" s="21"/>
      <c r="B96" s="40">
        <f t="shared" si="0"/>
        <v>0</v>
      </c>
      <c r="C96" s="21"/>
      <c r="D96" s="10"/>
      <c r="E96" s="21"/>
    </row>
    <row r="97" spans="1:5">
      <c r="A97" s="21"/>
      <c r="B97" s="40">
        <f t="shared" si="0"/>
        <v>0</v>
      </c>
      <c r="C97" s="21"/>
      <c r="D97" s="10"/>
      <c r="E97" s="21"/>
    </row>
    <row r="98" spans="1:5">
      <c r="A98" s="21"/>
      <c r="B98" s="40">
        <f t="shared" si="0"/>
        <v>0</v>
      </c>
      <c r="C98" s="21"/>
      <c r="D98" s="10"/>
      <c r="E98" s="21"/>
    </row>
    <row r="99" spans="1:5">
      <c r="A99" s="21"/>
      <c r="B99" s="40">
        <f t="shared" si="0"/>
        <v>0</v>
      </c>
      <c r="C99" s="21"/>
      <c r="D99" s="10"/>
      <c r="E99" s="21"/>
    </row>
    <row r="100" spans="1:5">
      <c r="A100" s="21"/>
      <c r="B100" s="40">
        <f t="shared" si="0"/>
        <v>0</v>
      </c>
      <c r="C100" s="21"/>
      <c r="D100" s="10"/>
      <c r="E100" s="21"/>
    </row>
    <row r="101" spans="1:5">
      <c r="A101" s="21"/>
      <c r="B101" s="40">
        <f t="shared" si="0"/>
        <v>0</v>
      </c>
      <c r="C101" s="21"/>
      <c r="D101" s="10"/>
      <c r="E101" s="21"/>
    </row>
    <row r="102" spans="1:5">
      <c r="A102" s="111" t="s">
        <v>13</v>
      </c>
      <c r="B102" s="20"/>
      <c r="C102" s="117"/>
      <c r="D102" s="259">
        <f>SUM(D90:D101)</f>
        <v>39.555999999999997</v>
      </c>
      <c r="E102" s="21"/>
    </row>
    <row r="103" spans="1:5">
      <c r="A103" s="21"/>
      <c r="B103" s="21"/>
      <c r="C103" s="21"/>
      <c r="D103" s="21"/>
      <c r="E103" s="21"/>
    </row>
    <row r="104" spans="1:5">
      <c r="A104" s="234" t="str">
        <f>CONCATENATE("Total Levy Dollar Amount (",C5-2," budget column)")</f>
        <v>Total Levy Dollar Amount (2011 budget column)</v>
      </c>
      <c r="B104" s="235"/>
      <c r="C104" s="20"/>
      <c r="D104" s="117"/>
      <c r="E104" s="9">
        <v>4236286</v>
      </c>
    </row>
    <row r="105" spans="1:5">
      <c r="A105" s="236" t="str">
        <f>CONCATENATE("Assessed Valuation for ",C5-3," (",C5-2," budget column)")</f>
        <v>Assessed Valuation for 2010 (2011 budget column)</v>
      </c>
      <c r="B105" s="237"/>
      <c r="C105" s="115"/>
      <c r="D105" s="38"/>
      <c r="E105" s="9">
        <v>107095234</v>
      </c>
    </row>
    <row r="106" spans="1:5">
      <c r="A106" s="130"/>
      <c r="B106" s="106"/>
      <c r="C106" s="106"/>
      <c r="D106" s="106"/>
      <c r="E106" s="169"/>
    </row>
    <row r="107" spans="1:5">
      <c r="A107" s="233" t="str">
        <f>CONCATENATE("From the ",C5-1," Budget, Budget Summary Page")</f>
        <v>From the 2012 Budget, Budget Summary Page</v>
      </c>
      <c r="B107" s="290"/>
      <c r="C107" s="21"/>
      <c r="D107" s="186"/>
      <c r="E107" s="65"/>
    </row>
    <row r="108" spans="1:5">
      <c r="A108" s="126" t="s">
        <v>325</v>
      </c>
      <c r="B108" s="126"/>
      <c r="C108" s="136"/>
      <c r="D108" s="187">
        <f>C5-3</f>
        <v>2010</v>
      </c>
      <c r="E108" s="188">
        <f>C5-2</f>
        <v>2011</v>
      </c>
    </row>
    <row r="109" spans="1:5">
      <c r="A109" s="291" t="s">
        <v>229</v>
      </c>
      <c r="B109" s="291"/>
      <c r="C109" s="189"/>
      <c r="D109" s="17">
        <v>10215000</v>
      </c>
      <c r="E109" s="17">
        <v>9310000</v>
      </c>
    </row>
    <row r="110" spans="1:5">
      <c r="A110" s="292" t="s">
        <v>230</v>
      </c>
      <c r="B110" s="292"/>
      <c r="C110" s="190"/>
      <c r="D110" s="17">
        <v>0</v>
      </c>
      <c r="E110" s="17">
        <v>0</v>
      </c>
    </row>
    <row r="111" spans="1:5">
      <c r="A111" s="292" t="s">
        <v>231</v>
      </c>
      <c r="B111" s="292"/>
      <c r="C111" s="190"/>
      <c r="D111" s="17">
        <v>14559767</v>
      </c>
      <c r="E111" s="17">
        <v>14264168</v>
      </c>
    </row>
    <row r="112" spans="1:5">
      <c r="A112" s="292" t="s">
        <v>232</v>
      </c>
      <c r="B112" s="292"/>
      <c r="C112" s="190"/>
      <c r="D112" s="17">
        <v>2028561</v>
      </c>
      <c r="E112" s="17">
        <v>1803242</v>
      </c>
    </row>
    <row r="113" spans="1:5">
      <c r="A113"/>
      <c r="B113"/>
      <c r="C113"/>
      <c r="D113"/>
      <c r="E113"/>
    </row>
    <row r="114" spans="1:5">
      <c r="A114"/>
      <c r="B114"/>
      <c r="C114"/>
      <c r="D114"/>
      <c r="E114"/>
    </row>
    <row r="115" spans="1:5">
      <c r="A115"/>
      <c r="B115"/>
      <c r="C115"/>
      <c r="D115"/>
      <c r="E115"/>
    </row>
    <row r="116" spans="1:5">
      <c r="A116"/>
      <c r="B116"/>
      <c r="C116"/>
      <c r="D116"/>
      <c r="E116"/>
    </row>
    <row r="117" spans="1:5">
      <c r="A117"/>
      <c r="B117"/>
      <c r="C117"/>
      <c r="D117"/>
      <c r="E117"/>
    </row>
    <row r="118" spans="1:5">
      <c r="A118"/>
      <c r="B118"/>
      <c r="C118"/>
      <c r="D118"/>
      <c r="E118"/>
    </row>
    <row r="119" spans="1:5" customFormat="1" ht="15"/>
    <row r="120" spans="1:5">
      <c r="A120"/>
      <c r="B120"/>
      <c r="C120"/>
      <c r="D120"/>
      <c r="E120"/>
    </row>
    <row r="121" spans="1:5">
      <c r="A121"/>
      <c r="B121"/>
      <c r="C121"/>
      <c r="D121"/>
      <c r="E121"/>
    </row>
    <row r="122" spans="1:5">
      <c r="A122"/>
      <c r="B122"/>
      <c r="C122"/>
      <c r="D122"/>
      <c r="E122"/>
    </row>
    <row r="123" spans="1:5">
      <c r="A123"/>
      <c r="B123"/>
      <c r="C123"/>
      <c r="D123"/>
      <c r="E123"/>
    </row>
    <row r="124" spans="1:5">
      <c r="A124"/>
      <c r="B124"/>
      <c r="C124"/>
      <c r="D124"/>
      <c r="E124"/>
    </row>
    <row r="125" spans="1:5">
      <c r="A125"/>
      <c r="B125"/>
      <c r="C125"/>
      <c r="D125"/>
      <c r="E125"/>
    </row>
    <row r="126" spans="1:5">
      <c r="A126"/>
      <c r="B126"/>
      <c r="C126"/>
      <c r="D126"/>
      <c r="E126"/>
    </row>
    <row r="127" spans="1:5">
      <c r="A127"/>
      <c r="B127"/>
      <c r="C127"/>
      <c r="D127"/>
      <c r="E127"/>
    </row>
    <row r="128" spans="1:5">
      <c r="A128"/>
      <c r="B128"/>
      <c r="C128"/>
      <c r="D128"/>
      <c r="E128"/>
    </row>
    <row r="129" spans="1:5">
      <c r="A129"/>
      <c r="B129"/>
      <c r="C129"/>
      <c r="D129"/>
      <c r="E129"/>
    </row>
    <row r="130" spans="1:5">
      <c r="A130"/>
      <c r="B130"/>
      <c r="C130"/>
      <c r="D130"/>
      <c r="E130"/>
    </row>
  </sheetData>
  <mergeCells count="2">
    <mergeCell ref="A10:E10"/>
    <mergeCell ref="A1:E1"/>
  </mergeCells>
  <phoneticPr fontId="0" type="noConversion"/>
  <pageMargins left="0.5" right="0.5" top="1" bottom="0.5" header="0.5" footer="0.25"/>
  <pageSetup scale="70" fitToHeight="2" orientation="portrait" blackAndWhite="1" horizontalDpi="120" verticalDpi="144" r:id="rId1"/>
  <headerFooter alignWithMargins="0">
    <oddFooter>&amp;Lrevised 8/06/07</oddFooter>
  </headerFooter>
  <rowBreaks count="1" manualBreakCount="1">
    <brk id="61" max="4" man="1"/>
  </rowBreaks>
</worksheet>
</file>

<file path=xl/worksheets/sheet20.xml><?xml version="1.0" encoding="utf-8"?>
<worksheet xmlns="http://schemas.openxmlformats.org/spreadsheetml/2006/main" xmlns:r="http://schemas.openxmlformats.org/officeDocument/2006/relationships">
  <sheetPr>
    <pageSetUpPr fitToPage="1"/>
  </sheetPr>
  <dimension ref="A1:E74"/>
  <sheetViews>
    <sheetView view="pageBreakPreview" topLeftCell="A10" zoomScaleNormal="100" workbookViewId="0">
      <selection activeCell="H58" sqref="H58"/>
    </sheetView>
  </sheetViews>
  <sheetFormatPr defaultRowHeight="15.75"/>
  <cols>
    <col min="1" max="1" width="28.77734375" style="7" customWidth="1"/>
    <col min="2" max="2" width="9.5546875" style="7" customWidth="1"/>
    <col min="3" max="4" width="16.44140625" style="7" customWidth="1"/>
    <col min="5" max="5" width="16.44140625" style="7" bestFit="1" customWidth="1"/>
    <col min="6" max="16384" width="8.88671875" style="7"/>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62</v>
      </c>
      <c r="D4" s="33" t="s">
        <v>205</v>
      </c>
      <c r="E4" s="33" t="s">
        <v>206</v>
      </c>
    </row>
    <row r="5" spans="1:5">
      <c r="A5" s="137" t="str">
        <f>inputPrYr!B38</f>
        <v>Airport</v>
      </c>
      <c r="B5" s="137"/>
      <c r="C5" s="145">
        <f>E1-2</f>
        <v>2011</v>
      </c>
      <c r="D5" s="145">
        <f>E1-1</f>
        <v>2012</v>
      </c>
      <c r="E5" s="145">
        <f>E1</f>
        <v>2013</v>
      </c>
    </row>
    <row r="6" spans="1:5">
      <c r="A6" s="311" t="s">
        <v>176</v>
      </c>
      <c r="B6" s="317"/>
      <c r="C6" s="313">
        <v>8521.39</v>
      </c>
      <c r="D6" s="85">
        <f>C31</f>
        <v>10587.86</v>
      </c>
      <c r="E6" s="85">
        <f>D31</f>
        <v>13217.86</v>
      </c>
    </row>
    <row r="7" spans="1:5">
      <c r="A7" s="316" t="s">
        <v>178</v>
      </c>
      <c r="B7" s="317"/>
      <c r="C7" s="305"/>
      <c r="D7" s="40"/>
      <c r="E7" s="40"/>
    </row>
    <row r="8" spans="1:5">
      <c r="A8" s="301" t="s">
        <v>460</v>
      </c>
      <c r="B8" s="318"/>
      <c r="C8" s="313">
        <f>17195+4800+7400</f>
        <v>29395</v>
      </c>
      <c r="D8" s="9">
        <f>23040+4800+7000</f>
        <v>34840</v>
      </c>
      <c r="E8" s="9">
        <f>23040+4800+7000</f>
        <v>34840</v>
      </c>
    </row>
    <row r="9" spans="1:5">
      <c r="A9" s="301" t="s">
        <v>434</v>
      </c>
      <c r="B9" s="318"/>
      <c r="C9" s="313">
        <v>0</v>
      </c>
      <c r="D9" s="9">
        <v>0</v>
      </c>
      <c r="E9" s="9">
        <v>0</v>
      </c>
    </row>
    <row r="10" spans="1:5">
      <c r="A10" s="301" t="s">
        <v>461</v>
      </c>
      <c r="B10" s="318"/>
      <c r="C10" s="313">
        <v>0</v>
      </c>
      <c r="D10" s="9">
        <v>0</v>
      </c>
      <c r="E10" s="9">
        <v>0</v>
      </c>
    </row>
    <row r="11" spans="1:5">
      <c r="A11" s="301" t="s">
        <v>661</v>
      </c>
      <c r="B11" s="318"/>
      <c r="C11" s="313">
        <v>1554.5</v>
      </c>
      <c r="D11" s="9">
        <v>0</v>
      </c>
      <c r="E11" s="9">
        <v>0</v>
      </c>
    </row>
    <row r="12" spans="1:5">
      <c r="A12" s="301"/>
      <c r="B12" s="318"/>
      <c r="C12" s="313"/>
      <c r="D12" s="9"/>
      <c r="E12" s="9"/>
    </row>
    <row r="13" spans="1:5">
      <c r="A13" s="321" t="s">
        <v>351</v>
      </c>
      <c r="B13" s="317"/>
      <c r="C13" s="313">
        <v>0</v>
      </c>
      <c r="D13" s="313">
        <v>0</v>
      </c>
      <c r="E13" s="313">
        <v>0</v>
      </c>
    </row>
    <row r="14" spans="1:5">
      <c r="A14" s="311" t="s">
        <v>353</v>
      </c>
      <c r="B14" s="317"/>
      <c r="C14" s="355" t="str">
        <f>IF(C15*0.1&lt;C13,"Exceed 10% Rule","")</f>
        <v/>
      </c>
      <c r="D14" s="355" t="str">
        <f>IF(D15*0.1&lt;D13,"Exceed 10% Rule","")</f>
        <v/>
      </c>
      <c r="E14" s="355" t="str">
        <f>IF(E15*0.1&lt;E13,"Exceed 10% Rule","")</f>
        <v/>
      </c>
    </row>
    <row r="15" spans="1:5">
      <c r="A15" s="151" t="s">
        <v>47</v>
      </c>
      <c r="B15" s="317"/>
      <c r="C15" s="314">
        <f>SUM(C8:C13)</f>
        <v>30949.5</v>
      </c>
      <c r="D15" s="263">
        <f>SUM(D8:D13)</f>
        <v>34840</v>
      </c>
      <c r="E15" s="263">
        <f>SUM(E8:E13)</f>
        <v>34840</v>
      </c>
    </row>
    <row r="16" spans="1:5">
      <c r="A16" s="151" t="s">
        <v>48</v>
      </c>
      <c r="B16" s="317"/>
      <c r="C16" s="314">
        <f>C6+C15</f>
        <v>39470.89</v>
      </c>
      <c r="D16" s="263">
        <f>D6+D15</f>
        <v>45427.86</v>
      </c>
      <c r="E16" s="263">
        <f>E6+E15</f>
        <v>48057.86</v>
      </c>
    </row>
    <row r="17" spans="1:5">
      <c r="A17" s="37" t="s">
        <v>50</v>
      </c>
      <c r="B17" s="317"/>
      <c r="C17" s="119"/>
      <c r="D17" s="85"/>
      <c r="E17" s="85"/>
    </row>
    <row r="18" spans="1:5">
      <c r="A18" s="312" t="s">
        <v>442</v>
      </c>
      <c r="B18" s="318"/>
      <c r="C18" s="313">
        <v>831.75</v>
      </c>
      <c r="D18" s="9">
        <v>800</v>
      </c>
      <c r="E18" s="9">
        <v>880</v>
      </c>
    </row>
    <row r="19" spans="1:5">
      <c r="A19" s="312" t="s">
        <v>444</v>
      </c>
      <c r="B19" s="318"/>
      <c r="C19" s="313">
        <f>18656.16+1427.18</f>
        <v>20083.34</v>
      </c>
      <c r="D19" s="9">
        <f>19060+2300</f>
        <v>21360</v>
      </c>
      <c r="E19" s="9">
        <f>19810+2500</f>
        <v>22310</v>
      </c>
    </row>
    <row r="20" spans="1:5">
      <c r="A20" s="312" t="s">
        <v>445</v>
      </c>
      <c r="B20" s="318"/>
      <c r="C20" s="313">
        <v>7967.94</v>
      </c>
      <c r="D20" s="9">
        <v>9350</v>
      </c>
      <c r="E20" s="9">
        <v>9350</v>
      </c>
    </row>
    <row r="21" spans="1:5">
      <c r="A21" s="312" t="s">
        <v>446</v>
      </c>
      <c r="B21" s="318"/>
      <c r="C21" s="313">
        <v>0</v>
      </c>
      <c r="D21" s="9">
        <v>700</v>
      </c>
      <c r="E21" s="9">
        <v>15517.86</v>
      </c>
    </row>
    <row r="22" spans="1:5">
      <c r="A22" s="312"/>
      <c r="B22" s="318"/>
      <c r="C22" s="313"/>
      <c r="D22" s="9"/>
      <c r="E22" s="9"/>
    </row>
    <row r="23" spans="1:5">
      <c r="A23" s="312"/>
      <c r="B23" s="318"/>
      <c r="C23" s="313"/>
      <c r="D23" s="9"/>
      <c r="E23" s="9"/>
    </row>
    <row r="24" spans="1:5">
      <c r="A24" s="312"/>
      <c r="B24" s="318"/>
      <c r="C24" s="313"/>
      <c r="D24" s="9"/>
      <c r="E24" s="9"/>
    </row>
    <row r="25" spans="1:5">
      <c r="A25" s="312"/>
      <c r="B25" s="318"/>
      <c r="C25" s="313"/>
      <c r="D25" s="9"/>
      <c r="E25" s="9"/>
    </row>
    <row r="26" spans="1:5">
      <c r="A26" s="312"/>
      <c r="B26" s="318"/>
      <c r="C26" s="313"/>
      <c r="D26" s="9"/>
      <c r="E26" s="9"/>
    </row>
    <row r="27" spans="1:5">
      <c r="A27" s="312"/>
      <c r="B27" s="318"/>
      <c r="C27" s="313"/>
      <c r="D27" s="9"/>
      <c r="E27" s="9"/>
    </row>
    <row r="28" spans="1:5">
      <c r="A28" s="319" t="s">
        <v>351</v>
      </c>
      <c r="B28" s="317"/>
      <c r="C28" s="313"/>
      <c r="D28" s="313"/>
      <c r="E28" s="313"/>
    </row>
    <row r="29" spans="1:5">
      <c r="A29" s="319" t="s">
        <v>352</v>
      </c>
      <c r="B29" s="317"/>
      <c r="C29" s="355" t="str">
        <f>IF(C30*0.1&lt;C28,"Exceed 10% Rule","")</f>
        <v/>
      </c>
      <c r="D29" s="355" t="str">
        <f>IF(D30*0.1&lt;D28,"Exceed 10% Rule","")</f>
        <v/>
      </c>
      <c r="E29" s="355" t="str">
        <f>IF(E30*0.1&lt;E28,"Exceed 10% Rule","")</f>
        <v/>
      </c>
    </row>
    <row r="30" spans="1:5">
      <c r="A30" s="151" t="s">
        <v>54</v>
      </c>
      <c r="B30" s="317"/>
      <c r="C30" s="314">
        <f>SUM(C18:C28)</f>
        <v>28883.03</v>
      </c>
      <c r="D30" s="263">
        <f>SUM(D18:D28)</f>
        <v>32210</v>
      </c>
      <c r="E30" s="263">
        <f>SUM(E18:E28)</f>
        <v>48057.86</v>
      </c>
    </row>
    <row r="31" spans="1:5">
      <c r="A31" s="37" t="s">
        <v>177</v>
      </c>
      <c r="B31" s="317"/>
      <c r="C31" s="315">
        <f>C16-C30</f>
        <v>10587.86</v>
      </c>
      <c r="D31" s="262">
        <f>D16-D30</f>
        <v>13217.86</v>
      </c>
      <c r="E31" s="262">
        <f>E16-E30</f>
        <v>0</v>
      </c>
    </row>
    <row r="32" spans="1:5">
      <c r="A32" s="23" t="str">
        <f>CONCATENATE("",E1-2," Budget Authority Limited Amount:")</f>
        <v>2011 Budget Authority Limited Amount:</v>
      </c>
      <c r="B32" s="338">
        <f>inputOth!B69</f>
        <v>40266</v>
      </c>
      <c r="C32" s="65"/>
      <c r="D32" s="65"/>
      <c r="E32" s="65"/>
    </row>
    <row r="33" spans="1:5">
      <c r="A33" s="23" t="str">
        <f>CONCATENATE("Violation of Budget Law for ",E1-2,":")</f>
        <v>Violation of Budget Law for 2011:</v>
      </c>
      <c r="B33" s="339" t="str">
        <f>IF(C30&gt;B32,"Yes","")</f>
        <v/>
      </c>
      <c r="C33" s="65"/>
      <c r="D33" s="65"/>
      <c r="E33" s="65"/>
    </row>
    <row r="34" spans="1:5">
      <c r="A34" s="23" t="str">
        <f>CONCATENATE("Possible Cash Violation for ",E1-2,":")</f>
        <v>Possible Cash Violation for 2011:</v>
      </c>
      <c r="B34" s="339" t="str">
        <f>IF(C31&lt;0,"Yes","")</f>
        <v/>
      </c>
      <c r="C34" s="65"/>
      <c r="D34" s="65"/>
      <c r="E34" s="65"/>
    </row>
    <row r="35" spans="1:5">
      <c r="A35" s="21"/>
      <c r="B35" s="21"/>
      <c r="C35" s="65"/>
      <c r="D35" s="65"/>
      <c r="E35" s="65"/>
    </row>
    <row r="36" spans="1:5">
      <c r="A36" s="25" t="s">
        <v>41</v>
      </c>
      <c r="B36" s="25"/>
      <c r="C36" s="102"/>
      <c r="D36" s="102"/>
      <c r="E36" s="102"/>
    </row>
    <row r="37" spans="1:5">
      <c r="A37" s="21"/>
      <c r="B37" s="21"/>
      <c r="C37" s="93" t="s">
        <v>62</v>
      </c>
      <c r="D37" s="33" t="s">
        <v>205</v>
      </c>
      <c r="E37" s="33" t="s">
        <v>206</v>
      </c>
    </row>
    <row r="38" spans="1:5">
      <c r="A38" s="137" t="str">
        <f>inputPrYr!B39</f>
        <v>Hillcrest Golf Course</v>
      </c>
      <c r="B38" s="137"/>
      <c r="C38" s="145">
        <f>C5</f>
        <v>2011</v>
      </c>
      <c r="D38" s="145">
        <f>D5</f>
        <v>2012</v>
      </c>
      <c r="E38" s="145">
        <f>E5</f>
        <v>2013</v>
      </c>
    </row>
    <row r="39" spans="1:5">
      <c r="A39" s="311" t="s">
        <v>176</v>
      </c>
      <c r="B39" s="317"/>
      <c r="C39" s="313">
        <v>1671.53</v>
      </c>
      <c r="D39" s="85">
        <f>C70</f>
        <v>721.25999999995111</v>
      </c>
      <c r="E39" s="85">
        <f>D70</f>
        <v>1721.6499999999651</v>
      </c>
    </row>
    <row r="40" spans="1:5">
      <c r="A40" s="379" t="s">
        <v>178</v>
      </c>
      <c r="B40" s="352"/>
      <c r="C40" s="305"/>
      <c r="D40" s="40"/>
      <c r="E40" s="40"/>
    </row>
    <row r="41" spans="1:5">
      <c r="A41" s="301" t="s">
        <v>557</v>
      </c>
      <c r="B41" s="318"/>
      <c r="C41" s="313">
        <f>1213+33213.99+162</f>
        <v>34588.99</v>
      </c>
      <c r="D41" s="9">
        <f>1100+150+35000</f>
        <v>36250</v>
      </c>
      <c r="E41" s="9">
        <f>1100+150+35000</f>
        <v>36250</v>
      </c>
    </row>
    <row r="42" spans="1:5">
      <c r="A42" s="301" t="s">
        <v>682</v>
      </c>
      <c r="B42" s="372"/>
      <c r="C42" s="313">
        <f>55665+91125.29+0</f>
        <v>146790.28999999998</v>
      </c>
      <c r="D42" s="9">
        <f>56000+90000+0</f>
        <v>146000</v>
      </c>
      <c r="E42" s="9">
        <f>58000+90000</f>
        <v>148000</v>
      </c>
    </row>
    <row r="43" spans="1:5">
      <c r="A43" s="301" t="s">
        <v>462</v>
      </c>
      <c r="B43" s="318"/>
      <c r="C43" s="313">
        <v>7032.5</v>
      </c>
      <c r="D43" s="9">
        <v>7500</v>
      </c>
      <c r="E43" s="9">
        <v>7500</v>
      </c>
    </row>
    <row r="44" spans="1:5">
      <c r="A44" s="301" t="s">
        <v>463</v>
      </c>
      <c r="B44" s="318"/>
      <c r="C44" s="313">
        <f>17037.43+20173.56+19575.77</f>
        <v>56786.760000000009</v>
      </c>
      <c r="D44" s="9">
        <f>20000+18000+19000</f>
        <v>57000</v>
      </c>
      <c r="E44" s="9">
        <f>20000+18000+12000</f>
        <v>50000</v>
      </c>
    </row>
    <row r="45" spans="1:5">
      <c r="A45" s="301" t="s">
        <v>464</v>
      </c>
      <c r="B45" s="318"/>
      <c r="C45" s="313">
        <v>25125</v>
      </c>
      <c r="D45" s="9">
        <v>18000</v>
      </c>
      <c r="E45" s="9">
        <v>18000</v>
      </c>
    </row>
    <row r="46" spans="1:5">
      <c r="A46" s="301" t="s">
        <v>465</v>
      </c>
      <c r="B46" s="318"/>
      <c r="C46" s="313">
        <v>101000</v>
      </c>
      <c r="D46" s="9">
        <v>95000</v>
      </c>
      <c r="E46" s="9">
        <v>48000</v>
      </c>
    </row>
    <row r="47" spans="1:5">
      <c r="A47" s="301" t="s">
        <v>558</v>
      </c>
      <c r="B47" s="318"/>
      <c r="C47" s="313">
        <v>1855</v>
      </c>
      <c r="D47" s="9">
        <v>2000</v>
      </c>
      <c r="E47" s="9">
        <v>2500</v>
      </c>
    </row>
    <row r="48" spans="1:5">
      <c r="A48" s="301" t="s">
        <v>432</v>
      </c>
      <c r="B48" s="318"/>
      <c r="C48" s="313">
        <v>0</v>
      </c>
      <c r="D48" s="9">
        <v>2480</v>
      </c>
      <c r="E48" s="9">
        <v>23808</v>
      </c>
    </row>
    <row r="49" spans="1:5">
      <c r="A49" s="321" t="s">
        <v>351</v>
      </c>
      <c r="B49" s="317"/>
      <c r="C49" s="313">
        <f>8364.03+30+28.15-1140.61+348.48</f>
        <v>7630.0500000000011</v>
      </c>
      <c r="D49" s="9">
        <f>8000+50</f>
        <v>8050</v>
      </c>
      <c r="E49" s="9">
        <f>8000+50</f>
        <v>8050</v>
      </c>
    </row>
    <row r="50" spans="1:5">
      <c r="A50" s="311" t="s">
        <v>353</v>
      </c>
      <c r="B50" s="317"/>
      <c r="C50" s="355" t="str">
        <f>IF(C51*0.1&lt;C49,"Exceed 10% Rule","")</f>
        <v/>
      </c>
      <c r="D50" s="355" t="str">
        <f>IF(D51*0.1&lt;D49,"Exceed 10% Rule","")</f>
        <v/>
      </c>
      <c r="E50" s="355" t="str">
        <f>IF(E51*0.1&lt;E49,"Exceed 10% Rule","")</f>
        <v/>
      </c>
    </row>
    <row r="51" spans="1:5">
      <c r="A51" s="151" t="s">
        <v>47</v>
      </c>
      <c r="B51" s="317"/>
      <c r="C51" s="314">
        <f>SUM(C41:C49)</f>
        <v>380808.58999999997</v>
      </c>
      <c r="D51" s="263">
        <f>SUM(D41:D49)</f>
        <v>372280</v>
      </c>
      <c r="E51" s="263">
        <f>SUM(E41:E49)</f>
        <v>342108</v>
      </c>
    </row>
    <row r="52" spans="1:5">
      <c r="A52" s="151" t="s">
        <v>48</v>
      </c>
      <c r="B52" s="317"/>
      <c r="C52" s="314">
        <f>C39+C51</f>
        <v>382480.12</v>
      </c>
      <c r="D52" s="263">
        <f>D39+D51</f>
        <v>373001.25999999995</v>
      </c>
      <c r="E52" s="263">
        <f>E39+E51</f>
        <v>343829.64999999997</v>
      </c>
    </row>
    <row r="53" spans="1:5">
      <c r="A53" s="375" t="s">
        <v>50</v>
      </c>
      <c r="B53" s="352"/>
      <c r="C53" s="119"/>
      <c r="D53" s="85"/>
      <c r="E53" s="85"/>
    </row>
    <row r="54" spans="1:5">
      <c r="A54" s="301" t="s">
        <v>442</v>
      </c>
      <c r="B54" s="318"/>
      <c r="C54" s="313">
        <v>187420.79</v>
      </c>
      <c r="D54" s="9">
        <v>213204.61</v>
      </c>
      <c r="E54" s="9">
        <v>182940.64</v>
      </c>
    </row>
    <row r="55" spans="1:5">
      <c r="A55" s="301" t="s">
        <v>443</v>
      </c>
      <c r="B55" s="372"/>
      <c r="C55" s="313">
        <f>22704.06+30716.06</f>
        <v>53420.12</v>
      </c>
      <c r="D55" s="9">
        <f>30450+21300</f>
        <v>51750</v>
      </c>
      <c r="E55" s="9">
        <f>29170+26300</f>
        <v>55470</v>
      </c>
    </row>
    <row r="56" spans="1:5">
      <c r="A56" s="301" t="s">
        <v>445</v>
      </c>
      <c r="B56" s="318"/>
      <c r="C56" s="313">
        <v>129212.55</v>
      </c>
      <c r="D56" s="9">
        <v>96825</v>
      </c>
      <c r="E56" s="9">
        <v>98325</v>
      </c>
    </row>
    <row r="57" spans="1:5">
      <c r="A57" s="301" t="s">
        <v>446</v>
      </c>
      <c r="B57" s="318"/>
      <c r="C57" s="313">
        <v>11705.4</v>
      </c>
      <c r="D57" s="9">
        <v>9500</v>
      </c>
      <c r="E57" s="9">
        <v>7094.02</v>
      </c>
    </row>
    <row r="58" spans="1:5">
      <c r="A58" s="301"/>
      <c r="B58" s="318"/>
      <c r="C58" s="313"/>
      <c r="D58" s="9"/>
      <c r="E58" s="9"/>
    </row>
    <row r="59" spans="1:5">
      <c r="A59" s="301"/>
      <c r="B59" s="318"/>
      <c r="C59" s="313"/>
      <c r="D59" s="9"/>
      <c r="E59" s="9"/>
    </row>
    <row r="60" spans="1:5">
      <c r="A60" s="301"/>
      <c r="B60" s="318"/>
      <c r="C60" s="313"/>
      <c r="D60" s="9"/>
      <c r="E60" s="9"/>
    </row>
    <row r="61" spans="1:5">
      <c r="A61" s="301"/>
      <c r="B61" s="318"/>
      <c r="C61" s="313"/>
      <c r="D61" s="9"/>
      <c r="E61" s="9"/>
    </row>
    <row r="62" spans="1:5">
      <c r="A62" s="301"/>
      <c r="B62" s="318"/>
      <c r="C62" s="313"/>
      <c r="D62" s="9"/>
      <c r="E62" s="9"/>
    </row>
    <row r="63" spans="1:5">
      <c r="A63" s="301"/>
      <c r="B63" s="318"/>
      <c r="C63" s="313"/>
      <c r="D63" s="9"/>
      <c r="E63" s="9"/>
    </row>
    <row r="64" spans="1:5">
      <c r="A64" s="301"/>
      <c r="B64" s="318"/>
      <c r="C64" s="313"/>
      <c r="D64" s="9"/>
      <c r="E64" s="9"/>
    </row>
    <row r="65" spans="1:5">
      <c r="A65" s="301"/>
      <c r="B65" s="318"/>
      <c r="C65" s="313"/>
      <c r="D65" s="9"/>
      <c r="E65" s="9"/>
    </row>
    <row r="66" spans="1:5">
      <c r="A66" s="301"/>
      <c r="B66" s="318"/>
      <c r="C66" s="313"/>
      <c r="D66" s="9"/>
      <c r="E66" s="9"/>
    </row>
    <row r="67" spans="1:5">
      <c r="A67" s="319" t="s">
        <v>351</v>
      </c>
      <c r="B67" s="317"/>
      <c r="C67" s="313"/>
      <c r="D67" s="313"/>
      <c r="E67" s="313"/>
    </row>
    <row r="68" spans="1:5">
      <c r="A68" s="319" t="s">
        <v>352</v>
      </c>
      <c r="B68" s="317"/>
      <c r="C68" s="355" t="str">
        <f>IF(C69*0.1&lt;C67,"Exceed 10% Rule","")</f>
        <v/>
      </c>
      <c r="D68" s="355" t="str">
        <f>IF(D69*0.1&lt;D67,"Exceed 10% Rule","")</f>
        <v/>
      </c>
      <c r="E68" s="355" t="str">
        <f>IF(E69*0.1&lt;E67,"Exceed 10% Rule","")</f>
        <v/>
      </c>
    </row>
    <row r="69" spans="1:5">
      <c r="A69" s="151" t="s">
        <v>54</v>
      </c>
      <c r="B69" s="317"/>
      <c r="C69" s="314">
        <f>SUM(C54:C67)</f>
        <v>381758.86000000004</v>
      </c>
      <c r="D69" s="263">
        <f>SUM(D54:D67)</f>
        <v>371279.61</v>
      </c>
      <c r="E69" s="263">
        <f>SUM(E54:E67)</f>
        <v>343829.66000000003</v>
      </c>
    </row>
    <row r="70" spans="1:5">
      <c r="A70" s="37" t="s">
        <v>177</v>
      </c>
      <c r="B70" s="317"/>
      <c r="C70" s="315">
        <f>C52-C69</f>
        <v>721.25999999995111</v>
      </c>
      <c r="D70" s="262">
        <f>D52-D69</f>
        <v>1721.6499999999651</v>
      </c>
      <c r="E70" s="262">
        <f>E52-E69</f>
        <v>-1.0000000067520887E-2</v>
      </c>
    </row>
    <row r="71" spans="1:5">
      <c r="A71" s="23" t="str">
        <f>CONCATENATE("",E1-2," Budget Authority Limited Amount:")</f>
        <v>2011 Budget Authority Limited Amount:</v>
      </c>
      <c r="B71" s="338">
        <f>inputOth!B70</f>
        <v>393571</v>
      </c>
      <c r="C71" s="21"/>
      <c r="D71" s="21"/>
      <c r="E71" s="21"/>
    </row>
    <row r="72" spans="1:5">
      <c r="A72" s="23" t="str">
        <f>CONCATENATE("Violation of Budget Law for ",E1-2,":")</f>
        <v>Violation of Budget Law for 2011:</v>
      </c>
      <c r="B72" s="339" t="str">
        <f>IF(C69&gt;B71,"Yes","")</f>
        <v/>
      </c>
      <c r="C72" s="21"/>
      <c r="D72" s="21"/>
      <c r="E72" s="21"/>
    </row>
    <row r="73" spans="1:5">
      <c r="A73" s="23" t="str">
        <f>CONCATENATE("Possible Cash Violation for ",E1-2,":")</f>
        <v>Possible Cash Violation for 2011:</v>
      </c>
      <c r="B73" s="339" t="str">
        <f>IF(C70&lt;0,"Yes","")</f>
        <v/>
      </c>
      <c r="C73" s="21"/>
      <c r="D73" s="21"/>
      <c r="E73" s="21"/>
    </row>
    <row r="74" spans="1:5">
      <c r="A74" s="24"/>
      <c r="B74" s="24" t="s">
        <v>58</v>
      </c>
      <c r="C74" s="100">
        <v>13</v>
      </c>
      <c r="D74" s="21"/>
      <c r="E74" s="21"/>
    </row>
  </sheetData>
  <phoneticPr fontId="0" type="noConversion"/>
  <conditionalFormatting sqref="C67">
    <cfRule type="cellIs" dxfId="92" priority="1" stopIfTrue="1" operator="greaterThan">
      <formula>$C$69*0.1</formula>
    </cfRule>
  </conditionalFormatting>
  <conditionalFormatting sqref="D67">
    <cfRule type="cellIs" dxfId="91" priority="2" stopIfTrue="1" operator="greaterThan">
      <formula>$D$69*0.1</formula>
    </cfRule>
  </conditionalFormatting>
  <conditionalFormatting sqref="E67">
    <cfRule type="cellIs" dxfId="90" priority="3" stopIfTrue="1" operator="greaterThan">
      <formula>$E$69*0.1</formula>
    </cfRule>
  </conditionalFormatting>
  <conditionalFormatting sqref="C28">
    <cfRule type="cellIs" dxfId="89" priority="4" stopIfTrue="1" operator="greaterThan">
      <formula>$C$30*0.1</formula>
    </cfRule>
  </conditionalFormatting>
  <conditionalFormatting sqref="D28">
    <cfRule type="cellIs" dxfId="88" priority="5" stopIfTrue="1" operator="greaterThan">
      <formula>$D$30*0.1</formula>
    </cfRule>
  </conditionalFormatting>
  <conditionalFormatting sqref="E28">
    <cfRule type="cellIs" dxfId="87" priority="6" stopIfTrue="1" operator="greaterThan">
      <formula>$E$30*0.1</formula>
    </cfRule>
  </conditionalFormatting>
  <conditionalFormatting sqref="C13">
    <cfRule type="cellIs" dxfId="86" priority="7" stopIfTrue="1" operator="greaterThan">
      <formula>$C$15*0.1</formula>
    </cfRule>
  </conditionalFormatting>
  <conditionalFormatting sqref="D13">
    <cfRule type="cellIs" dxfId="85" priority="8" stopIfTrue="1" operator="greaterThan">
      <formula>$D$15*0.1</formula>
    </cfRule>
  </conditionalFormatting>
  <conditionalFormatting sqref="E13">
    <cfRule type="cellIs" dxfId="84" priority="9" stopIfTrue="1" operator="greaterThan">
      <formula>$E$15*0.1</formula>
    </cfRule>
  </conditionalFormatting>
  <pageMargins left="0.5" right="0.5" top="1" bottom="0.5" header="0.5" footer="0.5"/>
  <pageSetup scale="66" orientation="portrait" blackAndWhite="1" horizontalDpi="120" verticalDpi="144" r:id="rId1"/>
  <headerFooter alignWithMargins="0">
    <oddHeader>&amp;RState of Kansas
Coffeyville</oddHeader>
    <oddFooter>&amp;Lrevised 8/06/07</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E74"/>
  <sheetViews>
    <sheetView view="pageBreakPreview" zoomScaleNormal="100" workbookViewId="0">
      <selection activeCell="C30" sqref="C30"/>
    </sheetView>
  </sheetViews>
  <sheetFormatPr defaultRowHeight="15.75"/>
  <cols>
    <col min="1" max="1" width="28.77734375" style="7" customWidth="1"/>
    <col min="2" max="2" width="9.5546875" style="7" customWidth="1"/>
    <col min="3" max="4" width="16.44140625" style="7" customWidth="1"/>
    <col min="5" max="5" width="16.44140625" style="7" bestFit="1" customWidth="1"/>
    <col min="6" max="16384" width="8.88671875" style="7"/>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62</v>
      </c>
      <c r="D4" s="33" t="s">
        <v>205</v>
      </c>
      <c r="E4" s="33" t="s">
        <v>206</v>
      </c>
    </row>
    <row r="5" spans="1:5">
      <c r="A5" s="137" t="str">
        <f>inputPrYr!B40</f>
        <v>Aquatic Center</v>
      </c>
      <c r="B5" s="137"/>
      <c r="C5" s="145">
        <f>E1-2</f>
        <v>2011</v>
      </c>
      <c r="D5" s="145">
        <f>E1-1</f>
        <v>2012</v>
      </c>
      <c r="E5" s="145">
        <f>E1</f>
        <v>2013</v>
      </c>
    </row>
    <row r="6" spans="1:5">
      <c r="A6" s="311" t="s">
        <v>176</v>
      </c>
      <c r="B6" s="317"/>
      <c r="C6" s="313">
        <v>1426.34</v>
      </c>
      <c r="D6" s="85">
        <f>C33</f>
        <v>1431.2899999999936</v>
      </c>
      <c r="E6" s="85">
        <f>D33</f>
        <v>1685.6299999999901</v>
      </c>
    </row>
    <row r="7" spans="1:5">
      <c r="A7" s="316" t="s">
        <v>178</v>
      </c>
      <c r="B7" s="317"/>
      <c r="C7" s="305"/>
      <c r="D7" s="40"/>
      <c r="E7" s="40"/>
    </row>
    <row r="8" spans="1:5">
      <c r="A8" s="301" t="s">
        <v>469</v>
      </c>
      <c r="B8" s="318"/>
      <c r="C8" s="313">
        <f>41528+1640+6960.75+2378</f>
        <v>52506.75</v>
      </c>
      <c r="D8" s="9">
        <f>40000+1500+6000+2000</f>
        <v>49500</v>
      </c>
      <c r="E8" s="9">
        <f>40000+1500+6000+2000</f>
        <v>49500</v>
      </c>
    </row>
    <row r="9" spans="1:5">
      <c r="A9" s="301" t="s">
        <v>470</v>
      </c>
      <c r="B9" s="318"/>
      <c r="C9" s="313">
        <v>25138.46</v>
      </c>
      <c r="D9" s="9">
        <v>26000</v>
      </c>
      <c r="E9" s="9">
        <v>26000</v>
      </c>
    </row>
    <row r="10" spans="1:5">
      <c r="A10" s="301" t="s">
        <v>471</v>
      </c>
      <c r="B10" s="318"/>
      <c r="C10" s="313"/>
      <c r="D10" s="9"/>
      <c r="E10" s="9"/>
    </row>
    <row r="11" spans="1:5">
      <c r="A11" s="301" t="s">
        <v>435</v>
      </c>
      <c r="B11" s="318"/>
      <c r="C11" s="313">
        <v>6000</v>
      </c>
      <c r="D11" s="9">
        <v>6000</v>
      </c>
      <c r="E11" s="9">
        <v>6000</v>
      </c>
    </row>
    <row r="12" spans="1:5">
      <c r="A12" s="301" t="s">
        <v>465</v>
      </c>
      <c r="B12" s="318"/>
      <c r="C12" s="313">
        <v>20000</v>
      </c>
      <c r="D12" s="9">
        <f>41000-6000</f>
        <v>35000</v>
      </c>
      <c r="E12" s="9">
        <f>48000-6000</f>
        <v>42000</v>
      </c>
    </row>
    <row r="13" spans="1:5">
      <c r="A13" s="301" t="s">
        <v>94</v>
      </c>
      <c r="B13" s="318"/>
      <c r="C13" s="313">
        <f>2314.78+416.34+369.63+176.75+55</f>
        <v>3332.5000000000005</v>
      </c>
      <c r="D13" s="9">
        <f>175+2000</f>
        <v>2175</v>
      </c>
      <c r="E13" s="9">
        <f>2000+175</f>
        <v>2175</v>
      </c>
    </row>
    <row r="14" spans="1:5">
      <c r="A14" s="301"/>
      <c r="B14" s="318"/>
      <c r="C14" s="313"/>
      <c r="D14" s="9"/>
      <c r="E14" s="9"/>
    </row>
    <row r="15" spans="1:5">
      <c r="A15" s="312" t="s">
        <v>46</v>
      </c>
      <c r="B15" s="318"/>
      <c r="C15" s="313"/>
      <c r="D15" s="9"/>
      <c r="E15" s="9"/>
    </row>
    <row r="16" spans="1:5">
      <c r="A16" s="321" t="s">
        <v>351</v>
      </c>
      <c r="B16" s="317"/>
      <c r="C16" s="122"/>
      <c r="D16" s="122"/>
      <c r="E16" s="122"/>
    </row>
    <row r="17" spans="1:5">
      <c r="A17" s="311" t="s">
        <v>353</v>
      </c>
      <c r="B17" s="317"/>
      <c r="C17" s="355" t="str">
        <f>IF(C18*0.1&lt;C16,"Exceed 10% Rule","")</f>
        <v/>
      </c>
      <c r="D17" s="355" t="str">
        <f>IF(D18*0.1&lt;D16,"Exceed 10% Rule","")</f>
        <v/>
      </c>
      <c r="E17" s="355" t="str">
        <f>IF(E18*0.1&lt;E16,"Exceed 10% Rule","")</f>
        <v/>
      </c>
    </row>
    <row r="18" spans="1:5">
      <c r="A18" s="151" t="s">
        <v>47</v>
      </c>
      <c r="B18" s="317"/>
      <c r="C18" s="314">
        <f>SUM(C8:C16)</f>
        <v>106977.70999999999</v>
      </c>
      <c r="D18" s="263">
        <f>SUM(D8:D16)</f>
        <v>118675</v>
      </c>
      <c r="E18" s="263">
        <f>SUM(E8:E16)</f>
        <v>125675</v>
      </c>
    </row>
    <row r="19" spans="1:5">
      <c r="A19" s="151" t="s">
        <v>48</v>
      </c>
      <c r="B19" s="317"/>
      <c r="C19" s="314">
        <f>C6+C18</f>
        <v>108404.04999999999</v>
      </c>
      <c r="D19" s="263">
        <f>D6+D18</f>
        <v>120106.29</v>
      </c>
      <c r="E19" s="263">
        <f>E6+E18</f>
        <v>127360.62999999999</v>
      </c>
    </row>
    <row r="20" spans="1:5">
      <c r="A20" s="37" t="s">
        <v>50</v>
      </c>
      <c r="B20" s="317"/>
      <c r="C20" s="119"/>
      <c r="D20" s="85"/>
      <c r="E20" s="85"/>
    </row>
    <row r="21" spans="1:5">
      <c r="A21" s="312" t="s">
        <v>442</v>
      </c>
      <c r="B21" s="318"/>
      <c r="C21" s="313">
        <v>54786.63</v>
      </c>
      <c r="D21" s="9">
        <v>58640.66</v>
      </c>
      <c r="E21" s="9">
        <v>60140.75</v>
      </c>
    </row>
    <row r="22" spans="1:5">
      <c r="A22" s="312" t="s">
        <v>444</v>
      </c>
      <c r="B22" s="318"/>
      <c r="C22" s="313">
        <f>7933.32+4667.63</f>
        <v>12600.95</v>
      </c>
      <c r="D22" s="9">
        <f>8005+3500</f>
        <v>11505</v>
      </c>
      <c r="E22" s="9">
        <f>8485+6500</f>
        <v>14985</v>
      </c>
    </row>
    <row r="23" spans="1:5">
      <c r="A23" s="312" t="s">
        <v>445</v>
      </c>
      <c r="B23" s="318"/>
      <c r="C23" s="313">
        <v>29866.560000000001</v>
      </c>
      <c r="D23" s="9">
        <v>32175</v>
      </c>
      <c r="E23" s="9">
        <v>33175</v>
      </c>
    </row>
    <row r="24" spans="1:5">
      <c r="A24" s="312" t="s">
        <v>446</v>
      </c>
      <c r="B24" s="318"/>
      <c r="C24" s="313">
        <v>9718.6200000000008</v>
      </c>
      <c r="D24" s="9">
        <v>16100</v>
      </c>
      <c r="E24" s="9">
        <v>19059.88</v>
      </c>
    </row>
    <row r="25" spans="1:5">
      <c r="A25" s="301"/>
      <c r="B25" s="318"/>
      <c r="C25" s="313"/>
      <c r="D25" s="9"/>
      <c r="E25" s="9"/>
    </row>
    <row r="26" spans="1:5">
      <c r="A26" s="301"/>
      <c r="B26" s="318"/>
      <c r="C26" s="313"/>
      <c r="D26" s="9"/>
      <c r="E26" s="9"/>
    </row>
    <row r="27" spans="1:5">
      <c r="A27" s="301"/>
      <c r="B27" s="318"/>
      <c r="C27" s="313"/>
      <c r="D27" s="9"/>
      <c r="E27" s="9"/>
    </row>
    <row r="28" spans="1:5">
      <c r="A28" s="301"/>
      <c r="B28" s="318"/>
      <c r="C28" s="313"/>
      <c r="D28" s="9"/>
      <c r="E28" s="9"/>
    </row>
    <row r="29" spans="1:5">
      <c r="A29" s="301"/>
      <c r="B29" s="318"/>
      <c r="C29" s="313"/>
      <c r="D29" s="9"/>
      <c r="E29" s="9"/>
    </row>
    <row r="30" spans="1:5">
      <c r="A30" s="319" t="s">
        <v>351</v>
      </c>
      <c r="B30" s="317"/>
      <c r="C30" s="313"/>
      <c r="D30" s="313"/>
      <c r="E30" s="313"/>
    </row>
    <row r="31" spans="1:5">
      <c r="A31" s="319" t="s">
        <v>352</v>
      </c>
      <c r="B31" s="317"/>
      <c r="C31" s="355" t="str">
        <f>IF(C32*0.1&lt;C30,"Exceed 10% Rule","")</f>
        <v/>
      </c>
      <c r="D31" s="355" t="str">
        <f>IF(D32*0.1&lt;D30,"Exceed 10% Rule","")</f>
        <v/>
      </c>
      <c r="E31" s="355" t="str">
        <f>IF(E32*0.1&lt;E30,"Exceed 10% Rule","")</f>
        <v/>
      </c>
    </row>
    <row r="32" spans="1:5">
      <c r="A32" s="151" t="s">
        <v>54</v>
      </c>
      <c r="B32" s="317"/>
      <c r="C32" s="314">
        <f>SUM(C21:C30)</f>
        <v>106972.76</v>
      </c>
      <c r="D32" s="263">
        <f>SUM(D21:D30)</f>
        <v>118420.66</v>
      </c>
      <c r="E32" s="263">
        <f>SUM(E21:E30)</f>
        <v>127360.63</v>
      </c>
    </row>
    <row r="33" spans="1:5">
      <c r="A33" s="37" t="s">
        <v>177</v>
      </c>
      <c r="B33" s="317"/>
      <c r="C33" s="315">
        <f>C19-C32</f>
        <v>1431.2899999999936</v>
      </c>
      <c r="D33" s="262">
        <f>D19-D32</f>
        <v>1685.6299999999901</v>
      </c>
      <c r="E33" s="262">
        <f>E19-E32</f>
        <v>0</v>
      </c>
    </row>
    <row r="34" spans="1:5">
      <c r="A34" s="23" t="str">
        <f>CONCATENATE("",E1-2," Budget Authority Limited Amount:")</f>
        <v>2011 Budget Authority Limited Amount:</v>
      </c>
      <c r="B34" s="338">
        <f>inputOth!B71</f>
        <v>124676</v>
      </c>
      <c r="C34" s="65"/>
      <c r="D34" s="65"/>
      <c r="E34" s="65"/>
    </row>
    <row r="35" spans="1:5">
      <c r="A35" s="23" t="str">
        <f>CONCATENATE("Violation of Budget Law for ",E1-2,":")</f>
        <v>Violation of Budget Law for 2011:</v>
      </c>
      <c r="B35" s="339" t="str">
        <f>IF(C32&gt;B34,"Yes","")</f>
        <v/>
      </c>
      <c r="C35" s="65"/>
      <c r="D35" s="65"/>
      <c r="E35" s="65"/>
    </row>
    <row r="36" spans="1:5">
      <c r="A36" s="23" t="str">
        <f>CONCATENATE("Possible Cash Violation for ",E1-2,":")</f>
        <v>Possible Cash Violation for 2011:</v>
      </c>
      <c r="B36" s="339" t="str">
        <f>IF(C33&lt;0,"Yes","")</f>
        <v/>
      </c>
      <c r="C36" s="65"/>
      <c r="D36" s="65"/>
      <c r="E36" s="65"/>
    </row>
    <row r="37" spans="1:5">
      <c r="A37" s="21"/>
      <c r="B37" s="21"/>
      <c r="C37" s="65"/>
      <c r="D37" s="65"/>
      <c r="E37" s="65"/>
    </row>
    <row r="38" spans="1:5">
      <c r="A38" s="25" t="s">
        <v>41</v>
      </c>
      <c r="B38" s="25"/>
      <c r="C38" s="102"/>
      <c r="D38" s="102"/>
      <c r="E38" s="102"/>
    </row>
    <row r="39" spans="1:5">
      <c r="A39" s="21"/>
      <c r="B39" s="21"/>
      <c r="C39" s="93" t="s">
        <v>62</v>
      </c>
      <c r="D39" s="33" t="s">
        <v>205</v>
      </c>
      <c r="E39" s="33" t="s">
        <v>206</v>
      </c>
    </row>
    <row r="40" spans="1:5">
      <c r="A40" s="137" t="str">
        <f>inputPrYr!B41</f>
        <v>Sales Tax Bond Debt Service</v>
      </c>
      <c r="B40" s="137"/>
      <c r="C40" s="145">
        <f>C5</f>
        <v>2011</v>
      </c>
      <c r="D40" s="145">
        <f>D5</f>
        <v>2012</v>
      </c>
      <c r="E40" s="145">
        <f>E5</f>
        <v>2013</v>
      </c>
    </row>
    <row r="41" spans="1:5">
      <c r="A41" s="311" t="s">
        <v>176</v>
      </c>
      <c r="B41" s="317"/>
      <c r="C41" s="313">
        <v>200456.81</v>
      </c>
      <c r="D41" s="85">
        <f>C69</f>
        <v>252544.31000000006</v>
      </c>
      <c r="E41" s="85">
        <f>D69</f>
        <v>305566.81000000006</v>
      </c>
    </row>
    <row r="42" spans="1:5">
      <c r="A42" s="316" t="s">
        <v>178</v>
      </c>
      <c r="B42" s="317"/>
      <c r="C42" s="305"/>
      <c r="D42" s="40"/>
      <c r="E42" s="40"/>
    </row>
    <row r="43" spans="1:5">
      <c r="A43" s="301" t="s">
        <v>435</v>
      </c>
      <c r="B43" s="318"/>
      <c r="C43" s="313">
        <v>470000</v>
      </c>
      <c r="D43" s="9">
        <v>470000</v>
      </c>
      <c r="E43" s="9">
        <v>470000</v>
      </c>
    </row>
    <row r="44" spans="1:5">
      <c r="A44" s="301"/>
      <c r="B44" s="318"/>
      <c r="C44" s="313"/>
      <c r="D44" s="9"/>
      <c r="E44" s="9"/>
    </row>
    <row r="45" spans="1:5">
      <c r="A45" s="301"/>
      <c r="B45" s="318"/>
      <c r="C45" s="313"/>
      <c r="D45" s="9"/>
      <c r="E45" s="9"/>
    </row>
    <row r="46" spans="1:5">
      <c r="A46" s="301"/>
      <c r="B46" s="318"/>
      <c r="C46" s="313"/>
      <c r="D46" s="9"/>
      <c r="E46" s="9"/>
    </row>
    <row r="47" spans="1:5">
      <c r="A47" s="301"/>
      <c r="B47" s="318"/>
      <c r="C47" s="313"/>
      <c r="D47" s="9"/>
      <c r="E47" s="9"/>
    </row>
    <row r="48" spans="1:5">
      <c r="A48" s="301"/>
      <c r="B48" s="318"/>
      <c r="C48" s="313"/>
      <c r="D48" s="9"/>
      <c r="E48" s="9"/>
    </row>
    <row r="49" spans="1:5">
      <c r="A49" s="312" t="s">
        <v>46</v>
      </c>
      <c r="B49" s="318"/>
      <c r="C49" s="313"/>
      <c r="D49" s="9"/>
      <c r="E49" s="9"/>
    </row>
    <row r="50" spans="1:5">
      <c r="A50" s="321" t="s">
        <v>351</v>
      </c>
      <c r="B50" s="317"/>
      <c r="C50" s="313"/>
      <c r="D50" s="313"/>
      <c r="E50" s="313"/>
    </row>
    <row r="51" spans="1:5">
      <c r="A51" s="311" t="s">
        <v>353</v>
      </c>
      <c r="B51" s="317"/>
      <c r="C51" s="355" t="str">
        <f>IF(C52*0.1&lt;C50,"Exceed 10% Rule","")</f>
        <v/>
      </c>
      <c r="D51" s="355" t="str">
        <f>IF(D52*0.1&lt;D50,"Exceed 10% Rule","")</f>
        <v/>
      </c>
      <c r="E51" s="355" t="str">
        <f>IF(E52*0.1&lt;E50,"Exceed 10% Rule","")</f>
        <v/>
      </c>
    </row>
    <row r="52" spans="1:5">
      <c r="A52" s="151" t="s">
        <v>47</v>
      </c>
      <c r="B52" s="317"/>
      <c r="C52" s="314">
        <f>SUM(C43:C50)</f>
        <v>470000</v>
      </c>
      <c r="D52" s="263">
        <f>SUM(D43:D50)</f>
        <v>470000</v>
      </c>
      <c r="E52" s="263">
        <f>SUM(E43:E50)</f>
        <v>470000</v>
      </c>
    </row>
    <row r="53" spans="1:5">
      <c r="A53" s="151" t="s">
        <v>48</v>
      </c>
      <c r="B53" s="317"/>
      <c r="C53" s="314">
        <f>C41+C52</f>
        <v>670456.81000000006</v>
      </c>
      <c r="D53" s="263">
        <f>D41+D52</f>
        <v>722544.31</v>
      </c>
      <c r="E53" s="263">
        <f>E41+E52</f>
        <v>775566.81</v>
      </c>
    </row>
    <row r="54" spans="1:5">
      <c r="A54" s="37" t="s">
        <v>50</v>
      </c>
      <c r="B54" s="317"/>
      <c r="C54" s="119"/>
      <c r="D54" s="85"/>
      <c r="E54" s="85"/>
    </row>
    <row r="55" spans="1:5">
      <c r="A55" s="301" t="s">
        <v>364</v>
      </c>
      <c r="B55" s="318"/>
      <c r="C55" s="313">
        <v>0</v>
      </c>
      <c r="D55" s="9">
        <v>0</v>
      </c>
      <c r="E55" s="9">
        <v>2000</v>
      </c>
    </row>
    <row r="56" spans="1:5">
      <c r="A56" s="301" t="s">
        <v>380</v>
      </c>
      <c r="B56" s="318"/>
      <c r="C56" s="313">
        <v>52912.5</v>
      </c>
      <c r="D56" s="9">
        <v>41962.5</v>
      </c>
      <c r="E56" s="9">
        <v>28837.5</v>
      </c>
    </row>
    <row r="57" spans="1:5">
      <c r="A57" s="301" t="s">
        <v>381</v>
      </c>
      <c r="B57" s="318"/>
      <c r="C57" s="313">
        <v>365000</v>
      </c>
      <c r="D57" s="9">
        <v>375000</v>
      </c>
      <c r="E57" s="9">
        <v>390000</v>
      </c>
    </row>
    <row r="58" spans="1:5">
      <c r="A58" s="301" t="s">
        <v>351</v>
      </c>
      <c r="B58" s="318"/>
      <c r="C58" s="313">
        <v>0</v>
      </c>
      <c r="D58" s="9">
        <v>15</v>
      </c>
      <c r="E58" s="9">
        <v>15</v>
      </c>
    </row>
    <row r="59" spans="1:5">
      <c r="A59" s="301"/>
      <c r="B59" s="318"/>
      <c r="C59" s="313"/>
      <c r="D59" s="9"/>
      <c r="E59" s="9"/>
    </row>
    <row r="60" spans="1:5">
      <c r="A60" s="301"/>
      <c r="B60" s="318"/>
      <c r="C60" s="313"/>
      <c r="D60" s="9"/>
      <c r="E60" s="9"/>
    </row>
    <row r="61" spans="1:5">
      <c r="A61" s="301"/>
      <c r="B61" s="318"/>
      <c r="C61" s="313"/>
      <c r="D61" s="9"/>
      <c r="E61" s="9"/>
    </row>
    <row r="62" spans="1:5">
      <c r="A62" s="301"/>
      <c r="B62" s="318"/>
      <c r="C62" s="313"/>
      <c r="D62" s="9"/>
      <c r="E62" s="9"/>
    </row>
    <row r="63" spans="1:5">
      <c r="A63" s="301"/>
      <c r="B63" s="318"/>
      <c r="C63" s="313"/>
      <c r="D63" s="9"/>
      <c r="E63" s="9"/>
    </row>
    <row r="64" spans="1:5">
      <c r="A64" s="301"/>
      <c r="B64" s="318"/>
      <c r="C64" s="313"/>
      <c r="D64" s="9"/>
      <c r="E64" s="9"/>
    </row>
    <row r="65" spans="1:5">
      <c r="A65" s="301"/>
      <c r="B65" s="318"/>
      <c r="C65" s="313"/>
      <c r="D65" s="9"/>
      <c r="E65" s="9"/>
    </row>
    <row r="66" spans="1:5">
      <c r="A66" s="319" t="s">
        <v>351</v>
      </c>
      <c r="B66" s="317"/>
      <c r="C66" s="313"/>
      <c r="D66" s="313"/>
      <c r="E66" s="313"/>
    </row>
    <row r="67" spans="1:5">
      <c r="A67" s="319" t="s">
        <v>352</v>
      </c>
      <c r="B67" s="317"/>
      <c r="C67" s="355" t="str">
        <f>IF(C68*0.1&lt;C66,"Exceed 10% Rule","")</f>
        <v/>
      </c>
      <c r="D67" s="355" t="str">
        <f>IF(D68*0.1&lt;D66,"Exceed 10% Rule","")</f>
        <v/>
      </c>
      <c r="E67" s="355" t="str">
        <f>IF(E68*0.1&lt;E66,"Exceed 10% Rule","")</f>
        <v/>
      </c>
    </row>
    <row r="68" spans="1:5">
      <c r="A68" s="151" t="s">
        <v>54</v>
      </c>
      <c r="B68" s="317"/>
      <c r="C68" s="314">
        <f>SUM(C55:C66)</f>
        <v>417912.5</v>
      </c>
      <c r="D68" s="263">
        <f>SUM(D55:D66)</f>
        <v>416977.5</v>
      </c>
      <c r="E68" s="263">
        <f>SUM(E55:E66)</f>
        <v>420852.5</v>
      </c>
    </row>
    <row r="69" spans="1:5">
      <c r="A69" s="37" t="s">
        <v>177</v>
      </c>
      <c r="B69" s="317"/>
      <c r="C69" s="315">
        <f>C53-C68</f>
        <v>252544.31000000006</v>
      </c>
      <c r="D69" s="262">
        <f>D53-D68</f>
        <v>305566.81000000006</v>
      </c>
      <c r="E69" s="262">
        <f>E53-E68</f>
        <v>354714.31000000006</v>
      </c>
    </row>
    <row r="70" spans="1:5">
      <c r="A70" s="23" t="str">
        <f>CONCATENATE("",E1-2," Budget Authority Limited Amount:")</f>
        <v>2011 Budget Authority Limited Amount:</v>
      </c>
      <c r="B70" s="338">
        <f>inputOth!B72</f>
        <v>419928</v>
      </c>
      <c r="C70" s="21"/>
      <c r="D70" s="21"/>
      <c r="E70" s="21"/>
    </row>
    <row r="71" spans="1:5">
      <c r="A71" s="23" t="str">
        <f>CONCATENATE("Violation of Budget Law for ",E1-2,":")</f>
        <v>Violation of Budget Law for 2011:</v>
      </c>
      <c r="B71" s="339" t="str">
        <f>IF(C68&gt;B70,"Yes","")</f>
        <v/>
      </c>
      <c r="C71" s="21"/>
      <c r="D71" s="21"/>
      <c r="E71" s="21"/>
    </row>
    <row r="72" spans="1:5">
      <c r="A72" s="23" t="str">
        <f>CONCATENATE("Possible Cash Violation for ",E1-2,":")</f>
        <v>Possible Cash Violation for 2011:</v>
      </c>
      <c r="B72" s="339" t="str">
        <f>IF(C69&lt;0,"Yes","")</f>
        <v/>
      </c>
      <c r="C72" s="21"/>
      <c r="D72" s="21"/>
      <c r="E72" s="21"/>
    </row>
    <row r="73" spans="1:5">
      <c r="A73" s="21"/>
      <c r="B73" s="21"/>
      <c r="C73" s="21"/>
      <c r="D73" s="21"/>
      <c r="E73" s="21"/>
    </row>
    <row r="74" spans="1:5">
      <c r="A74" s="24"/>
      <c r="B74" s="24" t="s">
        <v>58</v>
      </c>
      <c r="C74" s="100">
        <v>14</v>
      </c>
      <c r="D74" s="21"/>
      <c r="E74" s="21"/>
    </row>
  </sheetData>
  <phoneticPr fontId="0" type="noConversion"/>
  <conditionalFormatting sqref="C30">
    <cfRule type="cellIs" dxfId="83" priority="1" stopIfTrue="1" operator="greaterThan">
      <formula>$C$32*0.1</formula>
    </cfRule>
  </conditionalFormatting>
  <conditionalFormatting sqref="D30">
    <cfRule type="cellIs" dxfId="82" priority="2" stopIfTrue="1" operator="greaterThan">
      <formula>$D$32*0.1</formula>
    </cfRule>
  </conditionalFormatting>
  <conditionalFormatting sqref="E30">
    <cfRule type="cellIs" dxfId="81" priority="3" stopIfTrue="1" operator="greaterThan">
      <formula>$E$32*0.1</formula>
    </cfRule>
  </conditionalFormatting>
  <conditionalFormatting sqref="C50">
    <cfRule type="cellIs" dxfId="80" priority="4" stopIfTrue="1" operator="greaterThan">
      <formula>$C$52*0.1</formula>
    </cfRule>
  </conditionalFormatting>
  <conditionalFormatting sqref="D50">
    <cfRule type="cellIs" dxfId="79" priority="5" stopIfTrue="1" operator="greaterThan">
      <formula>$D$52*0.1</formula>
    </cfRule>
  </conditionalFormatting>
  <conditionalFormatting sqref="E50">
    <cfRule type="cellIs" dxfId="78" priority="6" stopIfTrue="1" operator="greaterThan">
      <formula>$E$52*0.1</formula>
    </cfRule>
  </conditionalFormatting>
  <conditionalFormatting sqref="C66">
    <cfRule type="cellIs" dxfId="77" priority="7" stopIfTrue="1" operator="greaterThan">
      <formula>$C$68*0.1</formula>
    </cfRule>
  </conditionalFormatting>
  <conditionalFormatting sqref="D66">
    <cfRule type="cellIs" dxfId="76" priority="8" stopIfTrue="1" operator="greaterThan">
      <formula>$D$68*0.1</formula>
    </cfRule>
  </conditionalFormatting>
  <conditionalFormatting sqref="E66">
    <cfRule type="cellIs" dxfId="75" priority="9" stopIfTrue="1" operator="greaterThan">
      <formula>$E$68*0.1</formula>
    </cfRule>
  </conditionalFormatting>
  <conditionalFormatting sqref="C16">
    <cfRule type="cellIs" dxfId="74" priority="10" stopIfTrue="1" operator="greaterThan">
      <formula>$C$18*0.1</formula>
    </cfRule>
  </conditionalFormatting>
  <conditionalFormatting sqref="D16">
    <cfRule type="cellIs" dxfId="73" priority="11" stopIfTrue="1" operator="greaterThan">
      <formula>$D$18*0.1</formula>
    </cfRule>
  </conditionalFormatting>
  <conditionalFormatting sqref="E16">
    <cfRule type="cellIs" dxfId="72" priority="12" stopIfTrue="1" operator="greaterThan">
      <formula>$E$18*0.1</formula>
    </cfRule>
  </conditionalFormatting>
  <pageMargins left="0.5" right="0.5" top="1" bottom="0.5" header="0.5" footer="0.5"/>
  <pageSetup scale="66" orientation="portrait" blackAndWhite="1" horizontalDpi="120" verticalDpi="144" r:id="rId1"/>
  <headerFooter alignWithMargins="0">
    <oddHeader>&amp;RState of Kansas
Coffeyville</oddHeader>
    <oddFooter>&amp;Lrevised 8/06/07</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E74"/>
  <sheetViews>
    <sheetView view="pageBreakPreview" topLeftCell="A43" zoomScaleNormal="100" workbookViewId="0">
      <selection activeCell="C30" sqref="C30"/>
    </sheetView>
  </sheetViews>
  <sheetFormatPr defaultRowHeight="15.75"/>
  <cols>
    <col min="1" max="1" width="28.77734375" style="2" customWidth="1"/>
    <col min="2" max="2" width="9.5546875" style="2" customWidth="1"/>
    <col min="3" max="4" width="16.44140625" style="2" customWidth="1"/>
    <col min="5" max="5" width="16.44140625" style="2" bestFit="1" customWidth="1"/>
    <col min="6" max="16384" width="8.88671875" style="2"/>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62</v>
      </c>
      <c r="D4" s="33" t="s">
        <v>205</v>
      </c>
      <c r="E4" s="33" t="s">
        <v>206</v>
      </c>
    </row>
    <row r="5" spans="1:5">
      <c r="A5" s="137" t="str">
        <f>inputPrYr!B42</f>
        <v xml:space="preserve">USD 445 Sales Tax </v>
      </c>
      <c r="B5" s="137"/>
      <c r="C5" s="145">
        <f>E1-2</f>
        <v>2011</v>
      </c>
      <c r="D5" s="145">
        <f>E1-1</f>
        <v>2012</v>
      </c>
      <c r="E5" s="145">
        <f>E1</f>
        <v>2013</v>
      </c>
    </row>
    <row r="6" spans="1:5">
      <c r="A6" s="311" t="s">
        <v>176</v>
      </c>
      <c r="B6" s="317"/>
      <c r="C6" s="313">
        <v>593894.97</v>
      </c>
      <c r="D6" s="85">
        <f>C33</f>
        <v>612392.35000000009</v>
      </c>
      <c r="E6" s="85">
        <f>D33</f>
        <v>702071.35000000009</v>
      </c>
    </row>
    <row r="7" spans="1:5" s="7" customFormat="1">
      <c r="A7" s="316" t="s">
        <v>178</v>
      </c>
      <c r="B7" s="317"/>
      <c r="C7" s="305"/>
      <c r="D7" s="40"/>
      <c r="E7" s="40"/>
    </row>
    <row r="8" spans="1:5">
      <c r="A8" s="301" t="s">
        <v>435</v>
      </c>
      <c r="B8" s="318"/>
      <c r="C8" s="313">
        <v>870023.38</v>
      </c>
      <c r="D8" s="9">
        <v>800000</v>
      </c>
      <c r="E8" s="9">
        <v>775000</v>
      </c>
    </row>
    <row r="9" spans="1:5">
      <c r="A9" s="301"/>
      <c r="B9" s="318"/>
      <c r="C9" s="313"/>
      <c r="D9" s="9"/>
      <c r="E9" s="9"/>
    </row>
    <row r="10" spans="1:5">
      <c r="A10" s="301"/>
      <c r="B10" s="318"/>
      <c r="C10" s="313"/>
      <c r="D10" s="9"/>
      <c r="E10" s="9"/>
    </row>
    <row r="11" spans="1:5">
      <c r="A11" s="301"/>
      <c r="B11" s="318"/>
      <c r="C11" s="313"/>
      <c r="D11" s="9"/>
      <c r="E11" s="9"/>
    </row>
    <row r="12" spans="1:5">
      <c r="A12" s="301"/>
      <c r="B12" s="318"/>
      <c r="C12" s="313"/>
      <c r="D12" s="9"/>
      <c r="E12" s="9"/>
    </row>
    <row r="13" spans="1:5">
      <c r="A13" s="312" t="s">
        <v>46</v>
      </c>
      <c r="B13" s="318"/>
      <c r="C13" s="313"/>
      <c r="D13" s="9"/>
      <c r="E13" s="9"/>
    </row>
    <row r="14" spans="1:5">
      <c r="A14" s="321" t="s">
        <v>351</v>
      </c>
      <c r="B14" s="317"/>
      <c r="C14" s="313"/>
      <c r="D14" s="313"/>
      <c r="E14" s="313"/>
    </row>
    <row r="15" spans="1:5">
      <c r="A15" s="311" t="s">
        <v>353</v>
      </c>
      <c r="B15" s="317"/>
      <c r="C15" s="355" t="str">
        <f>IF(C16*0.1&lt;C14,"Exceed 10% Rule","")</f>
        <v/>
      </c>
      <c r="D15" s="355" t="str">
        <f>IF(D16*0.1&lt;D14,"Exceed 10% Rule","")</f>
        <v/>
      </c>
      <c r="E15" s="355" t="str">
        <f>IF(E16*0.1&lt;E14,"Exceed 10% Rule","")</f>
        <v/>
      </c>
    </row>
    <row r="16" spans="1:5">
      <c r="A16" s="151" t="s">
        <v>47</v>
      </c>
      <c r="B16" s="317"/>
      <c r="C16" s="314">
        <f>SUM(C8:C14)</f>
        <v>870023.38</v>
      </c>
      <c r="D16" s="263">
        <f>SUM(D8:D14)</f>
        <v>800000</v>
      </c>
      <c r="E16" s="263">
        <f>SUM(E8:E14)</f>
        <v>775000</v>
      </c>
    </row>
    <row r="17" spans="1:5">
      <c r="A17" s="151" t="s">
        <v>48</v>
      </c>
      <c r="B17" s="317"/>
      <c r="C17" s="314">
        <f>C6+C16</f>
        <v>1463918.35</v>
      </c>
      <c r="D17" s="263">
        <f>D6+D16</f>
        <v>1412392.35</v>
      </c>
      <c r="E17" s="263">
        <f>E6+E16</f>
        <v>1477071.35</v>
      </c>
    </row>
    <row r="18" spans="1:5">
      <c r="A18" s="37" t="s">
        <v>50</v>
      </c>
      <c r="B18" s="317"/>
      <c r="C18" s="119"/>
      <c r="D18" s="85"/>
      <c r="E18" s="85"/>
    </row>
    <row r="19" spans="1:5">
      <c r="A19" s="301" t="s">
        <v>451</v>
      </c>
      <c r="B19" s="318"/>
      <c r="C19" s="313">
        <v>851526</v>
      </c>
      <c r="D19" s="9">
        <v>710321</v>
      </c>
      <c r="E19" s="9">
        <v>1000000</v>
      </c>
    </row>
    <row r="20" spans="1:5">
      <c r="A20" s="301"/>
      <c r="B20" s="318"/>
      <c r="C20" s="313"/>
      <c r="D20" s="9"/>
      <c r="E20" s="9"/>
    </row>
    <row r="21" spans="1:5">
      <c r="A21" s="301"/>
      <c r="B21" s="318"/>
      <c r="C21" s="313"/>
      <c r="D21" s="9"/>
      <c r="E21" s="9"/>
    </row>
    <row r="22" spans="1:5">
      <c r="A22" s="301"/>
      <c r="B22" s="318"/>
      <c r="C22" s="313"/>
      <c r="D22" s="9"/>
      <c r="E22" s="9"/>
    </row>
    <row r="23" spans="1:5">
      <c r="A23" s="301"/>
      <c r="B23" s="318"/>
      <c r="C23" s="313"/>
      <c r="D23" s="9"/>
      <c r="E23" s="9"/>
    </row>
    <row r="24" spans="1:5">
      <c r="A24" s="301"/>
      <c r="B24" s="318"/>
      <c r="C24" s="313"/>
      <c r="D24" s="9"/>
      <c r="E24" s="9"/>
    </row>
    <row r="25" spans="1:5">
      <c r="A25" s="301"/>
      <c r="B25" s="318"/>
      <c r="C25" s="313"/>
      <c r="D25" s="9"/>
      <c r="E25" s="9"/>
    </row>
    <row r="26" spans="1:5">
      <c r="A26" s="301"/>
      <c r="B26" s="318"/>
      <c r="C26" s="313"/>
      <c r="D26" s="9"/>
      <c r="E26" s="9"/>
    </row>
    <row r="27" spans="1:5">
      <c r="A27" s="301"/>
      <c r="B27" s="318"/>
      <c r="C27" s="313"/>
      <c r="D27" s="9"/>
      <c r="E27" s="9"/>
    </row>
    <row r="28" spans="1:5">
      <c r="A28" s="301"/>
      <c r="B28" s="318"/>
      <c r="C28" s="313"/>
      <c r="D28" s="9"/>
      <c r="E28" s="9"/>
    </row>
    <row r="29" spans="1:5">
      <c r="A29" s="301"/>
      <c r="B29" s="318"/>
      <c r="C29" s="313"/>
      <c r="D29" s="9"/>
      <c r="E29" s="9"/>
    </row>
    <row r="30" spans="1:5">
      <c r="A30" s="319" t="s">
        <v>351</v>
      </c>
      <c r="B30" s="317"/>
      <c r="C30" s="313"/>
      <c r="D30" s="313"/>
      <c r="E30" s="313"/>
    </row>
    <row r="31" spans="1:5">
      <c r="A31" s="319" t="s">
        <v>352</v>
      </c>
      <c r="B31" s="317"/>
      <c r="C31" s="355" t="str">
        <f>IF(C32*0.1&lt;C30,"Exceed 10% Rule","")</f>
        <v/>
      </c>
      <c r="D31" s="355" t="str">
        <f>IF(D32*0.1&lt;D30,"Exceed 10% Rule","")</f>
        <v/>
      </c>
      <c r="E31" s="355" t="str">
        <f>IF(E32*0.1&lt;E30,"Exceed 10% Rule","")</f>
        <v/>
      </c>
    </row>
    <row r="32" spans="1:5">
      <c r="A32" s="151" t="s">
        <v>54</v>
      </c>
      <c r="B32" s="317"/>
      <c r="C32" s="314">
        <f>SUM(C19:C30)</f>
        <v>851526</v>
      </c>
      <c r="D32" s="263">
        <f>SUM(D19:D30)</f>
        <v>710321</v>
      </c>
      <c r="E32" s="263">
        <f>SUM(E19:E30)</f>
        <v>1000000</v>
      </c>
    </row>
    <row r="33" spans="1:5">
      <c r="A33" s="37" t="s">
        <v>177</v>
      </c>
      <c r="B33" s="317"/>
      <c r="C33" s="315">
        <f>C17-C32</f>
        <v>612392.35000000009</v>
      </c>
      <c r="D33" s="262">
        <f>D17-D32</f>
        <v>702071.35000000009</v>
      </c>
      <c r="E33" s="262">
        <f>E17-E32</f>
        <v>477071.35000000009</v>
      </c>
    </row>
    <row r="34" spans="1:5">
      <c r="A34" s="23" t="str">
        <f>CONCATENATE("",E1-2," Budget Authority Limited Amount:")</f>
        <v>2011 Budget Authority Limited Amount:</v>
      </c>
      <c r="B34" s="338">
        <f>inputOth!B73</f>
        <v>1195015</v>
      </c>
      <c r="C34" s="65"/>
      <c r="D34" s="65"/>
      <c r="E34" s="65"/>
    </row>
    <row r="35" spans="1:5">
      <c r="A35" s="23" t="str">
        <f>CONCATENATE("Violation of Budget Law for ",E1-2,":")</f>
        <v>Violation of Budget Law for 2011:</v>
      </c>
      <c r="B35" s="339" t="str">
        <f>IF(C32&gt;B34,"Yes","")</f>
        <v/>
      </c>
      <c r="C35" s="65"/>
      <c r="D35" s="65"/>
      <c r="E35" s="65"/>
    </row>
    <row r="36" spans="1:5">
      <c r="A36" s="23" t="str">
        <f>CONCATENATE("Possible Cash Violation for ",E1-2,":")</f>
        <v>Possible Cash Violation for 2011:</v>
      </c>
      <c r="B36" s="339" t="str">
        <f>IF(C33&lt;0,"Yes","")</f>
        <v/>
      </c>
      <c r="C36" s="65"/>
      <c r="D36" s="65"/>
      <c r="E36" s="65"/>
    </row>
    <row r="37" spans="1:5">
      <c r="A37" s="21"/>
      <c r="B37" s="21"/>
      <c r="C37" s="65"/>
      <c r="D37" s="65"/>
      <c r="E37" s="65"/>
    </row>
    <row r="38" spans="1:5">
      <c r="A38" s="25" t="s">
        <v>41</v>
      </c>
      <c r="B38" s="25"/>
      <c r="C38" s="102"/>
      <c r="D38" s="102"/>
      <c r="E38" s="102"/>
    </row>
    <row r="39" spans="1:5">
      <c r="A39" s="21"/>
      <c r="B39" s="21"/>
      <c r="C39" s="93" t="s">
        <v>62</v>
      </c>
      <c r="D39" s="33" t="s">
        <v>205</v>
      </c>
      <c r="E39" s="33" t="s">
        <v>206</v>
      </c>
    </row>
    <row r="40" spans="1:5">
      <c r="A40" s="137" t="str">
        <f>+inputPrYr!B43</f>
        <v>CRMC Sales Tax</v>
      </c>
      <c r="B40" s="137"/>
      <c r="C40" s="145">
        <f>C5</f>
        <v>2011</v>
      </c>
      <c r="D40" s="145">
        <f>D5</f>
        <v>2012</v>
      </c>
      <c r="E40" s="145">
        <f>E5</f>
        <v>2013</v>
      </c>
    </row>
    <row r="41" spans="1:5">
      <c r="A41" s="311" t="s">
        <v>176</v>
      </c>
      <c r="B41" s="317"/>
      <c r="C41" s="313">
        <v>2759057.66</v>
      </c>
      <c r="D41" s="85">
        <f>C69</f>
        <v>3068800.85</v>
      </c>
      <c r="E41" s="85">
        <f>D69</f>
        <v>1012879.2400000002</v>
      </c>
    </row>
    <row r="42" spans="1:5" s="7" customFormat="1">
      <c r="A42" s="316" t="s">
        <v>178</v>
      </c>
      <c r="B42" s="317"/>
      <c r="C42" s="305"/>
      <c r="D42" s="40"/>
      <c r="E42" s="40"/>
    </row>
    <row r="43" spans="1:5">
      <c r="A43" s="301" t="s">
        <v>435</v>
      </c>
      <c r="B43" s="318"/>
      <c r="C43" s="313">
        <v>870023.38</v>
      </c>
      <c r="D43" s="9">
        <v>800000</v>
      </c>
      <c r="E43" s="9">
        <v>775000</v>
      </c>
    </row>
    <row r="44" spans="1:5">
      <c r="A44" s="301"/>
      <c r="B44" s="318"/>
      <c r="C44" s="313"/>
      <c r="D44" s="9"/>
      <c r="E44" s="9"/>
    </row>
    <row r="45" spans="1:5">
      <c r="A45" s="301"/>
      <c r="B45" s="318"/>
      <c r="C45" s="313"/>
      <c r="D45" s="9"/>
      <c r="E45" s="9"/>
    </row>
    <row r="46" spans="1:5">
      <c r="A46" s="301"/>
      <c r="B46" s="318"/>
      <c r="C46" s="313"/>
      <c r="D46" s="9"/>
      <c r="E46" s="9"/>
    </row>
    <row r="47" spans="1:5">
      <c r="A47" s="301"/>
      <c r="B47" s="318"/>
      <c r="C47" s="313"/>
      <c r="D47" s="9"/>
      <c r="E47" s="9"/>
    </row>
    <row r="48" spans="1:5">
      <c r="A48" s="301"/>
      <c r="B48" s="318"/>
      <c r="C48" s="313"/>
      <c r="D48" s="9"/>
      <c r="E48" s="9"/>
    </row>
    <row r="49" spans="1:5">
      <c r="A49" s="312" t="s">
        <v>46</v>
      </c>
      <c r="B49" s="318"/>
      <c r="C49" s="313"/>
      <c r="D49" s="9"/>
      <c r="E49" s="9"/>
    </row>
    <row r="50" spans="1:5">
      <c r="A50" s="321" t="s">
        <v>351</v>
      </c>
      <c r="B50" s="317"/>
      <c r="C50" s="313"/>
      <c r="D50" s="313"/>
      <c r="E50" s="313"/>
    </row>
    <row r="51" spans="1:5">
      <c r="A51" s="311" t="s">
        <v>353</v>
      </c>
      <c r="B51" s="317"/>
      <c r="C51" s="355" t="str">
        <f>IF(C52*0.1&lt;C50,"Exceed 10% Rule","")</f>
        <v/>
      </c>
      <c r="D51" s="355" t="str">
        <f>IF(D52*0.1&lt;D50,"Exceed 10% Rule","")</f>
        <v/>
      </c>
      <c r="E51" s="355" t="str">
        <f>IF(E52*0.1&lt;E50,"Exceed 10% Rule","")</f>
        <v/>
      </c>
    </row>
    <row r="52" spans="1:5">
      <c r="A52" s="151" t="s">
        <v>47</v>
      </c>
      <c r="B52" s="317"/>
      <c r="C52" s="314">
        <f>SUM(C43:C50)</f>
        <v>870023.38</v>
      </c>
      <c r="D52" s="263">
        <f>SUM(D43:D50)</f>
        <v>800000</v>
      </c>
      <c r="E52" s="263">
        <f>SUM(E43:E50)</f>
        <v>775000</v>
      </c>
    </row>
    <row r="53" spans="1:5">
      <c r="A53" s="151" t="s">
        <v>48</v>
      </c>
      <c r="B53" s="317"/>
      <c r="C53" s="314">
        <f>C41+C52</f>
        <v>3629081.04</v>
      </c>
      <c r="D53" s="263">
        <f>D41+D52</f>
        <v>3868800.85</v>
      </c>
      <c r="E53" s="263">
        <f>E41+E52</f>
        <v>1787879.2400000002</v>
      </c>
    </row>
    <row r="54" spans="1:5">
      <c r="A54" s="37" t="s">
        <v>50</v>
      </c>
      <c r="B54" s="317"/>
      <c r="C54" s="119"/>
      <c r="D54" s="85"/>
      <c r="E54" s="85"/>
    </row>
    <row r="55" spans="1:5">
      <c r="A55" s="301" t="s">
        <v>444</v>
      </c>
      <c r="B55" s="318"/>
      <c r="C55" s="313">
        <v>560280.18999999994</v>
      </c>
      <c r="D55" s="9">
        <v>2855921.61</v>
      </c>
      <c r="E55" s="9">
        <v>1000000</v>
      </c>
    </row>
    <row r="56" spans="1:5">
      <c r="A56" s="301"/>
      <c r="B56" s="318"/>
      <c r="C56" s="313"/>
      <c r="D56" s="9"/>
      <c r="E56" s="9"/>
    </row>
    <row r="57" spans="1:5">
      <c r="A57" s="301"/>
      <c r="B57" s="318"/>
      <c r="C57" s="313"/>
      <c r="D57" s="9"/>
      <c r="E57" s="9"/>
    </row>
    <row r="58" spans="1:5">
      <c r="A58" s="301"/>
      <c r="B58" s="318"/>
      <c r="C58" s="313"/>
      <c r="D58" s="9"/>
      <c r="E58" s="9"/>
    </row>
    <row r="59" spans="1:5">
      <c r="A59" s="301"/>
      <c r="B59" s="318"/>
      <c r="C59" s="313"/>
      <c r="D59" s="9"/>
      <c r="E59" s="9"/>
    </row>
    <row r="60" spans="1:5">
      <c r="A60" s="301"/>
      <c r="B60" s="318"/>
      <c r="C60" s="313"/>
      <c r="D60" s="9"/>
      <c r="E60" s="9"/>
    </row>
    <row r="61" spans="1:5">
      <c r="A61" s="301"/>
      <c r="B61" s="318"/>
      <c r="C61" s="313"/>
      <c r="D61" s="9"/>
      <c r="E61" s="9"/>
    </row>
    <row r="62" spans="1:5">
      <c r="A62" s="301"/>
      <c r="B62" s="318"/>
      <c r="C62" s="313"/>
      <c r="D62" s="9"/>
      <c r="E62" s="9"/>
    </row>
    <row r="63" spans="1:5">
      <c r="A63" s="301"/>
      <c r="B63" s="318"/>
      <c r="C63" s="313"/>
      <c r="D63" s="9"/>
      <c r="E63" s="9"/>
    </row>
    <row r="64" spans="1:5">
      <c r="A64" s="301"/>
      <c r="B64" s="318"/>
      <c r="C64" s="313"/>
      <c r="D64" s="9"/>
      <c r="E64" s="9"/>
    </row>
    <row r="65" spans="1:5">
      <c r="A65" s="301"/>
      <c r="B65" s="318"/>
      <c r="C65" s="313"/>
      <c r="D65" s="9"/>
      <c r="E65" s="9"/>
    </row>
    <row r="66" spans="1:5">
      <c r="A66" s="319" t="s">
        <v>351</v>
      </c>
      <c r="B66" s="317"/>
      <c r="C66" s="313"/>
      <c r="D66" s="313"/>
      <c r="E66" s="313"/>
    </row>
    <row r="67" spans="1:5">
      <c r="A67" s="319" t="s">
        <v>352</v>
      </c>
      <c r="B67" s="317"/>
      <c r="C67" s="355" t="str">
        <f>IF(C68*0.1&lt;C66,"Exceed 10% Rule","")</f>
        <v/>
      </c>
      <c r="D67" s="355" t="str">
        <f>IF(D68*0.1&lt;D66,"Exceed 10% Rule","")</f>
        <v/>
      </c>
      <c r="E67" s="355" t="str">
        <f>IF(E68*0.1&lt;E66,"Exceed 10% Rule","")</f>
        <v/>
      </c>
    </row>
    <row r="68" spans="1:5">
      <c r="A68" s="151" t="s">
        <v>54</v>
      </c>
      <c r="B68" s="317"/>
      <c r="C68" s="314">
        <f>SUM(C55:C66)</f>
        <v>560280.18999999994</v>
      </c>
      <c r="D68" s="263">
        <f>SUM(D55:D66)</f>
        <v>2855921.61</v>
      </c>
      <c r="E68" s="263">
        <f>SUM(E55:E66)</f>
        <v>1000000</v>
      </c>
    </row>
    <row r="69" spans="1:5">
      <c r="A69" s="37" t="s">
        <v>177</v>
      </c>
      <c r="B69" s="317"/>
      <c r="C69" s="315">
        <f>C53-C68</f>
        <v>3068800.85</v>
      </c>
      <c r="D69" s="262">
        <f>D53-D68</f>
        <v>1012879.2400000002</v>
      </c>
      <c r="E69" s="262">
        <f>E53-E68</f>
        <v>787879.24000000022</v>
      </c>
    </row>
    <row r="70" spans="1:5">
      <c r="A70" s="23" t="str">
        <f>CONCATENATE("",E1-2," Budget Authority Limited Amount:")</f>
        <v>2011 Budget Authority Limited Amount:</v>
      </c>
      <c r="B70" s="338">
        <f>inputOth!B74</f>
        <v>1000000</v>
      </c>
      <c r="C70" s="21"/>
      <c r="D70" s="21"/>
      <c r="E70" s="21"/>
    </row>
    <row r="71" spans="1:5">
      <c r="A71" s="23" t="str">
        <f>CONCATENATE("Violation of Budget Law for ",E1-2,":")</f>
        <v>Violation of Budget Law for 2011:</v>
      </c>
      <c r="B71" s="339" t="str">
        <f>IF(C68&gt;B70,"Yes","")</f>
        <v/>
      </c>
      <c r="C71" s="21"/>
      <c r="D71" s="21"/>
      <c r="E71" s="21"/>
    </row>
    <row r="72" spans="1:5">
      <c r="A72" s="23" t="str">
        <f>CONCATENATE("Possible Cash Violation for ",E1-2,":")</f>
        <v>Possible Cash Violation for 2011:</v>
      </c>
      <c r="B72" s="339" t="str">
        <f>IF(C69&lt;0,"Yes","")</f>
        <v/>
      </c>
      <c r="C72" s="21"/>
      <c r="D72" s="21"/>
      <c r="E72" s="21"/>
    </row>
    <row r="73" spans="1:5">
      <c r="A73" s="21"/>
      <c r="B73" s="21"/>
      <c r="C73" s="21"/>
      <c r="D73" s="21"/>
      <c r="E73" s="21"/>
    </row>
    <row r="74" spans="1:5">
      <c r="A74" s="24"/>
      <c r="B74" s="24" t="s">
        <v>58</v>
      </c>
      <c r="C74" s="100">
        <v>15</v>
      </c>
      <c r="D74" s="21"/>
      <c r="E74" s="21"/>
    </row>
  </sheetData>
  <phoneticPr fontId="0" type="noConversion"/>
  <conditionalFormatting sqref="C14">
    <cfRule type="cellIs" dxfId="71" priority="1" stopIfTrue="1" operator="greaterThan">
      <formula>$C$16*0.1</formula>
    </cfRule>
  </conditionalFormatting>
  <conditionalFormatting sqref="D14">
    <cfRule type="cellIs" dxfId="70" priority="2" stopIfTrue="1" operator="greaterThan">
      <formula>$D$16*0.1</formula>
    </cfRule>
  </conditionalFormatting>
  <conditionalFormatting sqref="E14">
    <cfRule type="cellIs" dxfId="69" priority="3" stopIfTrue="1" operator="greaterThan">
      <formula>$E$16*0.1</formula>
    </cfRule>
  </conditionalFormatting>
  <conditionalFormatting sqref="C30">
    <cfRule type="cellIs" dxfId="68" priority="4" stopIfTrue="1" operator="greaterThan">
      <formula>$C$32*0.1</formula>
    </cfRule>
  </conditionalFormatting>
  <conditionalFormatting sqref="D30">
    <cfRule type="cellIs" dxfId="67" priority="5" stopIfTrue="1" operator="greaterThan">
      <formula>$D$32*0.1</formula>
    </cfRule>
  </conditionalFormatting>
  <conditionalFormatting sqref="E30">
    <cfRule type="cellIs" dxfId="66" priority="6" stopIfTrue="1" operator="greaterThan">
      <formula>$E$32*0.1</formula>
    </cfRule>
  </conditionalFormatting>
  <conditionalFormatting sqref="C50">
    <cfRule type="cellIs" dxfId="65" priority="7" stopIfTrue="1" operator="greaterThan">
      <formula>$C$52*0.1</formula>
    </cfRule>
  </conditionalFormatting>
  <conditionalFormatting sqref="D50">
    <cfRule type="cellIs" dxfId="64" priority="8" stopIfTrue="1" operator="greaterThan">
      <formula>$D$52*0.1</formula>
    </cfRule>
  </conditionalFormatting>
  <conditionalFormatting sqref="E50">
    <cfRule type="cellIs" dxfId="63" priority="9" stopIfTrue="1" operator="greaterThan">
      <formula>$E$52*0.1</formula>
    </cfRule>
  </conditionalFormatting>
  <conditionalFormatting sqref="C66">
    <cfRule type="cellIs" dxfId="62" priority="10" stopIfTrue="1" operator="greaterThan">
      <formula>$C$68*0.1</formula>
    </cfRule>
  </conditionalFormatting>
  <conditionalFormatting sqref="D66">
    <cfRule type="cellIs" dxfId="61" priority="11" stopIfTrue="1" operator="greaterThan">
      <formula>$D$68*0.1</formula>
    </cfRule>
  </conditionalFormatting>
  <conditionalFormatting sqref="E66">
    <cfRule type="cellIs" dxfId="60" priority="12" stopIfTrue="1" operator="greaterThan">
      <formula>$E$68*0.1</formula>
    </cfRule>
  </conditionalFormatting>
  <pageMargins left="0.5" right="0.5" top="1" bottom="0.5" header="0.5" footer="0.5"/>
  <pageSetup scale="66" orientation="portrait" blackAndWhite="1" horizontalDpi="120" verticalDpi="144" r:id="rId1"/>
  <headerFooter alignWithMargins="0">
    <oddHeader>&amp;RState of Kansas
Coffeyville</oddHeader>
    <oddFooter>&amp;Lrevised 8/06/07</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G74"/>
  <sheetViews>
    <sheetView view="pageBreakPreview" zoomScaleNormal="100" workbookViewId="0">
      <selection activeCell="C30" sqref="C30"/>
    </sheetView>
  </sheetViews>
  <sheetFormatPr defaultRowHeight="15.75"/>
  <cols>
    <col min="1" max="1" width="28.77734375" style="2" customWidth="1"/>
    <col min="2" max="2" width="9.5546875" style="2" customWidth="1"/>
    <col min="3" max="4" width="16.44140625" style="2" customWidth="1"/>
    <col min="5" max="5" width="16.44140625" style="2" bestFit="1" customWidth="1"/>
    <col min="6" max="16384" width="8.88671875" style="2"/>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62</v>
      </c>
      <c r="D4" s="33" t="s">
        <v>205</v>
      </c>
      <c r="E4" s="33" t="s">
        <v>206</v>
      </c>
    </row>
    <row r="5" spans="1:5">
      <c r="A5" s="137" t="str">
        <f>inputPrYr!B44</f>
        <v>Business Dev. Training Center (BDTC)</v>
      </c>
      <c r="B5" s="137"/>
      <c r="C5" s="145">
        <f>E1-2</f>
        <v>2011</v>
      </c>
      <c r="D5" s="145">
        <f>E1-1</f>
        <v>2012</v>
      </c>
      <c r="E5" s="145">
        <f>E1</f>
        <v>2013</v>
      </c>
    </row>
    <row r="6" spans="1:5">
      <c r="A6" s="311" t="s">
        <v>176</v>
      </c>
      <c r="B6" s="317"/>
      <c r="C6" s="313">
        <v>100644.24</v>
      </c>
      <c r="D6" s="85">
        <f>C30</f>
        <v>118528.81</v>
      </c>
      <c r="E6" s="85">
        <f>D30</f>
        <v>140275.28</v>
      </c>
    </row>
    <row r="7" spans="1:5" s="7" customFormat="1">
      <c r="A7" s="316" t="s">
        <v>178</v>
      </c>
      <c r="B7" s="317"/>
      <c r="C7" s="305"/>
      <c r="D7" s="40"/>
      <c r="E7" s="40"/>
    </row>
    <row r="8" spans="1:5">
      <c r="A8" s="301" t="s">
        <v>434</v>
      </c>
      <c r="B8" s="318"/>
      <c r="C8" s="313">
        <v>3200</v>
      </c>
      <c r="D8" s="9">
        <f>3200+5226.47</f>
        <v>8426.4700000000012</v>
      </c>
      <c r="E8" s="9">
        <f>3200+5262.5</f>
        <v>8462.5</v>
      </c>
    </row>
    <row r="9" spans="1:5">
      <c r="A9" s="301" t="s">
        <v>432</v>
      </c>
      <c r="B9" s="318"/>
      <c r="C9" s="313">
        <v>40970</v>
      </c>
      <c r="D9" s="9">
        <v>40120</v>
      </c>
      <c r="E9" s="9">
        <v>40920</v>
      </c>
    </row>
    <row r="10" spans="1:5">
      <c r="A10" s="301"/>
      <c r="B10" s="318"/>
      <c r="C10" s="313"/>
      <c r="D10" s="9"/>
      <c r="E10" s="9"/>
    </row>
    <row r="11" spans="1:5">
      <c r="A11" s="301"/>
      <c r="B11" s="318"/>
      <c r="C11" s="313"/>
      <c r="D11" s="9"/>
      <c r="E11" s="9"/>
    </row>
    <row r="12" spans="1:5">
      <c r="A12" s="301"/>
      <c r="B12" s="318"/>
      <c r="C12" s="313"/>
      <c r="D12" s="9"/>
      <c r="E12" s="9"/>
    </row>
    <row r="13" spans="1:5">
      <c r="A13" s="312" t="s">
        <v>46</v>
      </c>
      <c r="B13" s="318"/>
      <c r="C13" s="313"/>
      <c r="D13" s="9"/>
      <c r="E13" s="9"/>
    </row>
    <row r="14" spans="1:5">
      <c r="A14" s="321" t="s">
        <v>351</v>
      </c>
      <c r="B14" s="317"/>
      <c r="C14" s="313"/>
      <c r="D14" s="313"/>
      <c r="E14" s="313"/>
    </row>
    <row r="15" spans="1:5">
      <c r="A15" s="311" t="s">
        <v>353</v>
      </c>
      <c r="B15" s="317"/>
      <c r="C15" s="355" t="str">
        <f>IF(C16*0.1&lt;C14,"Exceed 10% Rule","")</f>
        <v/>
      </c>
      <c r="D15" s="355" t="str">
        <f>IF(D16*0.1&lt;D14,"Exceed 10% Rule","")</f>
        <v/>
      </c>
      <c r="E15" s="355" t="str">
        <f>IF(E16*0.1&lt;E14,"Exceed 10% Rule","")</f>
        <v/>
      </c>
    </row>
    <row r="16" spans="1:5">
      <c r="A16" s="151" t="s">
        <v>47</v>
      </c>
      <c r="B16" s="317"/>
      <c r="C16" s="314">
        <f>SUM(C8:C14)</f>
        <v>44170</v>
      </c>
      <c r="D16" s="263">
        <f>SUM(D8:D14)</f>
        <v>48546.47</v>
      </c>
      <c r="E16" s="263">
        <f>SUM(E8:E14)</f>
        <v>49382.5</v>
      </c>
    </row>
    <row r="17" spans="1:5">
      <c r="A17" s="151" t="s">
        <v>48</v>
      </c>
      <c r="B17" s="317"/>
      <c r="C17" s="314">
        <f>C6+C16</f>
        <v>144814.24</v>
      </c>
      <c r="D17" s="263">
        <f>D6+D16</f>
        <v>167075.28</v>
      </c>
      <c r="E17" s="263">
        <f>E6+E16</f>
        <v>189657.78</v>
      </c>
    </row>
    <row r="18" spans="1:5">
      <c r="A18" s="37" t="s">
        <v>50</v>
      </c>
      <c r="B18" s="317"/>
      <c r="C18" s="119"/>
      <c r="D18" s="85"/>
      <c r="E18" s="85"/>
    </row>
    <row r="19" spans="1:5">
      <c r="A19" s="301" t="s">
        <v>444</v>
      </c>
      <c r="B19" s="318"/>
      <c r="C19" s="313">
        <v>26285.43</v>
      </c>
      <c r="D19" s="9">
        <v>26800</v>
      </c>
      <c r="E19" s="9">
        <v>27412.5</v>
      </c>
    </row>
    <row r="20" spans="1:5">
      <c r="A20" s="301" t="s">
        <v>446</v>
      </c>
      <c r="B20" s="318"/>
      <c r="C20" s="313">
        <v>0</v>
      </c>
      <c r="D20" s="9">
        <v>0</v>
      </c>
      <c r="E20" s="9">
        <v>162245.28</v>
      </c>
    </row>
    <row r="21" spans="1:5">
      <c r="A21" s="301"/>
      <c r="B21" s="318"/>
      <c r="C21" s="313"/>
      <c r="D21" s="9"/>
      <c r="E21" s="9"/>
    </row>
    <row r="22" spans="1:5">
      <c r="A22" s="301"/>
      <c r="B22" s="318"/>
      <c r="C22" s="313"/>
      <c r="D22" s="9"/>
      <c r="E22" s="9"/>
    </row>
    <row r="23" spans="1:5">
      <c r="A23" s="301"/>
      <c r="B23" s="318"/>
      <c r="C23" s="313"/>
      <c r="D23" s="9"/>
      <c r="E23" s="9"/>
    </row>
    <row r="24" spans="1:5">
      <c r="A24" s="301"/>
      <c r="B24" s="318"/>
      <c r="C24" s="313"/>
      <c r="D24" s="9"/>
      <c r="E24" s="9"/>
    </row>
    <row r="25" spans="1:5">
      <c r="A25" s="301"/>
      <c r="B25" s="318"/>
      <c r="C25" s="313"/>
      <c r="D25" s="9"/>
      <c r="E25" s="9"/>
    </row>
    <row r="26" spans="1:5">
      <c r="A26" s="301"/>
      <c r="B26" s="318"/>
      <c r="C26" s="313"/>
      <c r="D26" s="9"/>
      <c r="E26" s="9"/>
    </row>
    <row r="27" spans="1:5">
      <c r="A27" s="319" t="s">
        <v>351</v>
      </c>
      <c r="B27" s="317"/>
      <c r="C27" s="313"/>
      <c r="D27" s="313"/>
      <c r="E27" s="313"/>
    </row>
    <row r="28" spans="1:5">
      <c r="A28" s="319" t="s">
        <v>352</v>
      </c>
      <c r="B28" s="317"/>
      <c r="C28" s="355" t="str">
        <f>IF(C29*0.1&lt;C27,"Exceed 10% Rule","")</f>
        <v/>
      </c>
      <c r="D28" s="355" t="str">
        <f>IF(D29*0.1&lt;D27,"Exceed 10% Rule","")</f>
        <v/>
      </c>
      <c r="E28" s="355" t="str">
        <f>IF(E29*0.1&lt;E27,"Exceed 10% Rule","")</f>
        <v/>
      </c>
    </row>
    <row r="29" spans="1:5">
      <c r="A29" s="151" t="s">
        <v>54</v>
      </c>
      <c r="B29" s="317"/>
      <c r="C29" s="314">
        <f>SUM(C19:C27)</f>
        <v>26285.43</v>
      </c>
      <c r="D29" s="263">
        <f>SUM(D19:D27)</f>
        <v>26800</v>
      </c>
      <c r="E29" s="263">
        <f>SUM(E19:E27)</f>
        <v>189657.78</v>
      </c>
    </row>
    <row r="30" spans="1:5">
      <c r="A30" s="37" t="s">
        <v>177</v>
      </c>
      <c r="B30" s="317"/>
      <c r="C30" s="315">
        <f>C17-C29</f>
        <v>118528.81</v>
      </c>
      <c r="D30" s="262">
        <f>D17-D29</f>
        <v>140275.28</v>
      </c>
      <c r="E30" s="262">
        <f>E17-E29</f>
        <v>0</v>
      </c>
    </row>
    <row r="31" spans="1:5">
      <c r="A31" s="23" t="str">
        <f>CONCATENATE("",E1-2," Budget Authority Limited Amount:")</f>
        <v>2011 Budget Authority Limited Amount:</v>
      </c>
      <c r="B31" s="338">
        <f>inputOth!B75</f>
        <v>138753</v>
      </c>
      <c r="C31" s="65"/>
      <c r="D31" s="65"/>
      <c r="E31" s="65"/>
    </row>
    <row r="32" spans="1:5">
      <c r="A32" s="23" t="str">
        <f>CONCATENATE("Violation of Budget Law for ",E1-2,":")</f>
        <v>Violation of Budget Law for 2011:</v>
      </c>
      <c r="B32" s="339" t="str">
        <f>IF(C29&gt;B31,"Yes","")</f>
        <v/>
      </c>
      <c r="C32" s="65"/>
      <c r="D32" s="65"/>
      <c r="E32" s="65"/>
    </row>
    <row r="33" spans="1:7">
      <c r="A33" s="23" t="str">
        <f>CONCATENATE("Possible Cash Violation for ",E1-2,":")</f>
        <v>Possible Cash Violation for 2011:</v>
      </c>
      <c r="B33" s="339" t="str">
        <f>IF(C30&lt;0,"Yes","")</f>
        <v/>
      </c>
      <c r="C33" s="65"/>
      <c r="D33" s="65"/>
      <c r="E33" s="65"/>
    </row>
    <row r="34" spans="1:7">
      <c r="A34" s="21"/>
      <c r="B34" s="21"/>
      <c r="C34" s="65"/>
      <c r="D34" s="65"/>
      <c r="E34" s="65"/>
    </row>
    <row r="35" spans="1:7">
      <c r="A35" s="25" t="s">
        <v>41</v>
      </c>
      <c r="B35" s="25"/>
      <c r="C35" s="102"/>
      <c r="D35" s="102"/>
      <c r="E35" s="102"/>
    </row>
    <row r="36" spans="1:7">
      <c r="A36" s="21"/>
      <c r="B36" s="21"/>
      <c r="C36" s="93" t="s">
        <v>62</v>
      </c>
      <c r="D36" s="33" t="s">
        <v>205</v>
      </c>
      <c r="E36" s="33" t="s">
        <v>206</v>
      </c>
    </row>
    <row r="37" spans="1:7">
      <c r="A37" s="137" t="str">
        <f>+inputPrYr!B45</f>
        <v>Veterans Memorial Stadium (VMS)</v>
      </c>
      <c r="B37" s="137"/>
      <c r="C37" s="145">
        <f>C5</f>
        <v>2011</v>
      </c>
      <c r="D37" s="145">
        <f>D5</f>
        <v>2012</v>
      </c>
      <c r="E37" s="145">
        <f>E5</f>
        <v>2013</v>
      </c>
    </row>
    <row r="38" spans="1:7">
      <c r="A38" s="311" t="s">
        <v>176</v>
      </c>
      <c r="B38" s="317"/>
      <c r="C38" s="313">
        <v>18672.64</v>
      </c>
      <c r="D38" s="85">
        <f>C69</f>
        <v>18609.020000000004</v>
      </c>
      <c r="E38" s="85">
        <f>D69</f>
        <v>18009.020000000004</v>
      </c>
      <c r="G38" s="406"/>
    </row>
    <row r="39" spans="1:7" s="7" customFormat="1">
      <c r="A39" s="316" t="s">
        <v>178</v>
      </c>
      <c r="B39" s="317"/>
      <c r="C39" s="305"/>
      <c r="D39" s="40"/>
      <c r="E39" s="40"/>
    </row>
    <row r="40" spans="1:7">
      <c r="A40" s="301" t="s">
        <v>486</v>
      </c>
      <c r="B40" s="318"/>
      <c r="C40" s="313">
        <v>0</v>
      </c>
      <c r="D40" s="9">
        <v>0</v>
      </c>
      <c r="E40" s="9">
        <v>0</v>
      </c>
    </row>
    <row r="41" spans="1:7">
      <c r="A41" s="301" t="s">
        <v>470</v>
      </c>
      <c r="B41" s="318"/>
      <c r="C41" s="313">
        <v>0</v>
      </c>
      <c r="D41" s="9">
        <v>0</v>
      </c>
      <c r="E41" s="9">
        <v>0</v>
      </c>
    </row>
    <row r="42" spans="1:7">
      <c r="A42" s="301" t="s">
        <v>471</v>
      </c>
      <c r="B42" s="318"/>
      <c r="C42" s="313">
        <v>9095.3700000000008</v>
      </c>
      <c r="D42" s="9">
        <v>10000</v>
      </c>
      <c r="E42" s="9">
        <v>10000</v>
      </c>
    </row>
    <row r="43" spans="1:7">
      <c r="A43" s="301" t="s">
        <v>475</v>
      </c>
      <c r="B43" s="318"/>
      <c r="C43" s="313">
        <v>0</v>
      </c>
      <c r="D43" s="9">
        <v>0</v>
      </c>
      <c r="E43" s="9">
        <v>0</v>
      </c>
    </row>
    <row r="44" spans="1:7">
      <c r="A44" s="301" t="s">
        <v>432</v>
      </c>
      <c r="B44" s="318"/>
      <c r="C44" s="313">
        <v>0</v>
      </c>
      <c r="D44" s="9">
        <v>0</v>
      </c>
      <c r="E44" s="9">
        <v>0</v>
      </c>
    </row>
    <row r="45" spans="1:7">
      <c r="A45" s="301"/>
      <c r="B45" s="318"/>
      <c r="C45" s="313"/>
      <c r="D45" s="9"/>
      <c r="E45" s="9"/>
    </row>
    <row r="46" spans="1:7">
      <c r="A46" s="301"/>
      <c r="B46" s="318"/>
      <c r="C46" s="313"/>
      <c r="D46" s="9"/>
      <c r="E46" s="9"/>
    </row>
    <row r="47" spans="1:7">
      <c r="A47" s="301"/>
      <c r="B47" s="318"/>
      <c r="C47" s="313"/>
      <c r="D47" s="9"/>
      <c r="E47" s="9"/>
    </row>
    <row r="48" spans="1:7">
      <c r="A48" s="301"/>
      <c r="B48" s="318"/>
      <c r="C48" s="313"/>
      <c r="D48" s="9"/>
      <c r="E48" s="9"/>
    </row>
    <row r="49" spans="1:5">
      <c r="A49" s="312" t="s">
        <v>46</v>
      </c>
      <c r="B49" s="318"/>
      <c r="C49" s="313"/>
      <c r="D49" s="9"/>
      <c r="E49" s="9"/>
    </row>
    <row r="50" spans="1:5">
      <c r="A50" s="321" t="s">
        <v>351</v>
      </c>
      <c r="B50" s="317"/>
      <c r="C50" s="313"/>
      <c r="D50" s="313"/>
      <c r="E50" s="313"/>
    </row>
    <row r="51" spans="1:5">
      <c r="A51" s="311" t="s">
        <v>353</v>
      </c>
      <c r="B51" s="317"/>
      <c r="C51" s="355" t="str">
        <f>IF(C52*0.1&lt;C50,"Exceed 10% Rule","")</f>
        <v/>
      </c>
      <c r="D51" s="355" t="str">
        <f>IF(D52*0.1&lt;D50,"Exceed 10% Rule","")</f>
        <v/>
      </c>
      <c r="E51" s="355" t="str">
        <f>IF(E52*0.1&lt;E50,"Exceed 10% Rule","")</f>
        <v/>
      </c>
    </row>
    <row r="52" spans="1:5">
      <c r="A52" s="151" t="s">
        <v>47</v>
      </c>
      <c r="B52" s="317"/>
      <c r="C52" s="314">
        <f>SUM(C40:C50)</f>
        <v>9095.3700000000008</v>
      </c>
      <c r="D52" s="263">
        <f>SUM(D40:D50)</f>
        <v>10000</v>
      </c>
      <c r="E52" s="263">
        <f>SUM(E40:E50)</f>
        <v>10000</v>
      </c>
    </row>
    <row r="53" spans="1:5">
      <c r="A53" s="151" t="s">
        <v>48</v>
      </c>
      <c r="B53" s="317"/>
      <c r="C53" s="314">
        <f>C38+C52</f>
        <v>27768.010000000002</v>
      </c>
      <c r="D53" s="263">
        <f>D38+D52</f>
        <v>28609.020000000004</v>
      </c>
      <c r="E53" s="263">
        <f>E38+E52</f>
        <v>28009.020000000004</v>
      </c>
    </row>
    <row r="54" spans="1:5">
      <c r="A54" s="37" t="s">
        <v>50</v>
      </c>
      <c r="B54" s="317"/>
      <c r="C54" s="119"/>
      <c r="D54" s="85"/>
      <c r="E54" s="85"/>
    </row>
    <row r="55" spans="1:5">
      <c r="A55" s="301" t="s">
        <v>444</v>
      </c>
      <c r="B55" s="318"/>
      <c r="C55" s="313">
        <v>9158.99</v>
      </c>
      <c r="D55" s="9">
        <v>10600</v>
      </c>
      <c r="E55" s="9">
        <v>11350</v>
      </c>
    </row>
    <row r="56" spans="1:5">
      <c r="A56" s="301" t="s">
        <v>445</v>
      </c>
      <c r="B56" s="318"/>
      <c r="C56" s="313">
        <v>0</v>
      </c>
      <c r="D56" s="9">
        <v>0</v>
      </c>
      <c r="E56" s="9">
        <v>0</v>
      </c>
    </row>
    <row r="57" spans="1:5">
      <c r="A57" s="301" t="s">
        <v>446</v>
      </c>
      <c r="B57" s="318"/>
      <c r="C57" s="313">
        <v>0</v>
      </c>
      <c r="D57" s="9">
        <v>0</v>
      </c>
      <c r="E57" s="17">
        <v>16659.02</v>
      </c>
    </row>
    <row r="58" spans="1:5">
      <c r="A58" s="301"/>
      <c r="B58" s="318"/>
      <c r="C58" s="313"/>
      <c r="D58" s="9"/>
      <c r="E58" s="9"/>
    </row>
    <row r="59" spans="1:5">
      <c r="A59" s="301"/>
      <c r="B59" s="318"/>
      <c r="C59" s="313"/>
      <c r="D59" s="9"/>
      <c r="E59" s="9"/>
    </row>
    <row r="60" spans="1:5">
      <c r="A60" s="301"/>
      <c r="B60" s="318"/>
      <c r="C60" s="313"/>
      <c r="D60" s="9"/>
      <c r="E60" s="9"/>
    </row>
    <row r="61" spans="1:5">
      <c r="A61" s="301"/>
      <c r="B61" s="318"/>
      <c r="C61" s="313"/>
      <c r="D61" s="9"/>
      <c r="E61" s="9"/>
    </row>
    <row r="62" spans="1:5">
      <c r="A62" s="301"/>
      <c r="B62" s="318"/>
      <c r="C62" s="313"/>
      <c r="D62" s="9"/>
      <c r="E62" s="9"/>
    </row>
    <row r="63" spans="1:5">
      <c r="A63" s="301"/>
      <c r="B63" s="318"/>
      <c r="C63" s="313"/>
      <c r="D63" s="9"/>
      <c r="E63" s="9"/>
    </row>
    <row r="64" spans="1:5">
      <c r="A64" s="301"/>
      <c r="B64" s="318"/>
      <c r="C64" s="313"/>
      <c r="D64" s="9"/>
      <c r="E64" s="9"/>
    </row>
    <row r="65" spans="1:5">
      <c r="A65" s="301"/>
      <c r="B65" s="318"/>
      <c r="C65" s="313"/>
      <c r="D65" s="9"/>
      <c r="E65" s="9"/>
    </row>
    <row r="66" spans="1:5">
      <c r="A66" s="319" t="s">
        <v>351</v>
      </c>
      <c r="B66" s="317"/>
      <c r="C66" s="313"/>
      <c r="D66" s="313"/>
      <c r="E66" s="313"/>
    </row>
    <row r="67" spans="1:5">
      <c r="A67" s="319" t="s">
        <v>352</v>
      </c>
      <c r="B67" s="317"/>
      <c r="C67" s="355" t="str">
        <f>IF(C68*0.1&lt;C66,"Exceed 10% Rule","")</f>
        <v/>
      </c>
      <c r="D67" s="355" t="str">
        <f>IF(D68*0.1&lt;D66,"Exceed 10% Rule","")</f>
        <v/>
      </c>
      <c r="E67" s="355" t="str">
        <f>IF(E68*0.1&lt;E66,"Exceed 10% Rule","")</f>
        <v/>
      </c>
    </row>
    <row r="68" spans="1:5">
      <c r="A68" s="151" t="s">
        <v>54</v>
      </c>
      <c r="B68" s="317"/>
      <c r="C68" s="314">
        <f>SUM(C55:C66)</f>
        <v>9158.99</v>
      </c>
      <c r="D68" s="263">
        <f>SUM(D55:D66)</f>
        <v>10600</v>
      </c>
      <c r="E68" s="263">
        <f>SUM(E55:E66)</f>
        <v>28009.02</v>
      </c>
    </row>
    <row r="69" spans="1:5">
      <c r="A69" s="37" t="s">
        <v>177</v>
      </c>
      <c r="B69" s="317"/>
      <c r="C69" s="315">
        <f>C53-C68</f>
        <v>18609.020000000004</v>
      </c>
      <c r="D69" s="262">
        <f>D53-D68</f>
        <v>18009.020000000004</v>
      </c>
      <c r="E69" s="262">
        <f>E53-E68</f>
        <v>0</v>
      </c>
    </row>
    <row r="70" spans="1:5">
      <c r="A70" s="23" t="str">
        <f>CONCATENATE("",E1-2," Budget Authority Limited Amount:")</f>
        <v>2011 Budget Authority Limited Amount:</v>
      </c>
      <c r="B70" s="338">
        <f>inputOth!B76</f>
        <v>30048</v>
      </c>
      <c r="C70" s="21"/>
      <c r="D70" s="21"/>
      <c r="E70" s="21"/>
    </row>
    <row r="71" spans="1:5">
      <c r="A71" s="23" t="str">
        <f>CONCATENATE("Violation of Budget Law for ",E1-2,":")</f>
        <v>Violation of Budget Law for 2011:</v>
      </c>
      <c r="B71" s="339" t="str">
        <f>IF(C68&gt;B70,"Yes","")</f>
        <v/>
      </c>
      <c r="C71" s="21"/>
      <c r="D71" s="21"/>
      <c r="E71" s="21"/>
    </row>
    <row r="72" spans="1:5">
      <c r="A72" s="23" t="str">
        <f>CONCATENATE("Possible Cash Violation for ",E1-2,":")</f>
        <v>Possible Cash Violation for 2011:</v>
      </c>
      <c r="B72" s="339" t="str">
        <f>IF(C69&lt;0,"Yes","")</f>
        <v/>
      </c>
      <c r="C72" s="21"/>
      <c r="D72" s="21"/>
      <c r="E72" s="21"/>
    </row>
    <row r="73" spans="1:5">
      <c r="A73" s="21"/>
      <c r="B73" s="21"/>
      <c r="C73" s="21"/>
      <c r="D73" s="21"/>
      <c r="E73" s="21"/>
    </row>
    <row r="74" spans="1:5">
      <c r="A74" s="24"/>
      <c r="B74" s="24" t="s">
        <v>58</v>
      </c>
      <c r="C74" s="100">
        <v>16</v>
      </c>
      <c r="D74" s="21"/>
      <c r="E74" s="21"/>
    </row>
  </sheetData>
  <phoneticPr fontId="10" type="noConversion"/>
  <conditionalFormatting sqref="C66">
    <cfRule type="cellIs" dxfId="59" priority="1" stopIfTrue="1" operator="greaterThan">
      <formula>$C$68*0.1</formula>
    </cfRule>
  </conditionalFormatting>
  <conditionalFormatting sqref="D66">
    <cfRule type="cellIs" dxfId="58" priority="2" stopIfTrue="1" operator="greaterThan">
      <formula>$D$68*0.1</formula>
    </cfRule>
  </conditionalFormatting>
  <conditionalFormatting sqref="E66">
    <cfRule type="cellIs" dxfId="57" priority="3" stopIfTrue="1" operator="greaterThan">
      <formula>$E$68*0.1</formula>
    </cfRule>
  </conditionalFormatting>
  <conditionalFormatting sqref="C27">
    <cfRule type="cellIs" dxfId="56" priority="4" stopIfTrue="1" operator="greaterThan">
      <formula>$C$29*0.1</formula>
    </cfRule>
  </conditionalFormatting>
  <conditionalFormatting sqref="D27">
    <cfRule type="cellIs" dxfId="55" priority="5" stopIfTrue="1" operator="greaterThan">
      <formula>$D$29*0.1</formula>
    </cfRule>
  </conditionalFormatting>
  <conditionalFormatting sqref="E27">
    <cfRule type="cellIs" dxfId="54" priority="6" stopIfTrue="1" operator="greaterThan">
      <formula>$E$29*0.1</formula>
    </cfRule>
  </conditionalFormatting>
  <conditionalFormatting sqref="C50">
    <cfRule type="cellIs" dxfId="53" priority="7" stopIfTrue="1" operator="greaterThan">
      <formula>$C$52*0.1</formula>
    </cfRule>
  </conditionalFormatting>
  <conditionalFormatting sqref="D50">
    <cfRule type="cellIs" dxfId="52" priority="8" stopIfTrue="1" operator="greaterThan">
      <formula>$D$52*0.1</formula>
    </cfRule>
  </conditionalFormatting>
  <conditionalFormatting sqref="E50">
    <cfRule type="cellIs" dxfId="51" priority="9" stopIfTrue="1" operator="greaterThan">
      <formula>$E$52*0.1</formula>
    </cfRule>
  </conditionalFormatting>
  <conditionalFormatting sqref="C14">
    <cfRule type="cellIs" dxfId="50" priority="10" stopIfTrue="1" operator="greaterThan">
      <formula>$C$16*0.1</formula>
    </cfRule>
  </conditionalFormatting>
  <conditionalFormatting sqref="D14">
    <cfRule type="cellIs" dxfId="49" priority="11" stopIfTrue="1" operator="greaterThan">
      <formula>$D$16*0.1</formula>
    </cfRule>
  </conditionalFormatting>
  <conditionalFormatting sqref="E14">
    <cfRule type="cellIs" dxfId="48" priority="12" stopIfTrue="1" operator="greaterThan">
      <formula>$E$16*0.1</formula>
    </cfRule>
  </conditionalFormatting>
  <pageMargins left="0.5" right="0.5" top="1" bottom="0.5" header="0.5" footer="0.5"/>
  <pageSetup scale="66" orientation="portrait" blackAndWhite="1" r:id="rId1"/>
  <headerFooter alignWithMargins="0">
    <oddHeader>&amp;RState of Kansas
Coffeyville</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E74"/>
  <sheetViews>
    <sheetView view="pageBreakPreview" zoomScaleNormal="100" workbookViewId="0">
      <selection activeCell="C30" sqref="C30"/>
    </sheetView>
  </sheetViews>
  <sheetFormatPr defaultRowHeight="15.75"/>
  <cols>
    <col min="1" max="1" width="28.77734375" style="2" customWidth="1"/>
    <col min="2" max="2" width="9.5546875" style="2" customWidth="1"/>
    <col min="3" max="4" width="16.44140625" style="2" customWidth="1"/>
    <col min="5" max="5" width="16.44140625" style="2" bestFit="1" customWidth="1"/>
    <col min="6" max="16384" width="8.88671875" style="2"/>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62</v>
      </c>
      <c r="D4" s="33" t="s">
        <v>205</v>
      </c>
      <c r="E4" s="33" t="s">
        <v>206</v>
      </c>
    </row>
    <row r="5" spans="1:5">
      <c r="A5" s="137" t="str">
        <f>inputPrYr!B46</f>
        <v>Refuse Utility</v>
      </c>
      <c r="B5" s="137"/>
      <c r="C5" s="145">
        <f>E1-2</f>
        <v>2011</v>
      </c>
      <c r="D5" s="145">
        <f>E1-1</f>
        <v>2012</v>
      </c>
      <c r="E5" s="145">
        <f>E1</f>
        <v>2013</v>
      </c>
    </row>
    <row r="6" spans="1:5">
      <c r="A6" s="311" t="s">
        <v>176</v>
      </c>
      <c r="B6" s="317"/>
      <c r="C6" s="313">
        <v>111018.54</v>
      </c>
      <c r="D6" s="85">
        <f>C33</f>
        <v>186743.08999999997</v>
      </c>
      <c r="E6" s="85">
        <f>D33</f>
        <v>192191.89</v>
      </c>
    </row>
    <row r="7" spans="1:5" s="7" customFormat="1">
      <c r="A7" s="316" t="s">
        <v>178</v>
      </c>
      <c r="B7" s="317"/>
      <c r="C7" s="305"/>
      <c r="D7" s="40"/>
      <c r="E7" s="40"/>
    </row>
    <row r="8" spans="1:5">
      <c r="A8" s="301" t="s">
        <v>476</v>
      </c>
      <c r="B8" s="318"/>
      <c r="C8" s="313">
        <v>577909.59</v>
      </c>
      <c r="D8" s="9">
        <v>585130</v>
      </c>
      <c r="E8" s="9">
        <v>585130</v>
      </c>
    </row>
    <row r="9" spans="1:5">
      <c r="A9" s="301" t="s">
        <v>487</v>
      </c>
      <c r="B9" s="318"/>
      <c r="C9" s="313">
        <v>8353.7800000000007</v>
      </c>
      <c r="D9" s="9">
        <v>8000</v>
      </c>
      <c r="E9" s="9">
        <v>8000</v>
      </c>
    </row>
    <row r="10" spans="1:5">
      <c r="A10" s="301" t="s">
        <v>434</v>
      </c>
      <c r="B10" s="318"/>
      <c r="C10" s="313">
        <v>30884.82</v>
      </c>
      <c r="D10" s="9">
        <v>15000</v>
      </c>
      <c r="E10" s="9">
        <v>15000</v>
      </c>
    </row>
    <row r="11" spans="1:5">
      <c r="A11" s="301"/>
      <c r="B11" s="318"/>
      <c r="C11" s="313"/>
      <c r="D11" s="9"/>
      <c r="E11" s="9"/>
    </row>
    <row r="12" spans="1:5">
      <c r="A12" s="301"/>
      <c r="B12" s="318"/>
      <c r="C12" s="313"/>
      <c r="D12" s="9"/>
      <c r="E12" s="9"/>
    </row>
    <row r="13" spans="1:5">
      <c r="A13" s="301"/>
      <c r="B13" s="318"/>
      <c r="C13" s="313"/>
      <c r="D13" s="9"/>
      <c r="E13" s="9"/>
    </row>
    <row r="14" spans="1:5">
      <c r="A14" s="312" t="s">
        <v>46</v>
      </c>
      <c r="B14" s="318"/>
      <c r="C14" s="313"/>
      <c r="D14" s="9"/>
      <c r="E14" s="9"/>
    </row>
    <row r="15" spans="1:5">
      <c r="A15" s="321" t="s">
        <v>351</v>
      </c>
      <c r="B15" s="317"/>
      <c r="C15" s="313"/>
      <c r="D15" s="313"/>
      <c r="E15" s="313"/>
    </row>
    <row r="16" spans="1:5">
      <c r="A16" s="311" t="s">
        <v>353</v>
      </c>
      <c r="B16" s="317"/>
      <c r="C16" s="355" t="str">
        <f>IF(C17*0.1&lt;C15,"Exceed 10% Rule","")</f>
        <v/>
      </c>
      <c r="D16" s="355" t="str">
        <f>IF(D17*0.1&lt;D15,"Exceed 10% Rule","")</f>
        <v/>
      </c>
      <c r="E16" s="355" t="str">
        <f>IF(E17*0.1&lt;E15,"Exceed 10% Rule","")</f>
        <v/>
      </c>
    </row>
    <row r="17" spans="1:5">
      <c r="A17" s="151" t="s">
        <v>47</v>
      </c>
      <c r="B17" s="317"/>
      <c r="C17" s="314">
        <f>SUM(C8:C15)</f>
        <v>617148.18999999994</v>
      </c>
      <c r="D17" s="263">
        <f>SUM(D8:D15)</f>
        <v>608130</v>
      </c>
      <c r="E17" s="263">
        <f>SUM(E8:E15)</f>
        <v>608130</v>
      </c>
    </row>
    <row r="18" spans="1:5">
      <c r="A18" s="151" t="s">
        <v>48</v>
      </c>
      <c r="B18" s="317"/>
      <c r="C18" s="314">
        <f>C6+C17</f>
        <v>728166.73</v>
      </c>
      <c r="D18" s="263">
        <f>D6+D17</f>
        <v>794873.09</v>
      </c>
      <c r="E18" s="263">
        <f>E6+E17</f>
        <v>800321.89</v>
      </c>
    </row>
    <row r="19" spans="1:5">
      <c r="A19" s="37" t="s">
        <v>50</v>
      </c>
      <c r="B19" s="317"/>
      <c r="C19" s="119"/>
      <c r="D19" s="85"/>
      <c r="E19" s="85"/>
    </row>
    <row r="20" spans="1:5">
      <c r="A20" s="301" t="s">
        <v>444</v>
      </c>
      <c r="B20" s="318"/>
      <c r="C20" s="313">
        <v>537923.64</v>
      </c>
      <c r="D20" s="9">
        <v>599181.19999999995</v>
      </c>
      <c r="E20" s="9">
        <v>600931.19999999995</v>
      </c>
    </row>
    <row r="21" spans="1:5">
      <c r="A21" s="301" t="s">
        <v>445</v>
      </c>
      <c r="B21" s="318"/>
      <c r="C21" s="313">
        <v>3500</v>
      </c>
      <c r="D21" s="9">
        <v>3500</v>
      </c>
      <c r="E21" s="9">
        <v>3500</v>
      </c>
    </row>
    <row r="22" spans="1:5">
      <c r="A22" s="301" t="s">
        <v>446</v>
      </c>
      <c r="B22" s="318"/>
      <c r="C22" s="313">
        <v>0</v>
      </c>
      <c r="D22" s="9">
        <v>0</v>
      </c>
      <c r="E22" s="9">
        <v>195890.69</v>
      </c>
    </row>
    <row r="23" spans="1:5">
      <c r="A23" s="301"/>
      <c r="B23" s="318"/>
      <c r="C23" s="313"/>
      <c r="D23" s="9"/>
      <c r="E23" s="9"/>
    </row>
    <row r="24" spans="1:5">
      <c r="A24" s="301"/>
      <c r="B24" s="318"/>
      <c r="C24" s="313"/>
      <c r="D24" s="9"/>
      <c r="E24" s="9"/>
    </row>
    <row r="25" spans="1:5">
      <c r="A25" s="301"/>
      <c r="B25" s="318"/>
      <c r="C25" s="313"/>
      <c r="D25" s="9"/>
      <c r="E25" s="9"/>
    </row>
    <row r="26" spans="1:5">
      <c r="A26" s="301"/>
      <c r="B26" s="318"/>
      <c r="C26" s="313"/>
      <c r="D26" s="9"/>
      <c r="E26" s="9"/>
    </row>
    <row r="27" spans="1:5">
      <c r="A27" s="301"/>
      <c r="B27" s="318"/>
      <c r="C27" s="313"/>
      <c r="D27" s="9"/>
      <c r="E27" s="9"/>
    </row>
    <row r="28" spans="1:5">
      <c r="A28" s="301"/>
      <c r="B28" s="318"/>
      <c r="C28" s="313"/>
      <c r="D28" s="9"/>
      <c r="E28" s="9"/>
    </row>
    <row r="29" spans="1:5">
      <c r="A29" s="301"/>
      <c r="B29" s="318"/>
      <c r="C29" s="313"/>
      <c r="D29" s="9"/>
      <c r="E29" s="9"/>
    </row>
    <row r="30" spans="1:5">
      <c r="A30" s="319" t="s">
        <v>351</v>
      </c>
      <c r="B30" s="317"/>
      <c r="C30" s="313"/>
      <c r="D30" s="313"/>
      <c r="E30" s="313"/>
    </row>
    <row r="31" spans="1:5">
      <c r="A31" s="319" t="s">
        <v>352</v>
      </c>
      <c r="B31" s="317"/>
      <c r="C31" s="355" t="str">
        <f>IF(C32*0.1&lt;C30,"Exceed 10% Rule","")</f>
        <v/>
      </c>
      <c r="D31" s="355" t="str">
        <f>IF(D32*0.1&lt;D30,"Exceed 10% Rule","")</f>
        <v/>
      </c>
      <c r="E31" s="355" t="str">
        <f>IF(E32*0.1&lt;E30,"Exceed 10% Rule","")</f>
        <v/>
      </c>
    </row>
    <row r="32" spans="1:5">
      <c r="A32" s="151" t="s">
        <v>54</v>
      </c>
      <c r="B32" s="317"/>
      <c r="C32" s="314">
        <f>SUM(C20:C30)</f>
        <v>541423.64</v>
      </c>
      <c r="D32" s="263">
        <f>SUM(D20:D30)</f>
        <v>602681.19999999995</v>
      </c>
      <c r="E32" s="263">
        <f>SUM(E20:E30)</f>
        <v>800321.8899999999</v>
      </c>
    </row>
    <row r="33" spans="1:5">
      <c r="A33" s="37" t="s">
        <v>177</v>
      </c>
      <c r="B33" s="317"/>
      <c r="C33" s="315">
        <f>C18-C32</f>
        <v>186743.08999999997</v>
      </c>
      <c r="D33" s="262">
        <f>D18-D32</f>
        <v>192191.89</v>
      </c>
      <c r="E33" s="262">
        <f>E18-E32</f>
        <v>0</v>
      </c>
    </row>
    <row r="34" spans="1:5">
      <c r="A34" s="23" t="str">
        <f>CONCATENATE("",E1-2," Budget Authority Limited Amount:")</f>
        <v>2011 Budget Authority Limited Amount:</v>
      </c>
      <c r="B34" s="338">
        <f>inputOth!B77</f>
        <v>644034</v>
      </c>
      <c r="C34" s="65"/>
      <c r="D34" s="65"/>
      <c r="E34" s="65"/>
    </row>
    <row r="35" spans="1:5">
      <c r="A35" s="23" t="str">
        <f>CONCATENATE("Violation of Budget Law for ",E1-2,":")</f>
        <v>Violation of Budget Law for 2011:</v>
      </c>
      <c r="B35" s="339" t="str">
        <f>IF(C32&gt;B34,"Yes","")</f>
        <v/>
      </c>
      <c r="C35" s="65"/>
      <c r="D35" s="65"/>
      <c r="E35" s="65"/>
    </row>
    <row r="36" spans="1:5">
      <c r="A36" s="23" t="str">
        <f>CONCATENATE("Possible Cash Violation for ",E1-2,":")</f>
        <v>Possible Cash Violation for 2011:</v>
      </c>
      <c r="B36" s="339" t="str">
        <f>IF(C33&lt;0,"Yes","")</f>
        <v/>
      </c>
      <c r="C36" s="65"/>
      <c r="D36" s="65"/>
      <c r="E36" s="65"/>
    </row>
    <row r="37" spans="1:5">
      <c r="A37" s="21"/>
      <c r="B37" s="21"/>
      <c r="C37" s="65"/>
      <c r="D37" s="65"/>
      <c r="E37" s="65"/>
    </row>
    <row r="38" spans="1:5">
      <c r="A38" s="25" t="s">
        <v>41</v>
      </c>
      <c r="B38" s="25"/>
      <c r="C38" s="102"/>
      <c r="D38" s="102"/>
      <c r="E38" s="102"/>
    </row>
    <row r="39" spans="1:5">
      <c r="A39" s="21"/>
      <c r="B39" s="21"/>
      <c r="C39" s="93" t="s">
        <v>62</v>
      </c>
      <c r="D39" s="33" t="s">
        <v>205</v>
      </c>
      <c r="E39" s="33" t="s">
        <v>206</v>
      </c>
    </row>
    <row r="40" spans="1:5">
      <c r="A40" s="137" t="str">
        <f>+inputPrYr!B47</f>
        <v>Internet Utility</v>
      </c>
      <c r="B40" s="137"/>
      <c r="C40" s="145">
        <f>C5</f>
        <v>2011</v>
      </c>
      <c r="D40" s="145">
        <f>D5</f>
        <v>2012</v>
      </c>
      <c r="E40" s="145">
        <f>E5</f>
        <v>2013</v>
      </c>
    </row>
    <row r="41" spans="1:5">
      <c r="A41" s="311" t="s">
        <v>176</v>
      </c>
      <c r="B41" s="317"/>
      <c r="C41" s="313">
        <v>110940.66</v>
      </c>
      <c r="D41" s="85">
        <f>C69</f>
        <v>129283.35</v>
      </c>
      <c r="E41" s="85">
        <f>D69</f>
        <v>112317.97</v>
      </c>
    </row>
    <row r="42" spans="1:5" s="7" customFormat="1">
      <c r="A42" s="316" t="s">
        <v>178</v>
      </c>
      <c r="B42" s="317"/>
      <c r="C42" s="305"/>
      <c r="D42" s="40"/>
      <c r="E42" s="40"/>
    </row>
    <row r="43" spans="1:5">
      <c r="A43" s="301" t="s">
        <v>476</v>
      </c>
      <c r="B43" s="318"/>
      <c r="C43" s="313">
        <v>227490.93</v>
      </c>
      <c r="D43" s="9">
        <v>221692.4</v>
      </c>
      <c r="E43" s="9">
        <v>240298.8</v>
      </c>
    </row>
    <row r="44" spans="1:5">
      <c r="A44" s="301" t="s">
        <v>461</v>
      </c>
      <c r="B44" s="318"/>
      <c r="C44" s="313">
        <v>2595</v>
      </c>
      <c r="D44" s="9">
        <v>0</v>
      </c>
      <c r="E44" s="9">
        <v>0</v>
      </c>
    </row>
    <row r="45" spans="1:5">
      <c r="A45" s="301" t="s">
        <v>477</v>
      </c>
      <c r="B45" s="318"/>
      <c r="C45" s="313">
        <v>750</v>
      </c>
      <c r="D45" s="9">
        <v>1750</v>
      </c>
      <c r="E45" s="9">
        <v>1750</v>
      </c>
    </row>
    <row r="46" spans="1:5">
      <c r="A46" s="301" t="s">
        <v>367</v>
      </c>
      <c r="B46" s="318"/>
      <c r="C46" s="313">
        <v>3355</v>
      </c>
      <c r="D46" s="9">
        <v>2000</v>
      </c>
      <c r="E46" s="9">
        <v>2000</v>
      </c>
    </row>
    <row r="47" spans="1:5">
      <c r="A47" s="301" t="s">
        <v>487</v>
      </c>
      <c r="B47" s="318"/>
      <c r="C47" s="313">
        <v>1790.42</v>
      </c>
      <c r="D47" s="9">
        <v>1750</v>
      </c>
      <c r="E47" s="9">
        <v>1750</v>
      </c>
    </row>
    <row r="48" spans="1:5">
      <c r="A48" s="301" t="s">
        <v>488</v>
      </c>
      <c r="B48" s="318"/>
      <c r="C48" s="313">
        <v>175</v>
      </c>
      <c r="D48" s="9">
        <v>500</v>
      </c>
      <c r="E48" s="9">
        <v>500</v>
      </c>
    </row>
    <row r="49" spans="1:5">
      <c r="A49" s="301" t="s">
        <v>662</v>
      </c>
      <c r="B49" s="318"/>
      <c r="C49" s="313">
        <v>2272</v>
      </c>
      <c r="D49" s="9">
        <v>0</v>
      </c>
      <c r="E49" s="9">
        <v>0</v>
      </c>
    </row>
    <row r="50" spans="1:5">
      <c r="A50" s="312" t="s">
        <v>46</v>
      </c>
      <c r="B50" s="318"/>
      <c r="C50" s="313"/>
      <c r="D50" s="9"/>
      <c r="E50" s="9"/>
    </row>
    <row r="51" spans="1:5">
      <c r="A51" s="321" t="s">
        <v>351</v>
      </c>
      <c r="B51" s="317"/>
      <c r="C51" s="313"/>
      <c r="D51" s="313"/>
      <c r="E51" s="313"/>
    </row>
    <row r="52" spans="1:5">
      <c r="A52" s="311" t="s">
        <v>353</v>
      </c>
      <c r="B52" s="317"/>
      <c r="C52" s="355" t="str">
        <f>IF(C53*0.1&lt;C51,"Exceed 10% Rule","")</f>
        <v/>
      </c>
      <c r="D52" s="355" t="str">
        <f>IF(D53*0.1&lt;D51,"Exceed 10% Rule","")</f>
        <v/>
      </c>
      <c r="E52" s="355" t="str">
        <f>IF(E53*0.1&lt;E51,"Exceed 10% Rule","")</f>
        <v/>
      </c>
    </row>
    <row r="53" spans="1:5">
      <c r="A53" s="151" t="s">
        <v>47</v>
      </c>
      <c r="B53" s="317"/>
      <c r="C53" s="314">
        <f>SUM(C43:C51)</f>
        <v>238428.35</v>
      </c>
      <c r="D53" s="263">
        <f>SUM(D43:D51)</f>
        <v>227692.4</v>
      </c>
      <c r="E53" s="263">
        <f>SUM(E43:E51)</f>
        <v>246298.8</v>
      </c>
    </row>
    <row r="54" spans="1:5">
      <c r="A54" s="151" t="s">
        <v>48</v>
      </c>
      <c r="B54" s="317"/>
      <c r="C54" s="314">
        <f>C41+C53</f>
        <v>349369.01</v>
      </c>
      <c r="D54" s="263">
        <f>D41+D53</f>
        <v>356975.75</v>
      </c>
      <c r="E54" s="263">
        <f>E41+E53</f>
        <v>358616.77</v>
      </c>
    </row>
    <row r="55" spans="1:5">
      <c r="A55" s="37" t="s">
        <v>50</v>
      </c>
      <c r="B55" s="317"/>
      <c r="C55" s="119"/>
      <c r="D55" s="85"/>
      <c r="E55" s="85"/>
    </row>
    <row r="56" spans="1:5">
      <c r="A56" s="301" t="s">
        <v>442</v>
      </c>
      <c r="B56" s="318"/>
      <c r="C56" s="313">
        <v>75576.649999999994</v>
      </c>
      <c r="D56" s="9">
        <v>80137.78</v>
      </c>
      <c r="E56" s="9">
        <v>80620.94</v>
      </c>
    </row>
    <row r="57" spans="1:5">
      <c r="A57" s="301" t="s">
        <v>444</v>
      </c>
      <c r="B57" s="318"/>
      <c r="C57" s="313">
        <f>91523.64+303.28</f>
        <v>91826.92</v>
      </c>
      <c r="D57" s="9">
        <f>100220+300</f>
        <v>100520</v>
      </c>
      <c r="E57" s="9">
        <f>99790+700</f>
        <v>100490</v>
      </c>
    </row>
    <row r="58" spans="1:5">
      <c r="A58" s="301" t="s">
        <v>445</v>
      </c>
      <c r="B58" s="318"/>
      <c r="C58" s="313">
        <v>2921.35</v>
      </c>
      <c r="D58" s="9">
        <v>4000</v>
      </c>
      <c r="E58" s="9">
        <v>4800</v>
      </c>
    </row>
    <row r="59" spans="1:5">
      <c r="A59" s="301" t="s">
        <v>446</v>
      </c>
      <c r="B59" s="318"/>
      <c r="C59" s="313">
        <v>49760.74</v>
      </c>
      <c r="D59" s="9">
        <v>60000</v>
      </c>
      <c r="E59" s="9">
        <v>172706.14</v>
      </c>
    </row>
    <row r="60" spans="1:5">
      <c r="A60" s="301"/>
      <c r="B60" s="318"/>
      <c r="C60" s="313"/>
      <c r="D60" s="9"/>
      <c r="E60" s="9"/>
    </row>
    <row r="61" spans="1:5">
      <c r="A61" s="301"/>
      <c r="B61" s="318"/>
      <c r="C61" s="313"/>
      <c r="D61" s="9"/>
      <c r="E61" s="9"/>
    </row>
    <row r="62" spans="1:5">
      <c r="A62" s="301"/>
      <c r="B62" s="318"/>
      <c r="C62" s="313"/>
      <c r="D62" s="9"/>
      <c r="E62" s="9"/>
    </row>
    <row r="63" spans="1:5">
      <c r="A63" s="301"/>
      <c r="B63" s="318"/>
      <c r="C63" s="313"/>
      <c r="D63" s="9"/>
      <c r="E63" s="9"/>
    </row>
    <row r="64" spans="1:5">
      <c r="A64" s="301"/>
      <c r="B64" s="318"/>
      <c r="C64" s="313"/>
      <c r="D64" s="9"/>
      <c r="E64" s="9"/>
    </row>
    <row r="65" spans="1:5">
      <c r="A65" s="301"/>
      <c r="B65" s="318"/>
      <c r="C65" s="313"/>
      <c r="D65" s="9"/>
      <c r="E65" s="9"/>
    </row>
    <row r="66" spans="1:5">
      <c r="A66" s="319" t="s">
        <v>351</v>
      </c>
      <c r="B66" s="317"/>
      <c r="C66" s="313"/>
      <c r="D66" s="313"/>
      <c r="E66" s="313"/>
    </row>
    <row r="67" spans="1:5">
      <c r="A67" s="319" t="s">
        <v>352</v>
      </c>
      <c r="B67" s="317"/>
      <c r="C67" s="355" t="str">
        <f>IF(C68*0.1&lt;C66,"Exceed 10% Rule","")</f>
        <v/>
      </c>
      <c r="D67" s="355" t="str">
        <f>IF(D68*0.1&lt;D66,"Exceed 10% Rule","")</f>
        <v/>
      </c>
      <c r="E67" s="355" t="str">
        <f>IF(E68*0.1&lt;E66,"Exceed 10% Rule","")</f>
        <v/>
      </c>
    </row>
    <row r="68" spans="1:5">
      <c r="A68" s="151" t="s">
        <v>54</v>
      </c>
      <c r="B68" s="317"/>
      <c r="C68" s="314">
        <f>SUM(C56:C66)</f>
        <v>220085.66</v>
      </c>
      <c r="D68" s="263">
        <f>SUM(D56:D66)</f>
        <v>244657.78</v>
      </c>
      <c r="E68" s="263">
        <f>SUM(E56:E66)</f>
        <v>358617.08</v>
      </c>
    </row>
    <row r="69" spans="1:5">
      <c r="A69" s="37" t="s">
        <v>177</v>
      </c>
      <c r="B69" s="317"/>
      <c r="C69" s="315">
        <f>C54-C68</f>
        <v>129283.35</v>
      </c>
      <c r="D69" s="262">
        <f>D54-D68</f>
        <v>112317.97</v>
      </c>
      <c r="E69" s="262">
        <f>E54-E68</f>
        <v>-0.30999999999767169</v>
      </c>
    </row>
    <row r="70" spans="1:5">
      <c r="A70" s="23" t="str">
        <f>CONCATENATE("",E1-2," Budget Authority Limited Amount:")</f>
        <v>2011 Budget Authority Limited Amount:</v>
      </c>
      <c r="B70" s="338">
        <f>inputOth!B78</f>
        <v>408710</v>
      </c>
      <c r="C70" s="21"/>
      <c r="D70" s="21"/>
      <c r="E70" s="21"/>
    </row>
    <row r="71" spans="1:5">
      <c r="A71" s="23" t="str">
        <f>CONCATENATE("Violation of Budget Law for ",E1-2,":")</f>
        <v>Violation of Budget Law for 2011:</v>
      </c>
      <c r="B71" s="339" t="str">
        <f>IF(C68&gt;B70,"Yes","")</f>
        <v/>
      </c>
      <c r="C71" s="21"/>
      <c r="D71" s="21"/>
      <c r="E71" s="21"/>
    </row>
    <row r="72" spans="1:5">
      <c r="A72" s="23" t="str">
        <f>CONCATENATE("Possible Cash Violation for ",E1-2,":")</f>
        <v>Possible Cash Violation for 2011:</v>
      </c>
      <c r="B72" s="339" t="str">
        <f>IF(C69&lt;0,"Yes","")</f>
        <v/>
      </c>
      <c r="C72" s="21"/>
      <c r="D72" s="21"/>
      <c r="E72" s="21"/>
    </row>
    <row r="73" spans="1:5">
      <c r="A73" s="21"/>
      <c r="B73" s="21"/>
      <c r="C73" s="21"/>
      <c r="D73" s="21"/>
      <c r="E73" s="21"/>
    </row>
    <row r="74" spans="1:5">
      <c r="A74" s="24"/>
      <c r="B74" s="24" t="s">
        <v>58</v>
      </c>
      <c r="C74" s="100">
        <v>17</v>
      </c>
      <c r="D74" s="21"/>
      <c r="E74" s="21"/>
    </row>
  </sheetData>
  <phoneticPr fontId="10" type="noConversion"/>
  <conditionalFormatting sqref="C66">
    <cfRule type="cellIs" dxfId="47" priority="1" stopIfTrue="1" operator="greaterThan">
      <formula>$C$68*0.1</formula>
    </cfRule>
  </conditionalFormatting>
  <conditionalFormatting sqref="D66">
    <cfRule type="cellIs" dxfId="46" priority="2" stopIfTrue="1" operator="greaterThan">
      <formula>$D$68*0.1</formula>
    </cfRule>
  </conditionalFormatting>
  <conditionalFormatting sqref="E66">
    <cfRule type="cellIs" dxfId="45" priority="3" stopIfTrue="1" operator="greaterThan">
      <formula>$E$68*0.1</formula>
    </cfRule>
  </conditionalFormatting>
  <conditionalFormatting sqref="C30">
    <cfRule type="cellIs" dxfId="44" priority="4" stopIfTrue="1" operator="greaterThan">
      <formula>$C$32*0.1</formula>
    </cfRule>
  </conditionalFormatting>
  <conditionalFormatting sqref="D30">
    <cfRule type="cellIs" dxfId="43" priority="5" stopIfTrue="1" operator="greaterThan">
      <formula>$D$32*0.1</formula>
    </cfRule>
  </conditionalFormatting>
  <conditionalFormatting sqref="E30">
    <cfRule type="cellIs" dxfId="42" priority="6" stopIfTrue="1" operator="greaterThan">
      <formula>$E$32*0.1</formula>
    </cfRule>
  </conditionalFormatting>
  <conditionalFormatting sqref="C51">
    <cfRule type="cellIs" dxfId="41" priority="7" stopIfTrue="1" operator="greaterThan">
      <formula>$C$53*0.1</formula>
    </cfRule>
  </conditionalFormatting>
  <conditionalFormatting sqref="D51">
    <cfRule type="cellIs" dxfId="40" priority="8" stopIfTrue="1" operator="greaterThan">
      <formula>$D$53*0.1</formula>
    </cfRule>
  </conditionalFormatting>
  <conditionalFormatting sqref="E51">
    <cfRule type="cellIs" dxfId="39" priority="9" stopIfTrue="1" operator="greaterThan">
      <formula>$E$53*0.1</formula>
    </cfRule>
  </conditionalFormatting>
  <conditionalFormatting sqref="C15">
    <cfRule type="cellIs" dxfId="38" priority="10" stopIfTrue="1" operator="greaterThan">
      <formula>$C$17*0.1</formula>
    </cfRule>
  </conditionalFormatting>
  <conditionalFormatting sqref="D15">
    <cfRule type="cellIs" dxfId="37" priority="11" stopIfTrue="1" operator="greaterThan">
      <formula>$D$17*0.1</formula>
    </cfRule>
  </conditionalFormatting>
  <conditionalFormatting sqref="E15">
    <cfRule type="cellIs" dxfId="36" priority="12" stopIfTrue="1" operator="greaterThan">
      <formula>$E$17*0.1</formula>
    </cfRule>
  </conditionalFormatting>
  <pageMargins left="0.5" right="0.5" top="1" bottom="0.5" header="0.5" footer="0.5"/>
  <pageSetup scale="66" orientation="portrait" blackAndWhite="1" r:id="rId1"/>
  <headerFooter alignWithMargins="0">
    <oddHeader>&amp;RState of Kansas
Coffeyville</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E74"/>
  <sheetViews>
    <sheetView view="pageBreakPreview" zoomScaleNormal="100" workbookViewId="0">
      <selection activeCell="C30" sqref="C30"/>
    </sheetView>
  </sheetViews>
  <sheetFormatPr defaultRowHeight="15.75"/>
  <cols>
    <col min="1" max="1" width="28.77734375" style="2" customWidth="1"/>
    <col min="2" max="2" width="9.5546875" style="2" customWidth="1"/>
    <col min="3" max="4" width="16.44140625" style="2" customWidth="1"/>
    <col min="5" max="5" width="16.44140625" style="2" bestFit="1" customWidth="1"/>
    <col min="6" max="16384" width="8.88671875" style="2"/>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62</v>
      </c>
      <c r="D4" s="33" t="s">
        <v>205</v>
      </c>
      <c r="E4" s="33" t="s">
        <v>206</v>
      </c>
    </row>
    <row r="5" spans="1:5">
      <c r="A5" s="137" t="str">
        <f>inputPrYr!B48</f>
        <v>Stormwater Utility</v>
      </c>
      <c r="B5" s="137"/>
      <c r="C5" s="145">
        <f>E1-2</f>
        <v>2011</v>
      </c>
      <c r="D5" s="145">
        <f>E1-1</f>
        <v>2012</v>
      </c>
      <c r="E5" s="145">
        <f>E1</f>
        <v>2013</v>
      </c>
    </row>
    <row r="6" spans="1:5">
      <c r="A6" s="311" t="s">
        <v>176</v>
      </c>
      <c r="B6" s="317"/>
      <c r="C6" s="313">
        <v>19174.73</v>
      </c>
      <c r="D6" s="85">
        <f>C34</f>
        <v>13953.800000000017</v>
      </c>
      <c r="E6" s="85">
        <f>D34</f>
        <v>21149.380000000034</v>
      </c>
    </row>
    <row r="7" spans="1:5" s="7" customFormat="1">
      <c r="A7" s="316" t="s">
        <v>178</v>
      </c>
      <c r="B7" s="317"/>
      <c r="C7" s="305"/>
      <c r="D7" s="40"/>
      <c r="E7" s="40"/>
    </row>
    <row r="8" spans="1:5">
      <c r="A8" s="301" t="s">
        <v>476</v>
      </c>
      <c r="B8" s="318"/>
      <c r="C8" s="313">
        <v>152911.73000000001</v>
      </c>
      <c r="D8" s="9">
        <v>180848</v>
      </c>
      <c r="E8" s="9">
        <v>236784</v>
      </c>
    </row>
    <row r="9" spans="1:5">
      <c r="A9" s="301" t="s">
        <v>487</v>
      </c>
      <c r="B9" s="318"/>
      <c r="C9" s="313">
        <v>642.79999999999995</v>
      </c>
      <c r="D9" s="9">
        <v>750</v>
      </c>
      <c r="E9" s="9">
        <v>750</v>
      </c>
    </row>
    <row r="10" spans="1:5">
      <c r="A10" s="301" t="s">
        <v>434</v>
      </c>
      <c r="B10" s="318"/>
      <c r="C10" s="313">
        <v>1200</v>
      </c>
      <c r="D10" s="9">
        <v>2500</v>
      </c>
      <c r="E10" s="9">
        <v>4000</v>
      </c>
    </row>
    <row r="11" spans="1:5">
      <c r="A11" s="301"/>
      <c r="B11" s="318"/>
      <c r="C11" s="313"/>
      <c r="D11" s="9"/>
      <c r="E11" s="9"/>
    </row>
    <row r="12" spans="1:5">
      <c r="A12" s="301"/>
      <c r="B12" s="318"/>
      <c r="C12" s="313"/>
      <c r="D12" s="9"/>
      <c r="E12" s="9"/>
    </row>
    <row r="13" spans="1:5">
      <c r="A13" s="301"/>
      <c r="B13" s="318"/>
      <c r="C13" s="313"/>
      <c r="D13" s="9"/>
      <c r="E13" s="9"/>
    </row>
    <row r="14" spans="1:5">
      <c r="A14" s="312" t="s">
        <v>46</v>
      </c>
      <c r="B14" s="318"/>
      <c r="C14" s="313"/>
      <c r="D14" s="9"/>
      <c r="E14" s="9"/>
    </row>
    <row r="15" spans="1:5">
      <c r="A15" s="321" t="s">
        <v>351</v>
      </c>
      <c r="B15" s="317"/>
      <c r="C15" s="313"/>
      <c r="D15" s="313"/>
      <c r="E15" s="313"/>
    </row>
    <row r="16" spans="1:5">
      <c r="A16" s="311" t="s">
        <v>353</v>
      </c>
      <c r="B16" s="317"/>
      <c r="C16" s="355" t="str">
        <f>IF(C17*0.1&lt;C15,"Exceed 10% Rule","")</f>
        <v/>
      </c>
      <c r="D16" s="355" t="str">
        <f>IF(D17*0.1&lt;D15,"Exceed 10% Rule","")</f>
        <v/>
      </c>
      <c r="E16" s="355" t="str">
        <f>IF(E17*0.1&lt;E15,"Exceed 10% Rule","")</f>
        <v/>
      </c>
    </row>
    <row r="17" spans="1:5">
      <c r="A17" s="151" t="s">
        <v>47</v>
      </c>
      <c r="B17" s="317"/>
      <c r="C17" s="314">
        <f>SUM(C8:C15)</f>
        <v>154754.53</v>
      </c>
      <c r="D17" s="263">
        <f>SUM(D8:D15)</f>
        <v>184098</v>
      </c>
      <c r="E17" s="263">
        <f>SUM(E8:E15)</f>
        <v>241534</v>
      </c>
    </row>
    <row r="18" spans="1:5">
      <c r="A18" s="151" t="s">
        <v>48</v>
      </c>
      <c r="B18" s="317"/>
      <c r="C18" s="314">
        <f>C6+C17</f>
        <v>173929.26</v>
      </c>
      <c r="D18" s="263">
        <f>D6+D17</f>
        <v>198051.80000000002</v>
      </c>
      <c r="E18" s="263">
        <f>E6+E17</f>
        <v>262683.38</v>
      </c>
    </row>
    <row r="19" spans="1:5">
      <c r="A19" s="37" t="s">
        <v>50</v>
      </c>
      <c r="B19" s="317"/>
      <c r="C19" s="119"/>
      <c r="D19" s="85"/>
      <c r="E19" s="85"/>
    </row>
    <row r="20" spans="1:5">
      <c r="A20" s="301" t="s">
        <v>442</v>
      </c>
      <c r="B20" s="318"/>
      <c r="C20" s="313">
        <v>111449.16</v>
      </c>
      <c r="D20" s="9">
        <v>119423.42</v>
      </c>
      <c r="E20" s="9">
        <v>120253.94</v>
      </c>
    </row>
    <row r="21" spans="1:5">
      <c r="A21" s="301" t="s">
        <v>444</v>
      </c>
      <c r="B21" s="318"/>
      <c r="C21" s="313">
        <f>5638.04+2777.24</f>
        <v>8415.2799999999988</v>
      </c>
      <c r="D21" s="9">
        <f>5479+3500</f>
        <v>8979</v>
      </c>
      <c r="E21" s="9">
        <f>5597+4000</f>
        <v>9597</v>
      </c>
    </row>
    <row r="22" spans="1:5">
      <c r="A22" s="301" t="s">
        <v>445</v>
      </c>
      <c r="B22" s="318"/>
      <c r="C22" s="313">
        <v>9609.43</v>
      </c>
      <c r="D22" s="9">
        <v>16350</v>
      </c>
      <c r="E22" s="9">
        <v>15925</v>
      </c>
    </row>
    <row r="23" spans="1:5">
      <c r="A23" s="301" t="s">
        <v>446</v>
      </c>
      <c r="B23" s="318"/>
      <c r="C23" s="313">
        <v>501.59</v>
      </c>
      <c r="D23" s="9">
        <v>2150</v>
      </c>
      <c r="E23" s="9">
        <v>41907.43</v>
      </c>
    </row>
    <row r="24" spans="1:5">
      <c r="A24" s="301" t="s">
        <v>478</v>
      </c>
      <c r="B24" s="318"/>
      <c r="C24" s="313">
        <v>30000</v>
      </c>
      <c r="D24" s="9">
        <v>30000</v>
      </c>
      <c r="E24" s="9">
        <v>75000</v>
      </c>
    </row>
    <row r="25" spans="1:5">
      <c r="A25" s="301"/>
      <c r="B25" s="318"/>
      <c r="C25" s="313"/>
      <c r="D25" s="9"/>
      <c r="E25" s="9"/>
    </row>
    <row r="26" spans="1:5">
      <c r="A26" s="301"/>
      <c r="B26" s="318"/>
      <c r="C26" s="313"/>
      <c r="D26" s="9"/>
      <c r="E26" s="9"/>
    </row>
    <row r="27" spans="1:5">
      <c r="A27" s="301"/>
      <c r="B27" s="318"/>
      <c r="C27" s="313"/>
      <c r="D27" s="9"/>
      <c r="E27" s="9"/>
    </row>
    <row r="28" spans="1:5">
      <c r="A28" s="301"/>
      <c r="B28" s="318"/>
      <c r="C28" s="313"/>
      <c r="D28" s="9"/>
      <c r="E28" s="9"/>
    </row>
    <row r="29" spans="1:5">
      <c r="A29" s="301"/>
      <c r="B29" s="318"/>
      <c r="C29" s="313"/>
      <c r="D29" s="9"/>
      <c r="E29" s="9"/>
    </row>
    <row r="30" spans="1:5">
      <c r="A30" s="301"/>
      <c r="B30" s="318"/>
      <c r="C30" s="313"/>
      <c r="D30" s="9"/>
      <c r="E30" s="9"/>
    </row>
    <row r="31" spans="1:5">
      <c r="A31" s="319" t="s">
        <v>351</v>
      </c>
      <c r="B31" s="317"/>
      <c r="C31" s="313"/>
      <c r="D31" s="313"/>
      <c r="E31" s="313"/>
    </row>
    <row r="32" spans="1:5">
      <c r="A32" s="319" t="s">
        <v>352</v>
      </c>
      <c r="B32" s="317"/>
      <c r="C32" s="355" t="str">
        <f>IF(C33*0.1&lt;C31,"Exceed 10% Rule","")</f>
        <v/>
      </c>
      <c r="D32" s="355" t="str">
        <f>IF(D33*0.1&lt;D31,"Exceed 10% Rule","")</f>
        <v/>
      </c>
      <c r="E32" s="355" t="str">
        <f>IF(E33*0.1&lt;E31,"Exceed 10% Rule","")</f>
        <v/>
      </c>
    </row>
    <row r="33" spans="1:5">
      <c r="A33" s="151" t="s">
        <v>54</v>
      </c>
      <c r="B33" s="317"/>
      <c r="C33" s="314">
        <f>SUM(C20:C31)</f>
        <v>159975.46</v>
      </c>
      <c r="D33" s="263">
        <f>SUM(D20:D31)</f>
        <v>176902.41999999998</v>
      </c>
      <c r="E33" s="263">
        <f>SUM(E20:E31)</f>
        <v>262683.37</v>
      </c>
    </row>
    <row r="34" spans="1:5">
      <c r="A34" s="37" t="s">
        <v>177</v>
      </c>
      <c r="B34" s="317"/>
      <c r="C34" s="315">
        <f>C18-C33</f>
        <v>13953.800000000017</v>
      </c>
      <c r="D34" s="262">
        <f>D18-D33</f>
        <v>21149.380000000034</v>
      </c>
      <c r="E34" s="262">
        <f>E18-E33</f>
        <v>1.0000000009313226E-2</v>
      </c>
    </row>
    <row r="35" spans="1:5">
      <c r="A35" s="23" t="str">
        <f>CONCATENATE("",E1-2," Budget Authority Limited Amount:")</f>
        <v>2011 Budget Authority Limited Amount:</v>
      </c>
      <c r="B35" s="338">
        <f>inputOth!B79</f>
        <v>178955</v>
      </c>
      <c r="C35" s="65"/>
      <c r="D35" s="65"/>
      <c r="E35" s="65"/>
    </row>
    <row r="36" spans="1:5">
      <c r="A36" s="23" t="str">
        <f>CONCATENATE("Violation of Budget Law for ",E1-2,":")</f>
        <v>Violation of Budget Law for 2011:</v>
      </c>
      <c r="B36" s="339" t="str">
        <f>IF(C33&gt;B35,"Yes","")</f>
        <v/>
      </c>
      <c r="C36" s="65"/>
      <c r="D36" s="65"/>
      <c r="E36" s="65"/>
    </row>
    <row r="37" spans="1:5">
      <c r="A37" s="23" t="str">
        <f>CONCATENATE("Possible Cash Violation for ",E1-2,":")</f>
        <v>Possible Cash Violation for 2011:</v>
      </c>
      <c r="B37" s="339" t="str">
        <f>IF(C34&lt;0,"Yes","")</f>
        <v/>
      </c>
      <c r="C37" s="65"/>
      <c r="D37" s="65"/>
      <c r="E37" s="65"/>
    </row>
    <row r="38" spans="1:5">
      <c r="A38" s="21"/>
      <c r="B38" s="21"/>
      <c r="C38" s="65"/>
      <c r="D38" s="65"/>
      <c r="E38" s="65"/>
    </row>
    <row r="39" spans="1:5">
      <c r="A39" s="25" t="s">
        <v>41</v>
      </c>
      <c r="B39" s="25"/>
      <c r="C39" s="102"/>
      <c r="D39" s="102"/>
      <c r="E39" s="102"/>
    </row>
    <row r="40" spans="1:5">
      <c r="A40" s="21"/>
      <c r="B40" s="21"/>
      <c r="C40" s="93" t="s">
        <v>62</v>
      </c>
      <c r="D40" s="33" t="s">
        <v>205</v>
      </c>
      <c r="E40" s="33" t="s">
        <v>206</v>
      </c>
    </row>
    <row r="41" spans="1:5">
      <c r="A41" s="137" t="str">
        <f>+inputPrYr!B49</f>
        <v>Electric Debt Service</v>
      </c>
      <c r="B41" s="137"/>
      <c r="C41" s="145">
        <f>C5</f>
        <v>2011</v>
      </c>
      <c r="D41" s="145">
        <f>D5</f>
        <v>2012</v>
      </c>
      <c r="E41" s="145">
        <f>E5</f>
        <v>2013</v>
      </c>
    </row>
    <row r="42" spans="1:5">
      <c r="A42" s="311" t="s">
        <v>176</v>
      </c>
      <c r="B42" s="317"/>
      <c r="C42" s="313">
        <v>174891.62</v>
      </c>
      <c r="D42" s="85">
        <f>C69</f>
        <v>174891.61999999988</v>
      </c>
      <c r="E42" s="85">
        <f>D69</f>
        <v>174991.61999999988</v>
      </c>
    </row>
    <row r="43" spans="1:5" s="7" customFormat="1">
      <c r="A43" s="316" t="s">
        <v>178</v>
      </c>
      <c r="B43" s="317"/>
      <c r="C43" s="305"/>
      <c r="D43" s="40"/>
      <c r="E43" s="40"/>
    </row>
    <row r="44" spans="1:5">
      <c r="A44" s="301" t="s">
        <v>400</v>
      </c>
      <c r="B44" s="318"/>
      <c r="C44" s="313">
        <v>1060097.22</v>
      </c>
      <c r="D44" s="9">
        <v>1094007.72</v>
      </c>
      <c r="E44" s="9">
        <v>1097969.72</v>
      </c>
    </row>
    <row r="45" spans="1:5">
      <c r="A45" s="301"/>
      <c r="B45" s="318"/>
      <c r="C45" s="313"/>
      <c r="D45" s="9"/>
      <c r="E45" s="9"/>
    </row>
    <row r="46" spans="1:5">
      <c r="A46" s="301"/>
      <c r="B46" s="318"/>
      <c r="C46" s="313"/>
      <c r="D46" s="9"/>
      <c r="E46" s="9"/>
    </row>
    <row r="47" spans="1:5">
      <c r="A47" s="301"/>
      <c r="B47" s="318"/>
      <c r="C47" s="313"/>
      <c r="D47" s="9"/>
      <c r="E47" s="9"/>
    </row>
    <row r="48" spans="1:5">
      <c r="A48" s="301"/>
      <c r="B48" s="318"/>
      <c r="C48" s="313"/>
      <c r="D48" s="9"/>
      <c r="E48" s="9"/>
    </row>
    <row r="49" spans="1:5">
      <c r="A49" s="301"/>
      <c r="B49" s="318"/>
      <c r="C49" s="313"/>
      <c r="D49" s="9"/>
      <c r="E49" s="9"/>
    </row>
    <row r="50" spans="1:5">
      <c r="A50" s="301"/>
      <c r="B50" s="318"/>
      <c r="C50" s="313"/>
      <c r="D50" s="9"/>
      <c r="E50" s="9"/>
    </row>
    <row r="51" spans="1:5">
      <c r="A51" s="312" t="s">
        <v>46</v>
      </c>
      <c r="B51" s="318"/>
      <c r="C51" s="313"/>
      <c r="D51" s="9"/>
      <c r="E51" s="9"/>
    </row>
    <row r="52" spans="1:5">
      <c r="A52" s="321" t="s">
        <v>351</v>
      </c>
      <c r="B52" s="317"/>
      <c r="C52" s="313"/>
      <c r="D52" s="313"/>
      <c r="E52" s="313"/>
    </row>
    <row r="53" spans="1:5">
      <c r="A53" s="311" t="s">
        <v>353</v>
      </c>
      <c r="B53" s="317"/>
      <c r="C53" s="355" t="str">
        <f>IF(C54*0.1&lt;C52,"Exceed 10% Rule","")</f>
        <v/>
      </c>
      <c r="D53" s="355" t="str">
        <f>IF(D54*0.1&lt;D52,"Exceed 10% Rule","")</f>
        <v/>
      </c>
      <c r="E53" s="355" t="str">
        <f>IF(E54*0.1&lt;E52,"Exceed 10% Rule","")</f>
        <v/>
      </c>
    </row>
    <row r="54" spans="1:5">
      <c r="A54" s="151" t="s">
        <v>47</v>
      </c>
      <c r="B54" s="317"/>
      <c r="C54" s="314">
        <f>SUM(C44:C52)</f>
        <v>1060097.22</v>
      </c>
      <c r="D54" s="263">
        <f>SUM(D44:D52)</f>
        <v>1094007.72</v>
      </c>
      <c r="E54" s="263">
        <f>SUM(E44:E52)</f>
        <v>1097969.72</v>
      </c>
    </row>
    <row r="55" spans="1:5">
      <c r="A55" s="151" t="s">
        <v>48</v>
      </c>
      <c r="B55" s="317"/>
      <c r="C55" s="314">
        <f>C42+C54</f>
        <v>1234988.8399999999</v>
      </c>
      <c r="D55" s="263">
        <f>D42+D54</f>
        <v>1268899.3399999999</v>
      </c>
      <c r="E55" s="263">
        <f>E42+E54</f>
        <v>1272961.3399999999</v>
      </c>
    </row>
    <row r="56" spans="1:5">
      <c r="A56" s="37" t="s">
        <v>50</v>
      </c>
      <c r="B56" s="317"/>
      <c r="C56" s="119"/>
      <c r="D56" s="85"/>
      <c r="E56" s="85"/>
    </row>
    <row r="57" spans="1:5">
      <c r="A57" s="301" t="s">
        <v>529</v>
      </c>
      <c r="B57" s="318"/>
      <c r="C57" s="313">
        <v>324638.76</v>
      </c>
      <c r="D57" s="9">
        <f>301588.76+46860.5</f>
        <v>348449.26</v>
      </c>
      <c r="E57" s="9">
        <f>276751.26+50660</f>
        <v>327411.26</v>
      </c>
    </row>
    <row r="58" spans="1:5">
      <c r="A58" s="301" t="s">
        <v>530</v>
      </c>
      <c r="B58" s="318"/>
      <c r="C58" s="313">
        <v>580000</v>
      </c>
      <c r="D58" s="9">
        <v>590000</v>
      </c>
      <c r="E58" s="9">
        <v>615000</v>
      </c>
    </row>
    <row r="59" spans="1:5">
      <c r="A59" s="301" t="s">
        <v>531</v>
      </c>
      <c r="B59" s="318"/>
      <c r="C59" s="313">
        <v>84034.22</v>
      </c>
      <c r="D59" s="9">
        <v>80418.36</v>
      </c>
      <c r="E59" s="9">
        <v>76619.460000000006</v>
      </c>
    </row>
    <row r="60" spans="1:5">
      <c r="A60" s="301" t="s">
        <v>184</v>
      </c>
      <c r="B60" s="318"/>
      <c r="C60" s="313">
        <v>71424.240000000005</v>
      </c>
      <c r="D60" s="9">
        <v>75040.100000000006</v>
      </c>
      <c r="E60" s="9">
        <v>78839</v>
      </c>
    </row>
    <row r="61" spans="1:5">
      <c r="A61" s="301" t="s">
        <v>94</v>
      </c>
      <c r="B61" s="318"/>
      <c r="C61" s="313">
        <v>0</v>
      </c>
      <c r="D61" s="9">
        <v>0</v>
      </c>
      <c r="E61" s="9">
        <v>100</v>
      </c>
    </row>
    <row r="62" spans="1:5">
      <c r="A62" s="301"/>
      <c r="B62" s="318"/>
      <c r="C62" s="313"/>
      <c r="D62" s="9"/>
      <c r="E62" s="9"/>
    </row>
    <row r="63" spans="1:5">
      <c r="A63" s="301"/>
      <c r="B63" s="318"/>
      <c r="C63" s="313"/>
      <c r="D63" s="9"/>
      <c r="E63" s="9"/>
    </row>
    <row r="64" spans="1:5">
      <c r="A64" s="301"/>
      <c r="B64" s="318"/>
      <c r="C64" s="313"/>
      <c r="D64" s="9"/>
      <c r="E64" s="9"/>
    </row>
    <row r="65" spans="1:5">
      <c r="A65" s="301"/>
      <c r="B65" s="318"/>
      <c r="C65" s="313"/>
      <c r="D65" s="9"/>
      <c r="E65" s="9"/>
    </row>
    <row r="66" spans="1:5">
      <c r="A66" s="319" t="s">
        <v>351</v>
      </c>
      <c r="B66" s="317"/>
      <c r="C66" s="313"/>
      <c r="D66" s="313"/>
      <c r="E66" s="313"/>
    </row>
    <row r="67" spans="1:5">
      <c r="A67" s="319" t="s">
        <v>352</v>
      </c>
      <c r="B67" s="317"/>
      <c r="C67" s="355" t="str">
        <f>IF(C68*0.1&lt;C66,"Exceed 10% Rule","")</f>
        <v/>
      </c>
      <c r="D67" s="355" t="str">
        <f>IF(D68*0.1&lt;D66,"Exceed 10% Rule","")</f>
        <v/>
      </c>
      <c r="E67" s="355" t="str">
        <f>IF(E68*0.1&lt;E66,"Exceed 10% Rule","")</f>
        <v/>
      </c>
    </row>
    <row r="68" spans="1:5">
      <c r="A68" s="151" t="s">
        <v>54</v>
      </c>
      <c r="B68" s="317"/>
      <c r="C68" s="314">
        <f>SUM(C57:C66)</f>
        <v>1060097.22</v>
      </c>
      <c r="D68" s="263">
        <f>SUM(D57:D66)</f>
        <v>1093907.72</v>
      </c>
      <c r="E68" s="263">
        <f>SUM(E57:E66)</f>
        <v>1097969.72</v>
      </c>
    </row>
    <row r="69" spans="1:5">
      <c r="A69" s="37" t="s">
        <v>177</v>
      </c>
      <c r="B69" s="317"/>
      <c r="C69" s="315">
        <f>C55-C68</f>
        <v>174891.61999999988</v>
      </c>
      <c r="D69" s="262">
        <f>D55-D68</f>
        <v>174991.61999999988</v>
      </c>
      <c r="E69" s="262">
        <f>E55-E68</f>
        <v>174991.61999999988</v>
      </c>
    </row>
    <row r="70" spans="1:5">
      <c r="A70" s="23" t="str">
        <f>CONCATENATE("",E1-2," Budget Authority Limited Amount:")</f>
        <v>2011 Budget Authority Limited Amount:</v>
      </c>
      <c r="B70" s="338">
        <f>inputOth!B80</f>
        <v>1060197</v>
      </c>
      <c r="C70" s="21"/>
      <c r="D70" s="21"/>
      <c r="E70" s="21"/>
    </row>
    <row r="71" spans="1:5">
      <c r="A71" s="23" t="str">
        <f>CONCATENATE("Violation of Budget Law for ",E1-2,":")</f>
        <v>Violation of Budget Law for 2011:</v>
      </c>
      <c r="B71" s="339" t="str">
        <f>IF(C68&gt;B70,"Yes","")</f>
        <v/>
      </c>
      <c r="C71" s="21"/>
      <c r="D71" s="21"/>
      <c r="E71" s="21"/>
    </row>
    <row r="72" spans="1:5">
      <c r="A72" s="23" t="str">
        <f>CONCATENATE("Possible Cash Violation for ",E1-2,":")</f>
        <v>Possible Cash Violation for 2011:</v>
      </c>
      <c r="B72" s="339" t="str">
        <f>IF(C69&lt;0,"Yes","")</f>
        <v/>
      </c>
      <c r="C72" s="21"/>
      <c r="D72" s="21"/>
      <c r="E72" s="21"/>
    </row>
    <row r="73" spans="1:5">
      <c r="A73" s="21"/>
      <c r="B73" s="21"/>
      <c r="C73" s="21"/>
      <c r="D73" s="21"/>
      <c r="E73" s="21"/>
    </row>
    <row r="74" spans="1:5">
      <c r="A74" s="24"/>
      <c r="B74" s="24" t="s">
        <v>58</v>
      </c>
      <c r="C74" s="100">
        <v>18</v>
      </c>
      <c r="D74" s="21"/>
      <c r="E74" s="21"/>
    </row>
  </sheetData>
  <phoneticPr fontId="10" type="noConversion"/>
  <conditionalFormatting sqref="C66">
    <cfRule type="cellIs" dxfId="35" priority="1" stopIfTrue="1" operator="greaterThan">
      <formula>$C$68*0.1</formula>
    </cfRule>
  </conditionalFormatting>
  <conditionalFormatting sqref="D66">
    <cfRule type="cellIs" dxfId="34" priority="2" stopIfTrue="1" operator="greaterThan">
      <formula>$D$68*0.1</formula>
    </cfRule>
  </conditionalFormatting>
  <conditionalFormatting sqref="E66">
    <cfRule type="cellIs" dxfId="33" priority="3" stopIfTrue="1" operator="greaterThan">
      <formula>$E$68*0.1</formula>
    </cfRule>
  </conditionalFormatting>
  <conditionalFormatting sqref="C15">
    <cfRule type="cellIs" dxfId="32" priority="4" stopIfTrue="1" operator="greaterThan">
      <formula>$C$17*0.1</formula>
    </cfRule>
  </conditionalFormatting>
  <conditionalFormatting sqref="D15">
    <cfRule type="cellIs" dxfId="31" priority="5" stopIfTrue="1" operator="greaterThan">
      <formula>$D$17*0.1</formula>
    </cfRule>
  </conditionalFormatting>
  <conditionalFormatting sqref="E15">
    <cfRule type="cellIs" dxfId="30" priority="6" stopIfTrue="1" operator="greaterThan">
      <formula>$E$17*0.1</formula>
    </cfRule>
  </conditionalFormatting>
  <conditionalFormatting sqref="C31">
    <cfRule type="cellIs" dxfId="29" priority="7" stopIfTrue="1" operator="greaterThan">
      <formula>$C$33*0.1</formula>
    </cfRule>
  </conditionalFormatting>
  <conditionalFormatting sqref="D31">
    <cfRule type="cellIs" dxfId="28" priority="8" stopIfTrue="1" operator="greaterThan">
      <formula>$D$33*0.1</formula>
    </cfRule>
  </conditionalFormatting>
  <conditionalFormatting sqref="E31">
    <cfRule type="cellIs" dxfId="27" priority="9" stopIfTrue="1" operator="greaterThan">
      <formula>$E$33*0.1</formula>
    </cfRule>
  </conditionalFormatting>
  <conditionalFormatting sqref="C52">
    <cfRule type="cellIs" dxfId="26" priority="10" stopIfTrue="1" operator="greaterThan">
      <formula>$C$54*0.1</formula>
    </cfRule>
  </conditionalFormatting>
  <conditionalFormatting sqref="D52">
    <cfRule type="cellIs" dxfId="25" priority="11" stopIfTrue="1" operator="greaterThan">
      <formula>$D$54*0.1</formula>
    </cfRule>
  </conditionalFormatting>
  <conditionalFormatting sqref="E52">
    <cfRule type="cellIs" dxfId="24" priority="12" stopIfTrue="1" operator="greaterThan">
      <formula>$E$54*0.1</formula>
    </cfRule>
  </conditionalFormatting>
  <pageMargins left="0.5" right="0.5" top="1" bottom="0.5" header="0.5" footer="0.5"/>
  <pageSetup scale="66" orientation="portrait" blackAndWhite="1" r:id="rId1"/>
  <headerFooter alignWithMargins="0">
    <oddHeader>&amp;RState of Kansas
Coffeyville</oddHeader>
  </headerFooter>
</worksheet>
</file>

<file path=xl/worksheets/sheet26.xml><?xml version="1.0" encoding="utf-8"?>
<worksheet xmlns="http://schemas.openxmlformats.org/spreadsheetml/2006/main" xmlns:r="http://schemas.openxmlformats.org/officeDocument/2006/relationships">
  <sheetPr>
    <pageSetUpPr fitToPage="1"/>
  </sheetPr>
  <dimension ref="A1:E74"/>
  <sheetViews>
    <sheetView view="pageBreakPreview" zoomScaleNormal="100" workbookViewId="0">
      <selection activeCell="C30" sqref="C30"/>
    </sheetView>
  </sheetViews>
  <sheetFormatPr defaultRowHeight="15.75"/>
  <cols>
    <col min="1" max="1" width="28.77734375" style="2" customWidth="1"/>
    <col min="2" max="2" width="9.5546875" style="2" customWidth="1"/>
    <col min="3" max="4" width="16.44140625" style="2" customWidth="1"/>
    <col min="5" max="5" width="16.44140625" style="2" bestFit="1" customWidth="1"/>
    <col min="6" max="16384" width="8.88671875" style="2"/>
  </cols>
  <sheetData>
    <row r="1" spans="1:5">
      <c r="A1" s="72" t="str">
        <f>(inputPrYr!D2)</f>
        <v>City of Coffeyville</v>
      </c>
      <c r="B1" s="72"/>
      <c r="C1" s="21"/>
      <c r="D1" s="21"/>
      <c r="E1" s="138">
        <f>inputPrYr!C5</f>
        <v>2013</v>
      </c>
    </row>
    <row r="2" spans="1:5">
      <c r="A2" s="21"/>
      <c r="B2" s="21"/>
      <c r="C2" s="21"/>
      <c r="D2" s="21"/>
      <c r="E2" s="24"/>
    </row>
    <row r="3" spans="1:5">
      <c r="A3" s="90" t="s">
        <v>115</v>
      </c>
      <c r="B3" s="90"/>
      <c r="C3" s="96"/>
      <c r="D3" s="96"/>
      <c r="E3" s="96"/>
    </row>
    <row r="4" spans="1:5">
      <c r="A4" s="25" t="s">
        <v>41</v>
      </c>
      <c r="B4" s="25"/>
      <c r="C4" s="93" t="s">
        <v>62</v>
      </c>
      <c r="D4" s="33" t="s">
        <v>205</v>
      </c>
      <c r="E4" s="33" t="s">
        <v>206</v>
      </c>
    </row>
    <row r="5" spans="1:5">
      <c r="A5" s="137" t="str">
        <f>inputPrYr!B50</f>
        <v>Water/Wastewater Debt Service</v>
      </c>
      <c r="B5" s="137"/>
      <c r="C5" s="145">
        <f>E1-2</f>
        <v>2011</v>
      </c>
      <c r="D5" s="145">
        <f>E1-1</f>
        <v>2012</v>
      </c>
      <c r="E5" s="145">
        <f>E1</f>
        <v>2013</v>
      </c>
    </row>
    <row r="6" spans="1:5">
      <c r="A6" s="311" t="s">
        <v>176</v>
      </c>
      <c r="B6" s="317"/>
      <c r="C6" s="313">
        <v>261849.61</v>
      </c>
      <c r="D6" s="85">
        <f>C34</f>
        <v>261843.03000000026</v>
      </c>
      <c r="E6" s="85">
        <f>D34</f>
        <v>261843.03000000026</v>
      </c>
    </row>
    <row r="7" spans="1:5" s="7" customFormat="1">
      <c r="A7" s="316" t="s">
        <v>178</v>
      </c>
      <c r="B7" s="317"/>
      <c r="C7" s="305"/>
      <c r="D7" s="40"/>
      <c r="E7" s="40"/>
    </row>
    <row r="8" spans="1:5">
      <c r="A8" s="301" t="s">
        <v>479</v>
      </c>
      <c r="B8" s="318"/>
      <c r="C8" s="313">
        <f>282438.21+897627.89</f>
        <v>1180066.1000000001</v>
      </c>
      <c r="D8" s="9">
        <f>275098.96+897627.88</f>
        <v>1172726.8400000001</v>
      </c>
      <c r="E8" s="9">
        <f>271561.46+897827.89</f>
        <v>1169389.3500000001</v>
      </c>
    </row>
    <row r="9" spans="1:5">
      <c r="A9" s="301" t="s">
        <v>366</v>
      </c>
      <c r="B9" s="318"/>
      <c r="C9" s="313">
        <v>2279080.4900000002</v>
      </c>
      <c r="D9" s="9">
        <v>0</v>
      </c>
      <c r="E9" s="9">
        <v>0</v>
      </c>
    </row>
    <row r="10" spans="1:5">
      <c r="A10" s="301"/>
      <c r="B10" s="318"/>
      <c r="C10" s="313"/>
      <c r="D10" s="9"/>
      <c r="E10" s="9"/>
    </row>
    <row r="11" spans="1:5">
      <c r="A11" s="301"/>
      <c r="B11" s="318"/>
      <c r="C11" s="313"/>
      <c r="D11" s="9"/>
      <c r="E11" s="9"/>
    </row>
    <row r="12" spans="1:5">
      <c r="A12" s="301"/>
      <c r="B12" s="318"/>
      <c r="C12" s="313"/>
      <c r="D12" s="9"/>
      <c r="E12" s="9"/>
    </row>
    <row r="13" spans="1:5">
      <c r="A13" s="301"/>
      <c r="B13" s="318"/>
      <c r="C13" s="313"/>
      <c r="D13" s="9"/>
      <c r="E13" s="9"/>
    </row>
    <row r="14" spans="1:5">
      <c r="A14" s="312" t="s">
        <v>46</v>
      </c>
      <c r="B14" s="318"/>
      <c r="C14" s="313"/>
      <c r="D14" s="9"/>
      <c r="E14" s="9"/>
    </row>
    <row r="15" spans="1:5">
      <c r="A15" s="321" t="s">
        <v>351</v>
      </c>
      <c r="B15" s="317"/>
      <c r="C15" s="313"/>
      <c r="D15" s="313"/>
      <c r="E15" s="313"/>
    </row>
    <row r="16" spans="1:5">
      <c r="A16" s="311" t="s">
        <v>353</v>
      </c>
      <c r="B16" s="317"/>
      <c r="C16" s="355" t="str">
        <f>IF(C17*0.1&lt;C15,"Exceed 10% Rule","")</f>
        <v/>
      </c>
      <c r="D16" s="355" t="str">
        <f>IF(D17*0.1&lt;D15,"Exceed 10% Rule","")</f>
        <v/>
      </c>
      <c r="E16" s="355" t="str">
        <f>IF(E17*0.1&lt;E15,"Exceed 10% Rule","")</f>
        <v/>
      </c>
    </row>
    <row r="17" spans="1:5">
      <c r="A17" s="151" t="s">
        <v>47</v>
      </c>
      <c r="B17" s="317"/>
      <c r="C17" s="314">
        <f>SUM(C8:C15)</f>
        <v>3459146.5900000003</v>
      </c>
      <c r="D17" s="263">
        <f>SUM(D8:D15)</f>
        <v>1172726.8400000001</v>
      </c>
      <c r="E17" s="263">
        <f>SUM(E8:E15)</f>
        <v>1169389.3500000001</v>
      </c>
    </row>
    <row r="18" spans="1:5">
      <c r="A18" s="151" t="s">
        <v>48</v>
      </c>
      <c r="B18" s="317"/>
      <c r="C18" s="314">
        <f>C6+C17</f>
        <v>3720996.2</v>
      </c>
      <c r="D18" s="263">
        <f>D6+D17</f>
        <v>1434569.8700000003</v>
      </c>
      <c r="E18" s="263">
        <f>E6+E17</f>
        <v>1431232.3800000004</v>
      </c>
    </row>
    <row r="19" spans="1:5">
      <c r="A19" s="37" t="s">
        <v>50</v>
      </c>
      <c r="B19" s="317"/>
      <c r="C19" s="119"/>
      <c r="D19" s="85"/>
      <c r="E19" s="85"/>
    </row>
    <row r="20" spans="1:5">
      <c r="A20" s="301" t="s">
        <v>448</v>
      </c>
      <c r="B20" s="318"/>
      <c r="C20" s="313">
        <f>148854.5+226172.4</f>
        <v>375026.9</v>
      </c>
      <c r="D20" s="9">
        <f>16921.4+205127.77</f>
        <v>222049.16999999998</v>
      </c>
      <c r="E20" s="9">
        <f>16277.78+183423.58</f>
        <v>199701.36</v>
      </c>
    </row>
    <row r="21" spans="1:5">
      <c r="A21" s="301" t="s">
        <v>447</v>
      </c>
      <c r="B21" s="318"/>
      <c r="C21" s="313">
        <f>2412663.29+671455.48</f>
        <v>3084118.77</v>
      </c>
      <c r="D21" s="9">
        <f>17571.28+692500.11</f>
        <v>710071.39</v>
      </c>
      <c r="E21" s="9">
        <f>18214.9+714204.31</f>
        <v>732419.21000000008</v>
      </c>
    </row>
    <row r="22" spans="1:5">
      <c r="A22" s="301" t="s">
        <v>529</v>
      </c>
      <c r="B22" s="318"/>
      <c r="C22" s="313">
        <v>0</v>
      </c>
      <c r="D22" s="9">
        <v>65606.28</v>
      </c>
      <c r="E22" s="9">
        <v>61668.78</v>
      </c>
    </row>
    <row r="23" spans="1:5">
      <c r="A23" s="301" t="s">
        <v>530</v>
      </c>
      <c r="B23" s="318"/>
      <c r="C23" s="313">
        <v>0</v>
      </c>
      <c r="D23" s="9">
        <v>175000</v>
      </c>
      <c r="E23" s="9">
        <v>175000</v>
      </c>
    </row>
    <row r="24" spans="1:5">
      <c r="A24" s="301" t="s">
        <v>94</v>
      </c>
      <c r="B24" s="318"/>
      <c r="C24" s="313">
        <v>7.5</v>
      </c>
      <c r="D24" s="9">
        <v>0</v>
      </c>
      <c r="E24" s="9">
        <f>200+200+200</f>
        <v>600</v>
      </c>
    </row>
    <row r="25" spans="1:5">
      <c r="A25" s="301"/>
      <c r="B25" s="318"/>
      <c r="C25" s="313"/>
      <c r="D25" s="9"/>
      <c r="E25" s="9"/>
    </row>
    <row r="26" spans="1:5">
      <c r="A26" s="301"/>
      <c r="B26" s="318"/>
      <c r="C26" s="313"/>
      <c r="D26" s="9"/>
      <c r="E26" s="9"/>
    </row>
    <row r="27" spans="1:5">
      <c r="A27" s="301"/>
      <c r="B27" s="318"/>
      <c r="C27" s="313"/>
      <c r="D27" s="9"/>
      <c r="E27" s="9"/>
    </row>
    <row r="28" spans="1:5">
      <c r="A28" s="301"/>
      <c r="B28" s="318"/>
      <c r="C28" s="313"/>
      <c r="D28" s="9"/>
      <c r="E28" s="9"/>
    </row>
    <row r="29" spans="1:5">
      <c r="A29" s="301"/>
      <c r="B29" s="318"/>
      <c r="C29" s="313"/>
      <c r="D29" s="9"/>
      <c r="E29" s="9"/>
    </row>
    <row r="30" spans="1:5">
      <c r="A30" s="301"/>
      <c r="B30" s="318"/>
      <c r="C30" s="313"/>
      <c r="D30" s="9"/>
      <c r="E30" s="9"/>
    </row>
    <row r="31" spans="1:5">
      <c r="A31" s="319" t="s">
        <v>351</v>
      </c>
      <c r="B31" s="317"/>
      <c r="C31" s="313"/>
      <c r="D31" s="313"/>
      <c r="E31" s="313"/>
    </row>
    <row r="32" spans="1:5">
      <c r="A32" s="319" t="s">
        <v>352</v>
      </c>
      <c r="B32" s="317"/>
      <c r="C32" s="355" t="str">
        <f>IF(C33*0.1&lt;C31,"Exceed 10% Rule","")</f>
        <v/>
      </c>
      <c r="D32" s="355" t="str">
        <f>IF(D33*0.1&lt;D31,"Exceed 10% Rule","")</f>
        <v/>
      </c>
      <c r="E32" s="355" t="str">
        <f>IF(E33*0.1&lt;E31,"Exceed 10% Rule","")</f>
        <v/>
      </c>
    </row>
    <row r="33" spans="1:5">
      <c r="A33" s="151" t="s">
        <v>54</v>
      </c>
      <c r="B33" s="317"/>
      <c r="C33" s="314">
        <f>SUM(C20:C31)</f>
        <v>3459153.17</v>
      </c>
      <c r="D33" s="263">
        <f>SUM(D20:D31)</f>
        <v>1172726.8400000001</v>
      </c>
      <c r="E33" s="263">
        <f>SUM(E20:E31)</f>
        <v>1169389.3500000001</v>
      </c>
    </row>
    <row r="34" spans="1:5">
      <c r="A34" s="37" t="s">
        <v>177</v>
      </c>
      <c r="B34" s="317"/>
      <c r="C34" s="315">
        <f>C18-C33</f>
        <v>261843.03000000026</v>
      </c>
      <c r="D34" s="262">
        <f>D18-D33</f>
        <v>261843.03000000026</v>
      </c>
      <c r="E34" s="262">
        <f>E18-E33</f>
        <v>261843.03000000026</v>
      </c>
    </row>
    <row r="35" spans="1:5">
      <c r="A35" s="23" t="str">
        <f>CONCATENATE("",E1-2," Budget Authority Limited Amount:")</f>
        <v>2011 Budget Authority Limited Amount:</v>
      </c>
      <c r="B35" s="338">
        <f>inputOth!B81</f>
        <v>3584546</v>
      </c>
      <c r="C35" s="65"/>
      <c r="D35" s="65"/>
      <c r="E35" s="65"/>
    </row>
    <row r="36" spans="1:5">
      <c r="A36" s="23" t="str">
        <f>CONCATENATE("Violation of Budget Law for ",E1-2,":")</f>
        <v>Violation of Budget Law for 2011:</v>
      </c>
      <c r="B36" s="339" t="str">
        <f>IF(C33&gt;B35,"Yes","")</f>
        <v/>
      </c>
      <c r="C36" s="65"/>
      <c r="D36" s="65"/>
      <c r="E36" s="65"/>
    </row>
    <row r="37" spans="1:5">
      <c r="A37" s="23" t="str">
        <f>CONCATENATE("Possible Cash Violation for ",E1-2,":")</f>
        <v>Possible Cash Violation for 2011:</v>
      </c>
      <c r="B37" s="339" t="str">
        <f>IF(C34&lt;0,"Yes","")</f>
        <v/>
      </c>
      <c r="C37" s="65"/>
      <c r="D37" s="65"/>
      <c r="E37" s="65"/>
    </row>
    <row r="38" spans="1:5">
      <c r="A38" s="21"/>
      <c r="B38" s="21"/>
      <c r="C38" s="65"/>
      <c r="D38" s="65"/>
      <c r="E38" s="65"/>
    </row>
    <row r="39" spans="1:5">
      <c r="A39" s="25" t="s">
        <v>41</v>
      </c>
      <c r="B39" s="25"/>
      <c r="C39" s="102"/>
      <c r="D39" s="102"/>
      <c r="E39" s="102"/>
    </row>
    <row r="40" spans="1:5">
      <c r="A40" s="21"/>
      <c r="B40" s="21"/>
      <c r="C40" s="93" t="s">
        <v>62</v>
      </c>
      <c r="D40" s="33" t="s">
        <v>205</v>
      </c>
      <c r="E40" s="33" t="s">
        <v>206</v>
      </c>
    </row>
    <row r="41" spans="1:5">
      <c r="A41" s="137"/>
      <c r="B41" s="137"/>
      <c r="C41" s="145">
        <f>C5</f>
        <v>2011</v>
      </c>
      <c r="D41" s="145">
        <f>D5</f>
        <v>2012</v>
      </c>
      <c r="E41" s="145">
        <f>E5</f>
        <v>2013</v>
      </c>
    </row>
    <row r="42" spans="1:5">
      <c r="A42" s="311" t="s">
        <v>176</v>
      </c>
      <c r="B42" s="317"/>
      <c r="C42" s="313"/>
      <c r="D42" s="85">
        <f>C69</f>
        <v>0</v>
      </c>
      <c r="E42" s="85">
        <f>D69</f>
        <v>0</v>
      </c>
    </row>
    <row r="43" spans="1:5" s="7" customFormat="1">
      <c r="A43" s="316" t="s">
        <v>178</v>
      </c>
      <c r="B43" s="317"/>
      <c r="C43" s="305"/>
      <c r="D43" s="40"/>
      <c r="E43" s="40"/>
    </row>
    <row r="44" spans="1:5">
      <c r="A44" s="301"/>
      <c r="B44" s="318"/>
      <c r="C44" s="313"/>
      <c r="D44" s="9"/>
      <c r="E44" s="9"/>
    </row>
    <row r="45" spans="1:5">
      <c r="A45" s="301"/>
      <c r="B45" s="318"/>
      <c r="C45" s="313"/>
      <c r="D45" s="9"/>
      <c r="E45" s="9"/>
    </row>
    <row r="46" spans="1:5">
      <c r="A46" s="301"/>
      <c r="B46" s="318"/>
      <c r="C46" s="313"/>
      <c r="D46" s="9"/>
      <c r="E46" s="9"/>
    </row>
    <row r="47" spans="1:5">
      <c r="A47" s="301"/>
      <c r="B47" s="318"/>
      <c r="C47" s="313"/>
      <c r="D47" s="9"/>
      <c r="E47" s="9"/>
    </row>
    <row r="48" spans="1:5">
      <c r="A48" s="301"/>
      <c r="B48" s="318"/>
      <c r="C48" s="313"/>
      <c r="D48" s="9"/>
      <c r="E48" s="9"/>
    </row>
    <row r="49" spans="1:5">
      <c r="A49" s="301"/>
      <c r="B49" s="318"/>
      <c r="C49" s="313"/>
      <c r="D49" s="9"/>
      <c r="E49" s="9"/>
    </row>
    <row r="50" spans="1:5">
      <c r="A50" s="312" t="s">
        <v>46</v>
      </c>
      <c r="B50" s="318"/>
      <c r="C50" s="313"/>
      <c r="D50" s="9"/>
      <c r="E50" s="9"/>
    </row>
    <row r="51" spans="1:5">
      <c r="A51" s="321" t="s">
        <v>351</v>
      </c>
      <c r="B51" s="317"/>
      <c r="C51" s="313"/>
      <c r="D51" s="313"/>
      <c r="E51" s="313"/>
    </row>
    <row r="52" spans="1:5">
      <c r="A52" s="311" t="s">
        <v>353</v>
      </c>
      <c r="B52" s="317"/>
      <c r="C52" s="355" t="str">
        <f>IF(C53*0.1&lt;C51,"Exceed 10% Rule","")</f>
        <v/>
      </c>
      <c r="D52" s="355" t="str">
        <f>IF(D53*0.1&lt;D51,"Exceed 10% Rule","")</f>
        <v/>
      </c>
      <c r="E52" s="355" t="str">
        <f>IF(E53*0.1&lt;E51,"Exceed 10% Rule","")</f>
        <v/>
      </c>
    </row>
    <row r="53" spans="1:5">
      <c r="A53" s="151" t="s">
        <v>47</v>
      </c>
      <c r="B53" s="317"/>
      <c r="C53" s="314">
        <f>SUM(C44:C51)</f>
        <v>0</v>
      </c>
      <c r="D53" s="263">
        <f>SUM(D44:D51)</f>
        <v>0</v>
      </c>
      <c r="E53" s="263">
        <f>SUM(E44:E51)</f>
        <v>0</v>
      </c>
    </row>
    <row r="54" spans="1:5">
      <c r="A54" s="151" t="s">
        <v>48</v>
      </c>
      <c r="B54" s="317"/>
      <c r="C54" s="314">
        <f>C42+C53</f>
        <v>0</v>
      </c>
      <c r="D54" s="263">
        <f>D42+D53</f>
        <v>0</v>
      </c>
      <c r="E54" s="263">
        <f>E42+E53</f>
        <v>0</v>
      </c>
    </row>
    <row r="55" spans="1:5">
      <c r="A55" s="37" t="s">
        <v>50</v>
      </c>
      <c r="B55" s="317"/>
      <c r="C55" s="119"/>
      <c r="D55" s="85"/>
      <c r="E55" s="85"/>
    </row>
    <row r="56" spans="1:5">
      <c r="A56" s="301"/>
      <c r="B56" s="318"/>
      <c r="C56" s="313"/>
      <c r="D56" s="9"/>
      <c r="E56" s="9"/>
    </row>
    <row r="57" spans="1:5">
      <c r="A57" s="301"/>
      <c r="B57" s="318"/>
      <c r="C57" s="313"/>
      <c r="D57" s="9"/>
      <c r="E57" s="9"/>
    </row>
    <row r="58" spans="1:5">
      <c r="A58" s="301"/>
      <c r="B58" s="318"/>
      <c r="C58" s="313"/>
      <c r="D58" s="9"/>
      <c r="E58" s="9"/>
    </row>
    <row r="59" spans="1:5">
      <c r="A59" s="301"/>
      <c r="B59" s="318"/>
      <c r="C59" s="313"/>
      <c r="D59" s="9"/>
      <c r="E59" s="9"/>
    </row>
    <row r="60" spans="1:5">
      <c r="A60" s="301"/>
      <c r="B60" s="318"/>
      <c r="C60" s="313"/>
      <c r="D60" s="9"/>
      <c r="E60" s="9"/>
    </row>
    <row r="61" spans="1:5">
      <c r="A61" s="301"/>
      <c r="B61" s="318"/>
      <c r="C61" s="313"/>
      <c r="D61" s="9"/>
      <c r="E61" s="9"/>
    </row>
    <row r="62" spans="1:5">
      <c r="A62" s="301"/>
      <c r="B62" s="318"/>
      <c r="C62" s="313"/>
      <c r="D62" s="9"/>
      <c r="E62" s="9"/>
    </row>
    <row r="63" spans="1:5">
      <c r="A63" s="301"/>
      <c r="B63" s="318"/>
      <c r="C63" s="313"/>
      <c r="D63" s="9"/>
      <c r="E63" s="9"/>
    </row>
    <row r="64" spans="1:5">
      <c r="A64" s="301"/>
      <c r="B64" s="318"/>
      <c r="C64" s="313"/>
      <c r="D64" s="9"/>
      <c r="E64" s="9"/>
    </row>
    <row r="65" spans="1:5">
      <c r="A65" s="301"/>
      <c r="B65" s="318"/>
      <c r="C65" s="313"/>
      <c r="D65" s="9"/>
      <c r="E65" s="9"/>
    </row>
    <row r="66" spans="1:5">
      <c r="A66" s="319" t="s">
        <v>351</v>
      </c>
      <c r="B66" s="317"/>
      <c r="C66" s="313"/>
      <c r="D66" s="313"/>
      <c r="E66" s="313"/>
    </row>
    <row r="67" spans="1:5">
      <c r="A67" s="319" t="s">
        <v>352</v>
      </c>
      <c r="B67" s="317"/>
      <c r="C67" s="355" t="str">
        <f>IF(C68*0.1&lt;C66,"Exceed 10% Rule","")</f>
        <v/>
      </c>
      <c r="D67" s="355" t="str">
        <f>IF(D68*0.1&lt;D66,"Exceed 10% Rule","")</f>
        <v/>
      </c>
      <c r="E67" s="355" t="str">
        <f>IF(E68*0.1&lt;E66,"Exceed 10% Rule","")</f>
        <v/>
      </c>
    </row>
    <row r="68" spans="1:5">
      <c r="A68" s="151" t="s">
        <v>54</v>
      </c>
      <c r="B68" s="317"/>
      <c r="C68" s="314">
        <f>SUM(C56:C66)</f>
        <v>0</v>
      </c>
      <c r="D68" s="263">
        <f>SUM(D56:D66)</f>
        <v>0</v>
      </c>
      <c r="E68" s="263">
        <f>SUM(E56:E66)</f>
        <v>0</v>
      </c>
    </row>
    <row r="69" spans="1:5">
      <c r="A69" s="37" t="s">
        <v>177</v>
      </c>
      <c r="B69" s="317"/>
      <c r="C69" s="315">
        <f>C54-C68</f>
        <v>0</v>
      </c>
      <c r="D69" s="262">
        <f>D54-D68</f>
        <v>0</v>
      </c>
      <c r="E69" s="262">
        <f>E54-E68</f>
        <v>0</v>
      </c>
    </row>
    <row r="70" spans="1:5">
      <c r="A70" s="23" t="str">
        <f>CONCATENATE("",E1-2," Budget Authority Limited Amount:")</f>
        <v>2011 Budget Authority Limited Amount:</v>
      </c>
      <c r="B70" s="338"/>
      <c r="C70" s="21"/>
      <c r="D70" s="21"/>
      <c r="E70" s="21"/>
    </row>
    <row r="71" spans="1:5">
      <c r="A71" s="23" t="str">
        <f>CONCATENATE("Violation of Budget Law for ",E1-2,":")</f>
        <v>Violation of Budget Law for 2011:</v>
      </c>
      <c r="B71" s="339" t="str">
        <f>IF(C68&gt;B70,"Yes","")</f>
        <v/>
      </c>
      <c r="C71" s="21"/>
      <c r="D71" s="21"/>
      <c r="E71" s="21"/>
    </row>
    <row r="72" spans="1:5">
      <c r="A72" s="23" t="str">
        <f>CONCATENATE("Possible Cash Violation for ",E1-2,":")</f>
        <v>Possible Cash Violation for 2011:</v>
      </c>
      <c r="B72" s="339" t="str">
        <f>IF(C69&lt;0,"Yes","")</f>
        <v/>
      </c>
      <c r="C72" s="21"/>
      <c r="D72" s="21"/>
      <c r="E72" s="21"/>
    </row>
    <row r="73" spans="1:5">
      <c r="A73" s="21"/>
      <c r="B73" s="21"/>
      <c r="C73" s="21"/>
      <c r="D73" s="21"/>
      <c r="E73" s="21"/>
    </row>
    <row r="74" spans="1:5">
      <c r="A74" s="24"/>
      <c r="B74" s="24" t="s">
        <v>58</v>
      </c>
      <c r="C74" s="100">
        <v>19</v>
      </c>
      <c r="D74" s="21"/>
      <c r="E74" s="21"/>
    </row>
  </sheetData>
  <phoneticPr fontId="10" type="noConversion"/>
  <conditionalFormatting sqref="C66">
    <cfRule type="cellIs" dxfId="23" priority="1" stopIfTrue="1" operator="greaterThan">
      <formula>$C$68*0.1</formula>
    </cfRule>
  </conditionalFormatting>
  <conditionalFormatting sqref="D66">
    <cfRule type="cellIs" dxfId="22" priority="2" stopIfTrue="1" operator="greaterThan">
      <formula>$D$68*0.1</formula>
    </cfRule>
  </conditionalFormatting>
  <conditionalFormatting sqref="E66">
    <cfRule type="cellIs" dxfId="21" priority="3" stopIfTrue="1" operator="greaterThan">
      <formula>$E$68*0.1</formula>
    </cfRule>
  </conditionalFormatting>
  <conditionalFormatting sqref="C15">
    <cfRule type="cellIs" dxfId="20" priority="4" stopIfTrue="1" operator="greaterThan">
      <formula>$C$17*0.1</formula>
    </cfRule>
  </conditionalFormatting>
  <conditionalFormatting sqref="D15">
    <cfRule type="cellIs" dxfId="19" priority="5" stopIfTrue="1" operator="greaterThan">
      <formula>$D$17*0.1</formula>
    </cfRule>
  </conditionalFormatting>
  <conditionalFormatting sqref="E15">
    <cfRule type="cellIs" dxfId="18" priority="6" stopIfTrue="1" operator="greaterThan">
      <formula>$E$17*0.1</formula>
    </cfRule>
  </conditionalFormatting>
  <conditionalFormatting sqref="C31">
    <cfRule type="cellIs" dxfId="17" priority="7" stopIfTrue="1" operator="greaterThan">
      <formula>$C$33*0.1</formula>
    </cfRule>
  </conditionalFormatting>
  <conditionalFormatting sqref="D31">
    <cfRule type="cellIs" dxfId="16" priority="8" stopIfTrue="1" operator="greaterThan">
      <formula>$D$33*0.1</formula>
    </cfRule>
  </conditionalFormatting>
  <conditionalFormatting sqref="E31">
    <cfRule type="cellIs" dxfId="15" priority="9" stopIfTrue="1" operator="greaterThan">
      <formula>$E$33*0.1</formula>
    </cfRule>
  </conditionalFormatting>
  <conditionalFormatting sqref="C51">
    <cfRule type="cellIs" dxfId="14" priority="10" stopIfTrue="1" operator="greaterThan">
      <formula>$C$53*0.1</formula>
    </cfRule>
  </conditionalFormatting>
  <conditionalFormatting sqref="D51">
    <cfRule type="cellIs" dxfId="13" priority="11" stopIfTrue="1" operator="greaterThan">
      <formula>$D$53*0.1</formula>
    </cfRule>
  </conditionalFormatting>
  <conditionalFormatting sqref="E51">
    <cfRule type="cellIs" dxfId="12" priority="12" stopIfTrue="1" operator="greaterThan">
      <formula>$E$53*0.1</formula>
    </cfRule>
  </conditionalFormatting>
  <pageMargins left="0.5" right="0.5" top="1" bottom="0.5" header="0.5" footer="0.5"/>
  <pageSetup scale="66" orientation="portrait" blackAndWhite="1" r:id="rId1"/>
  <headerFooter alignWithMargins="0">
    <oddHeader>&amp;RState of Kansas
Coffeyville</oddHeader>
  </headerFooter>
</worksheet>
</file>

<file path=xl/worksheets/sheet27.xml><?xml version="1.0" encoding="utf-8"?>
<worksheet xmlns="http://schemas.openxmlformats.org/spreadsheetml/2006/main" xmlns:r="http://schemas.openxmlformats.org/officeDocument/2006/relationships">
  <sheetPr>
    <pageSetUpPr fitToPage="1"/>
  </sheetPr>
  <dimension ref="A1:H74"/>
  <sheetViews>
    <sheetView view="pageBreakPreview" zoomScaleNormal="100" workbookViewId="0">
      <selection activeCell="C30" sqref="C30"/>
    </sheetView>
  </sheetViews>
  <sheetFormatPr defaultRowHeight="15"/>
  <cols>
    <col min="1" max="1" width="27.77734375" customWidth="1"/>
    <col min="2" max="2" width="9.5546875" customWidth="1"/>
    <col min="3" max="4" width="16.44140625" customWidth="1"/>
    <col min="5" max="5" width="16.44140625" bestFit="1" customWidth="1"/>
    <col min="6" max="6" width="12" bestFit="1" customWidth="1"/>
    <col min="7" max="7" width="14.109375" bestFit="1" customWidth="1"/>
  </cols>
  <sheetData>
    <row r="1" spans="1:5" ht="15.75">
      <c r="A1" s="72" t="str">
        <f>(inputPrYr!D2)</f>
        <v>City of Coffeyville</v>
      </c>
      <c r="B1" s="72"/>
      <c r="C1" s="21"/>
      <c r="D1" s="21"/>
      <c r="E1" s="142">
        <f>inputPrYr!$C$5</f>
        <v>2013</v>
      </c>
    </row>
    <row r="2" spans="1:5" ht="15.75">
      <c r="A2" s="21"/>
      <c r="B2" s="21"/>
      <c r="C2" s="21"/>
      <c r="D2" s="21"/>
      <c r="E2" s="24"/>
    </row>
    <row r="3" spans="1:5" ht="15.75">
      <c r="A3" s="90" t="s">
        <v>115</v>
      </c>
      <c r="B3" s="90"/>
      <c r="C3" s="196"/>
      <c r="D3" s="196"/>
      <c r="E3" s="197"/>
    </row>
    <row r="4" spans="1:5" ht="15.75">
      <c r="A4" s="25" t="s">
        <v>41</v>
      </c>
      <c r="B4" s="25"/>
      <c r="C4" s="93" t="s">
        <v>62</v>
      </c>
      <c r="D4" s="33" t="s">
        <v>205</v>
      </c>
      <c r="E4" s="33" t="s">
        <v>206</v>
      </c>
    </row>
    <row r="5" spans="1:5" ht="15.75">
      <c r="A5" s="137" t="str">
        <f>(inputPrYr!B52)</f>
        <v>Electric Utility</v>
      </c>
      <c r="B5" s="137"/>
      <c r="C5" s="146">
        <f>E1-2</f>
        <v>2011</v>
      </c>
      <c r="D5" s="146">
        <f>E1-1</f>
        <v>2012</v>
      </c>
      <c r="E5" s="146">
        <f>inputPrYr!$C$5</f>
        <v>2013</v>
      </c>
    </row>
    <row r="6" spans="1:5" ht="15.75">
      <c r="A6" s="37" t="s">
        <v>176</v>
      </c>
      <c r="B6" s="309"/>
      <c r="C6" s="313">
        <v>1025139.7</v>
      </c>
      <c r="D6" s="85">
        <f>C69</f>
        <v>1303508.4900000021</v>
      </c>
      <c r="E6" s="85">
        <f>D69</f>
        <v>1752292.990000017</v>
      </c>
    </row>
    <row r="7" spans="1:5" ht="15.75">
      <c r="A7" s="308" t="s">
        <v>178</v>
      </c>
      <c r="B7" s="309"/>
      <c r="C7" s="305"/>
      <c r="D7" s="40"/>
      <c r="E7" s="40"/>
    </row>
    <row r="8" spans="1:5" ht="15.75">
      <c r="A8" s="301" t="s">
        <v>401</v>
      </c>
      <c r="B8" s="310"/>
      <c r="C8" s="304">
        <f>1863.72+14917995.36+4964742.04+1480.47+140647.34+25318239.23</f>
        <v>45344968.159999996</v>
      </c>
      <c r="D8" s="14">
        <f>5000+16059006.81+5957690.45+1400+100000+25960000</f>
        <v>48083097.260000005</v>
      </c>
      <c r="E8" s="14">
        <f>5000+17005560.87+5957690.45+1400+100000+31523000</f>
        <v>54592651.32</v>
      </c>
    </row>
    <row r="9" spans="1:5" ht="15.75">
      <c r="A9" s="301" t="s">
        <v>407</v>
      </c>
      <c r="B9" s="310"/>
      <c r="C9" s="304">
        <v>2499536.2999999998</v>
      </c>
      <c r="D9" s="14">
        <v>2585054.06</v>
      </c>
      <c r="E9" s="14">
        <v>2585054.06</v>
      </c>
    </row>
    <row r="10" spans="1:5" ht="15.75">
      <c r="A10" s="301" t="s">
        <v>471</v>
      </c>
      <c r="B10" s="310"/>
      <c r="C10" s="304">
        <f>331957.19+3392.94</f>
        <v>335350.13</v>
      </c>
      <c r="D10" s="14">
        <f>342000+150000+3400</f>
        <v>495400</v>
      </c>
      <c r="E10" s="14">
        <f>342000+1000</f>
        <v>343000</v>
      </c>
    </row>
    <row r="11" spans="1:5" ht="15.75">
      <c r="A11" s="301" t="s">
        <v>402</v>
      </c>
      <c r="B11" s="310"/>
      <c r="C11" s="304">
        <v>15980.5</v>
      </c>
      <c r="D11" s="14">
        <v>15500</v>
      </c>
      <c r="E11" s="14">
        <v>15500</v>
      </c>
    </row>
    <row r="12" spans="1:5" ht="15.75">
      <c r="A12" s="301" t="s">
        <v>375</v>
      </c>
      <c r="B12" s="310"/>
      <c r="C12" s="304">
        <v>62880.97</v>
      </c>
      <c r="D12" s="14">
        <v>5000</v>
      </c>
      <c r="E12" s="14">
        <v>5000</v>
      </c>
    </row>
    <row r="13" spans="1:5" ht="15.75">
      <c r="A13" s="302" t="s">
        <v>94</v>
      </c>
      <c r="B13" s="310"/>
      <c r="C13" s="304">
        <f>2513.97+230+243.12+52+6725+30</f>
        <v>9794.09</v>
      </c>
      <c r="D13" s="14">
        <f>1000+6500+300</f>
        <v>7800</v>
      </c>
      <c r="E13" s="14">
        <f>1000+7000+300</f>
        <v>8300</v>
      </c>
    </row>
    <row r="14" spans="1:5" ht="15.75">
      <c r="A14" s="302"/>
      <c r="B14" s="310"/>
      <c r="C14" s="304"/>
      <c r="D14" s="14"/>
      <c r="E14" s="14"/>
    </row>
    <row r="15" spans="1:5" ht="15.75">
      <c r="A15" s="302"/>
      <c r="B15" s="310"/>
      <c r="C15" s="304"/>
      <c r="D15" s="14"/>
      <c r="E15" s="14"/>
    </row>
    <row r="16" spans="1:5" ht="15.75">
      <c r="A16" s="302"/>
      <c r="B16" s="310"/>
      <c r="C16" s="304"/>
      <c r="D16" s="14"/>
      <c r="E16" s="14"/>
    </row>
    <row r="17" spans="1:8" ht="15.75">
      <c r="A17" s="302"/>
      <c r="B17" s="310"/>
      <c r="C17" s="304"/>
      <c r="D17" s="14"/>
      <c r="E17" s="14"/>
    </row>
    <row r="18" spans="1:8" ht="15.75">
      <c r="A18" s="302"/>
      <c r="B18" s="310"/>
      <c r="C18" s="304"/>
      <c r="D18" s="14"/>
      <c r="E18" s="14"/>
    </row>
    <row r="19" spans="1:8" ht="15.75">
      <c r="A19" s="302"/>
      <c r="B19" s="310"/>
      <c r="C19" s="304"/>
      <c r="D19" s="14"/>
      <c r="E19" s="14"/>
    </row>
    <row r="20" spans="1:8" ht="15.75">
      <c r="A20" s="302"/>
      <c r="B20" s="310"/>
      <c r="C20" s="304"/>
      <c r="D20" s="14"/>
      <c r="E20" s="14"/>
    </row>
    <row r="21" spans="1:8" ht="15.75">
      <c r="A21" s="302"/>
      <c r="B21" s="310"/>
      <c r="C21" s="304"/>
      <c r="D21" s="14"/>
      <c r="E21" s="14"/>
    </row>
    <row r="22" spans="1:8" ht="15.75">
      <c r="A22" s="301"/>
      <c r="B22" s="310"/>
      <c r="C22" s="306"/>
      <c r="D22" s="18"/>
      <c r="E22" s="18"/>
    </row>
    <row r="23" spans="1:8" ht="15.75">
      <c r="A23" s="302"/>
      <c r="B23" s="310"/>
      <c r="C23" s="304"/>
      <c r="D23" s="14"/>
      <c r="E23" s="14"/>
    </row>
    <row r="24" spans="1:8" ht="15.75">
      <c r="A24" s="303" t="s">
        <v>46</v>
      </c>
      <c r="B24" s="310"/>
      <c r="C24" s="304">
        <v>61801.06</v>
      </c>
      <c r="D24" s="14">
        <v>65000</v>
      </c>
      <c r="E24" s="14">
        <v>65000</v>
      </c>
    </row>
    <row r="25" spans="1:8" ht="15.75">
      <c r="A25" s="321" t="s">
        <v>351</v>
      </c>
      <c r="B25" s="317"/>
      <c r="C25" s="304"/>
      <c r="D25" s="304"/>
      <c r="E25" s="304"/>
    </row>
    <row r="26" spans="1:8" ht="15.75">
      <c r="A26" s="311" t="s">
        <v>353</v>
      </c>
      <c r="B26" s="317"/>
      <c r="C26" s="355" t="str">
        <f>IF(C27*0.1&lt;C25,"Exceed 10% Rule","")</f>
        <v/>
      </c>
      <c r="D26" s="355" t="str">
        <f>IF(D27*0.1&lt;D25,"Exceed 10% Rule","")</f>
        <v/>
      </c>
      <c r="E26" s="355" t="str">
        <f>IF(E27*0.1&lt;E25,"Exceed 10% Rule","")</f>
        <v/>
      </c>
    </row>
    <row r="27" spans="1:8" ht="15.75">
      <c r="A27" s="151" t="s">
        <v>47</v>
      </c>
      <c r="B27" s="309"/>
      <c r="C27" s="307">
        <f>SUM(C8:C25)</f>
        <v>48330311.210000001</v>
      </c>
      <c r="D27" s="260">
        <f>SUM(D8:D25)</f>
        <v>51256851.320000008</v>
      </c>
      <c r="E27" s="260">
        <f>SUM(E8:E25)</f>
        <v>57614505.380000003</v>
      </c>
      <c r="F27" s="393">
        <f>+C27-48330311.21</f>
        <v>0</v>
      </c>
      <c r="G27" s="393">
        <f>+D27-51256851.31</f>
        <v>1.000000536441803E-2</v>
      </c>
      <c r="H27" s="393">
        <f>+E27-57614505.38</f>
        <v>0</v>
      </c>
    </row>
    <row r="28" spans="1:8" ht="15.75">
      <c r="A28" s="151" t="s">
        <v>48</v>
      </c>
      <c r="B28" s="309"/>
      <c r="C28" s="314">
        <f>C6+C27</f>
        <v>49355450.910000004</v>
      </c>
      <c r="D28" s="263">
        <f>D6+D27</f>
        <v>52560359.81000001</v>
      </c>
      <c r="E28" s="263">
        <f>E6+E27</f>
        <v>59366798.37000002</v>
      </c>
    </row>
    <row r="29" spans="1:8" ht="15.75">
      <c r="A29" s="37" t="s">
        <v>50</v>
      </c>
      <c r="B29" s="309"/>
      <c r="C29" s="305"/>
      <c r="D29" s="40"/>
      <c r="E29" s="40"/>
    </row>
    <row r="30" spans="1:8" ht="15.75">
      <c r="A30" s="301" t="s">
        <v>442</v>
      </c>
      <c r="B30" s="310"/>
      <c r="C30" s="304">
        <v>2606376.13</v>
      </c>
      <c r="D30" s="14">
        <v>3011221.52</v>
      </c>
      <c r="E30" s="14">
        <v>3150071.38</v>
      </c>
    </row>
    <row r="31" spans="1:8" ht="15.75">
      <c r="A31" s="301" t="s">
        <v>444</v>
      </c>
      <c r="B31" s="310"/>
      <c r="C31" s="304">
        <f>3032601.25+171553.06</f>
        <v>3204154.31</v>
      </c>
      <c r="D31" s="14">
        <f>3435640+228100</f>
        <v>3663740</v>
      </c>
      <c r="E31" s="14">
        <f>3671090+229100</f>
        <v>3900190</v>
      </c>
    </row>
    <row r="32" spans="1:8" ht="15.75">
      <c r="A32" s="301" t="s">
        <v>445</v>
      </c>
      <c r="B32" s="310"/>
      <c r="C32" s="306">
        <v>36049402.380000003</v>
      </c>
      <c r="D32" s="18">
        <v>36436050</v>
      </c>
      <c r="E32" s="18">
        <v>42487550</v>
      </c>
    </row>
    <row r="33" spans="1:6" ht="15.75">
      <c r="A33" s="301" t="s">
        <v>446</v>
      </c>
      <c r="B33" s="310"/>
      <c r="C33" s="306">
        <v>648917.09</v>
      </c>
      <c r="D33" s="18">
        <v>779850</v>
      </c>
      <c r="E33" s="18">
        <v>831350</v>
      </c>
    </row>
    <row r="34" spans="1:6" ht="15.75">
      <c r="A34" s="301" t="s">
        <v>403</v>
      </c>
      <c r="B34" s="310"/>
      <c r="C34" s="306">
        <f>450000+455000</f>
        <v>905000</v>
      </c>
      <c r="D34" s="18">
        <f>450000+1205000</f>
        <v>1655000</v>
      </c>
      <c r="E34" s="18">
        <f>450000+1205000+192981.28</f>
        <v>1847981.28</v>
      </c>
    </row>
    <row r="35" spans="1:6" ht="15.75">
      <c r="A35" s="301" t="s">
        <v>406</v>
      </c>
      <c r="B35" s="310"/>
      <c r="C35" s="306">
        <f>904638.76+85382.24+70076.22</f>
        <v>1060097.22</v>
      </c>
      <c r="D35" s="18">
        <f>891688.76+49503.74+46860.5+105954.72</f>
        <v>1094007.72</v>
      </c>
      <c r="E35" s="18">
        <f>891851.26+155458.46+50660</f>
        <v>1097969.72</v>
      </c>
    </row>
    <row r="36" spans="1:6" ht="15.75">
      <c r="A36" s="301" t="s">
        <v>465</v>
      </c>
      <c r="B36" s="310"/>
      <c r="C36" s="306">
        <f>350000+500000+509979</f>
        <v>1359979</v>
      </c>
      <c r="D36" s="18">
        <f>350000+970000+511947</f>
        <v>1831947</v>
      </c>
      <c r="E36" s="18">
        <f>350000+970000+509049</f>
        <v>1829049</v>
      </c>
      <c r="F36" s="394"/>
    </row>
    <row r="37" spans="1:6" ht="15.75">
      <c r="A37" s="301" t="s">
        <v>404</v>
      </c>
      <c r="B37" s="310"/>
      <c r="C37" s="306">
        <f>768016.29</f>
        <v>768016.29</v>
      </c>
      <c r="D37" s="18">
        <f>786250.58</f>
        <v>786250.58</v>
      </c>
      <c r="E37" s="18">
        <f>761320.11</f>
        <v>761320.11</v>
      </c>
    </row>
    <row r="38" spans="1:6" ht="15.75">
      <c r="A38" s="301" t="s">
        <v>405</v>
      </c>
      <c r="B38" s="310"/>
      <c r="C38" s="306">
        <v>1450000</v>
      </c>
      <c r="D38" s="18">
        <v>1550000</v>
      </c>
      <c r="E38" s="18">
        <v>1550000</v>
      </c>
    </row>
    <row r="39" spans="1:6" ht="15.75">
      <c r="A39" s="301"/>
      <c r="B39" s="310"/>
      <c r="C39" s="306"/>
      <c r="D39" s="18"/>
      <c r="E39" s="18"/>
    </row>
    <row r="40" spans="1:6" ht="15.75">
      <c r="A40" s="301"/>
      <c r="B40" s="310"/>
      <c r="C40" s="306"/>
      <c r="D40" s="18"/>
      <c r="E40" s="18"/>
    </row>
    <row r="41" spans="1:6" ht="15.75">
      <c r="A41" s="301"/>
      <c r="B41" s="310"/>
      <c r="C41" s="306"/>
      <c r="D41" s="18"/>
      <c r="E41" s="18"/>
    </row>
    <row r="42" spans="1:6" ht="15.75">
      <c r="A42" s="301"/>
      <c r="B42" s="310"/>
      <c r="C42" s="304"/>
      <c r="D42" s="14"/>
      <c r="E42" s="14"/>
    </row>
    <row r="43" spans="1:6" ht="15.75">
      <c r="A43" s="301"/>
      <c r="B43" s="310"/>
      <c r="C43" s="304"/>
      <c r="D43" s="14"/>
      <c r="E43" s="14"/>
    </row>
    <row r="44" spans="1:6" ht="15.75">
      <c r="A44" s="301"/>
      <c r="B44" s="310"/>
      <c r="C44" s="304"/>
      <c r="D44" s="14"/>
      <c r="E44" s="14"/>
    </row>
    <row r="45" spans="1:6" ht="15.75">
      <c r="A45" s="301"/>
      <c r="B45" s="310"/>
      <c r="C45" s="304"/>
      <c r="D45" s="14"/>
      <c r="E45" s="14"/>
    </row>
    <row r="46" spans="1:6" ht="15.75">
      <c r="A46" s="301"/>
      <c r="B46" s="310"/>
      <c r="C46" s="304"/>
      <c r="D46" s="14"/>
      <c r="E46" s="14"/>
    </row>
    <row r="47" spans="1:6" ht="15.75">
      <c r="A47" s="301"/>
      <c r="B47" s="310"/>
      <c r="C47" s="304"/>
      <c r="D47" s="14"/>
      <c r="E47" s="14"/>
    </row>
    <row r="48" spans="1:6" ht="15.75">
      <c r="A48" s="301"/>
      <c r="B48" s="310"/>
      <c r="C48" s="304"/>
      <c r="D48" s="14"/>
      <c r="E48" s="14"/>
    </row>
    <row r="49" spans="1:5" ht="15.75">
      <c r="A49" s="301"/>
      <c r="B49" s="310"/>
      <c r="C49" s="304"/>
      <c r="D49" s="14"/>
      <c r="E49" s="14"/>
    </row>
    <row r="50" spans="1:5" ht="15.75">
      <c r="A50" s="301"/>
      <c r="B50" s="310"/>
      <c r="C50" s="304"/>
      <c r="D50" s="14"/>
      <c r="E50" s="14"/>
    </row>
    <row r="51" spans="1:5" ht="15.75">
      <c r="A51" s="301"/>
      <c r="B51" s="310"/>
      <c r="C51" s="304"/>
      <c r="D51" s="14"/>
      <c r="E51" s="14"/>
    </row>
    <row r="52" spans="1:5" ht="15.75">
      <c r="A52" s="301"/>
      <c r="B52" s="310"/>
      <c r="C52" s="304"/>
      <c r="D52" s="14"/>
      <c r="E52" s="14"/>
    </row>
    <row r="53" spans="1:5" ht="15.75">
      <c r="A53" s="301"/>
      <c r="B53" s="310"/>
      <c r="C53" s="304"/>
      <c r="D53" s="14"/>
      <c r="E53" s="14"/>
    </row>
    <row r="54" spans="1:5" ht="15.75">
      <c r="A54" s="301"/>
      <c r="B54" s="310"/>
      <c r="C54" s="304"/>
      <c r="D54" s="14"/>
      <c r="E54" s="14"/>
    </row>
    <row r="55" spans="1:5" ht="15.75">
      <c r="A55" s="301"/>
      <c r="B55" s="310"/>
      <c r="C55" s="304"/>
      <c r="D55" s="14"/>
      <c r="E55" s="14"/>
    </row>
    <row r="56" spans="1:5" ht="15.75">
      <c r="A56" s="301"/>
      <c r="B56" s="310"/>
      <c r="C56" s="304"/>
      <c r="D56" s="14"/>
      <c r="E56" s="14"/>
    </row>
    <row r="57" spans="1:5" ht="15.75">
      <c r="A57" s="301"/>
      <c r="B57" s="310"/>
      <c r="C57" s="304"/>
      <c r="D57" s="14"/>
      <c r="E57" s="14"/>
    </row>
    <row r="58" spans="1:5" ht="15.75">
      <c r="A58" s="301"/>
      <c r="B58" s="310"/>
      <c r="C58" s="304"/>
      <c r="D58" s="14"/>
      <c r="E58" s="14"/>
    </row>
    <row r="59" spans="1:5" ht="15.75">
      <c r="A59" s="301"/>
      <c r="B59" s="310"/>
      <c r="C59" s="304"/>
      <c r="D59" s="14"/>
      <c r="E59" s="14"/>
    </row>
    <row r="60" spans="1:5" ht="15.75">
      <c r="A60" s="301"/>
      <c r="B60" s="310"/>
      <c r="C60" s="304"/>
      <c r="D60" s="14"/>
      <c r="E60" s="14"/>
    </row>
    <row r="61" spans="1:5" ht="15.75">
      <c r="A61" s="301"/>
      <c r="B61" s="310"/>
      <c r="C61" s="304"/>
      <c r="D61" s="14"/>
      <c r="E61" s="14"/>
    </row>
    <row r="62" spans="1:5" ht="15.75">
      <c r="A62" s="301"/>
      <c r="B62" s="310"/>
      <c r="C62" s="304"/>
      <c r="D62" s="14"/>
      <c r="E62" s="14"/>
    </row>
    <row r="63" spans="1:5" ht="15.75">
      <c r="A63" s="301"/>
      <c r="B63" s="310"/>
      <c r="C63" s="304"/>
      <c r="D63" s="14"/>
      <c r="E63" s="14"/>
    </row>
    <row r="64" spans="1:5" ht="15.75">
      <c r="A64" s="301"/>
      <c r="B64" s="310"/>
      <c r="C64" s="304"/>
      <c r="D64" s="14"/>
      <c r="E64" s="14"/>
    </row>
    <row r="65" spans="1:8" ht="15.75">
      <c r="A65" s="301"/>
      <c r="B65" s="318"/>
      <c r="C65" s="304"/>
      <c r="D65" s="14"/>
      <c r="E65" s="14"/>
    </row>
    <row r="66" spans="1:8" ht="15.75">
      <c r="A66" s="319" t="s">
        <v>351</v>
      </c>
      <c r="B66" s="317"/>
      <c r="C66" s="304"/>
      <c r="D66" s="304"/>
      <c r="E66" s="304"/>
    </row>
    <row r="67" spans="1:8" ht="15.75">
      <c r="A67" s="319" t="s">
        <v>352</v>
      </c>
      <c r="B67" s="317"/>
      <c r="C67" s="355" t="str">
        <f>IF(C68*0.1&lt;C66,"Exceed 10% Rule","")</f>
        <v/>
      </c>
      <c r="D67" s="355" t="str">
        <f>IF(D68*0.1&lt;D66,"Exceed 10% Rule","")</f>
        <v/>
      </c>
      <c r="E67" s="355" t="str">
        <f>IF(E68*0.1&lt;E66,"Exceed 10% Rule","")</f>
        <v/>
      </c>
    </row>
    <row r="68" spans="1:8" ht="15.75">
      <c r="A68" s="151" t="s">
        <v>54</v>
      </c>
      <c r="B68" s="309"/>
      <c r="C68" s="307">
        <f>SUM(C30:C66)</f>
        <v>48051942.420000002</v>
      </c>
      <c r="D68" s="260">
        <f>SUM(D30:D66)</f>
        <v>50808066.819999993</v>
      </c>
      <c r="E68" s="260">
        <f>SUM(E30:E66)</f>
        <v>57455481.490000002</v>
      </c>
      <c r="F68" s="393">
        <f>+C68-48051942.42</f>
        <v>0</v>
      </c>
      <c r="G68" s="393">
        <f>+D68-50808066.82</f>
        <v>0</v>
      </c>
      <c r="H68" s="393">
        <f>+E68-57455481.5</f>
        <v>-9.9999979138374329E-3</v>
      </c>
    </row>
    <row r="69" spans="1:8" ht="15.75">
      <c r="A69" s="37" t="s">
        <v>177</v>
      </c>
      <c r="B69" s="309"/>
      <c r="C69" s="315">
        <f>C28-C68</f>
        <v>1303508.4900000021</v>
      </c>
      <c r="D69" s="262">
        <f>D28-D68</f>
        <v>1752292.990000017</v>
      </c>
      <c r="E69" s="262">
        <f>E28-E68</f>
        <v>1911316.8800000176</v>
      </c>
      <c r="F69" s="404">
        <f>+C69-1303508.49</f>
        <v>2.0954757928848267E-9</v>
      </c>
      <c r="G69" s="404">
        <f>+D69-1752292.98</f>
        <v>1.0000017005950212E-2</v>
      </c>
      <c r="H69" s="404">
        <f>+E69-1911316.87</f>
        <v>1.00000174716115E-2</v>
      </c>
    </row>
    <row r="70" spans="1:8" ht="15.75">
      <c r="A70" s="23" t="str">
        <f>CONCATENATE("",E1-2," Budget Authority Limited Amount:")</f>
        <v>2011 Budget Authority Limited Amount:</v>
      </c>
      <c r="B70" s="338">
        <f>inputOth!B82</f>
        <v>52084416</v>
      </c>
      <c r="C70" s="168"/>
      <c r="D70" s="168"/>
      <c r="E70" s="168"/>
    </row>
    <row r="71" spans="1:8" ht="15.75">
      <c r="A71" s="23" t="str">
        <f>CONCATENATE("Violation of Budget Law for ",E1-2,":")</f>
        <v>Violation of Budget Law for 2011:</v>
      </c>
      <c r="B71" s="339" t="str">
        <f>IF(C68&gt;B70,"Yes","")</f>
        <v/>
      </c>
      <c r="C71" s="168"/>
      <c r="D71" s="168"/>
      <c r="E71" s="168"/>
    </row>
    <row r="72" spans="1:8" ht="15.75">
      <c r="A72" s="23" t="str">
        <f>CONCATENATE("Possible Cash Violation for ",E1-2,":")</f>
        <v>Possible Cash Violation for 2011:</v>
      </c>
      <c r="B72" s="339" t="str">
        <f>IF(C69&lt;0,"Yes","")</f>
        <v/>
      </c>
      <c r="C72" s="168"/>
      <c r="D72" s="168"/>
      <c r="E72" s="168"/>
    </row>
    <row r="73" spans="1:8">
      <c r="A73" s="168"/>
      <c r="B73" s="168"/>
      <c r="C73" s="168"/>
      <c r="D73" s="168"/>
      <c r="E73" s="168"/>
    </row>
    <row r="74" spans="1:8" ht="15.75">
      <c r="A74" s="24"/>
      <c r="B74" s="24" t="s">
        <v>58</v>
      </c>
      <c r="C74" s="389">
        <v>20</v>
      </c>
      <c r="D74" s="168"/>
      <c r="E74" s="168"/>
    </row>
  </sheetData>
  <phoneticPr fontId="10" type="noConversion"/>
  <conditionalFormatting sqref="C66">
    <cfRule type="cellIs" dxfId="11" priority="1" stopIfTrue="1" operator="greaterThan">
      <formula>$C$68*0.1</formula>
    </cfRule>
  </conditionalFormatting>
  <conditionalFormatting sqref="D66">
    <cfRule type="cellIs" dxfId="10" priority="2" stopIfTrue="1" operator="greaterThan">
      <formula>$D$68*0.1</formula>
    </cfRule>
  </conditionalFormatting>
  <conditionalFormatting sqref="E66">
    <cfRule type="cellIs" dxfId="9" priority="3" stopIfTrue="1" operator="greaterThan">
      <formula>$E$68*0.1</formula>
    </cfRule>
  </conditionalFormatting>
  <conditionalFormatting sqref="C25">
    <cfRule type="cellIs" dxfId="8" priority="4" stopIfTrue="1" operator="greaterThan">
      <formula>$C$27*0.1</formula>
    </cfRule>
  </conditionalFormatting>
  <conditionalFormatting sqref="D25">
    <cfRule type="cellIs" dxfId="7" priority="5" stopIfTrue="1" operator="greaterThan">
      <formula>$D$27*0.1</formula>
    </cfRule>
  </conditionalFormatting>
  <conditionalFormatting sqref="E25">
    <cfRule type="cellIs" dxfId="6" priority="6" stopIfTrue="1" operator="greaterThan">
      <formula>$E$27*0.1</formula>
    </cfRule>
  </conditionalFormatting>
  <pageMargins left="0.5" right="0.5" top="1" bottom="0.5" header="0.5" footer="0.5"/>
  <pageSetup scale="66" orientation="portrait" blackAndWhite="1" r:id="rId1"/>
  <headerFooter alignWithMargins="0">
    <oddHeader>&amp;RState of Kansas
Coffeyville</oddHeader>
  </headerFooter>
</worksheet>
</file>

<file path=xl/worksheets/sheet28.xml><?xml version="1.0" encoding="utf-8"?>
<worksheet xmlns="http://schemas.openxmlformats.org/spreadsheetml/2006/main" xmlns:r="http://schemas.openxmlformats.org/officeDocument/2006/relationships">
  <sheetPr>
    <pageSetUpPr fitToPage="1"/>
  </sheetPr>
  <dimension ref="A1:H74"/>
  <sheetViews>
    <sheetView view="pageBreakPreview" topLeftCell="A49" zoomScaleNormal="100" workbookViewId="0">
      <selection activeCell="C30" sqref="C30"/>
    </sheetView>
  </sheetViews>
  <sheetFormatPr defaultRowHeight="15"/>
  <cols>
    <col min="1" max="1" width="27.5546875" customWidth="1"/>
    <col min="2" max="2" width="9.5546875" customWidth="1"/>
    <col min="3" max="4" width="16.44140625" customWidth="1"/>
    <col min="5" max="5" width="16.44140625" bestFit="1" customWidth="1"/>
    <col min="6" max="8" width="10" bestFit="1" customWidth="1"/>
  </cols>
  <sheetData>
    <row r="1" spans="1:5" ht="15.75">
      <c r="A1" s="72" t="str">
        <f>(inputPrYr!D2)</f>
        <v>City of Coffeyville</v>
      </c>
      <c r="B1" s="72"/>
      <c r="C1" s="21"/>
      <c r="D1" s="21"/>
      <c r="E1" s="142">
        <f>inputPrYr!$C$5</f>
        <v>2013</v>
      </c>
    </row>
    <row r="2" spans="1:5" ht="15.75">
      <c r="A2" s="21"/>
      <c r="B2" s="21"/>
      <c r="C2" s="21"/>
      <c r="D2" s="21"/>
      <c r="E2" s="24"/>
    </row>
    <row r="3" spans="1:5" ht="15.75">
      <c r="A3" s="90" t="s">
        <v>115</v>
      </c>
      <c r="B3" s="90"/>
      <c r="C3" s="196"/>
      <c r="D3" s="196"/>
      <c r="E3" s="197"/>
    </row>
    <row r="4" spans="1:5" ht="15.75">
      <c r="A4" s="25" t="s">
        <v>41</v>
      </c>
      <c r="B4" s="25"/>
      <c r="C4" s="93" t="s">
        <v>62</v>
      </c>
      <c r="D4" s="33" t="s">
        <v>205</v>
      </c>
      <c r="E4" s="33" t="s">
        <v>206</v>
      </c>
    </row>
    <row r="5" spans="1:5" ht="15.75">
      <c r="A5" s="137" t="str">
        <f>(inputPrYr!B53)</f>
        <v>Water/Wastewater Utility</v>
      </c>
      <c r="B5" s="137"/>
      <c r="C5" s="146">
        <f>E1-2</f>
        <v>2011</v>
      </c>
      <c r="D5" s="146">
        <f>E1-1</f>
        <v>2012</v>
      </c>
      <c r="E5" s="146">
        <f>inputPrYr!$C$5</f>
        <v>2013</v>
      </c>
    </row>
    <row r="6" spans="1:5" ht="15.75">
      <c r="A6" s="37" t="s">
        <v>176</v>
      </c>
      <c r="B6" s="309"/>
      <c r="C6" s="313">
        <v>932494.13</v>
      </c>
      <c r="D6" s="85">
        <f>C69</f>
        <v>736520.05999999959</v>
      </c>
      <c r="E6" s="85">
        <f>D69</f>
        <v>764109.21999999974</v>
      </c>
    </row>
    <row r="7" spans="1:5" ht="15.75">
      <c r="A7" s="380" t="s">
        <v>178</v>
      </c>
      <c r="B7" s="381"/>
      <c r="C7" s="305"/>
      <c r="D7" s="40"/>
      <c r="E7" s="40"/>
    </row>
    <row r="8" spans="1:5" ht="15.75">
      <c r="A8" s="302" t="s">
        <v>482</v>
      </c>
      <c r="B8" s="310"/>
      <c r="C8" s="304">
        <v>2672995.04</v>
      </c>
      <c r="D8" s="14">
        <v>2948092.73</v>
      </c>
      <c r="E8" s="14">
        <v>3292737.34</v>
      </c>
    </row>
    <row r="9" spans="1:5" ht="15.75">
      <c r="A9" s="302" t="s">
        <v>483</v>
      </c>
      <c r="B9" s="382"/>
      <c r="C9" s="304">
        <v>2017173.64</v>
      </c>
      <c r="D9" s="14">
        <v>2173344.2599999998</v>
      </c>
      <c r="E9" s="14">
        <v>2411924.96</v>
      </c>
    </row>
    <row r="10" spans="1:5" ht="15.75">
      <c r="A10" s="302" t="s">
        <v>490</v>
      </c>
      <c r="B10" s="310"/>
      <c r="C10" s="304">
        <v>12818.61</v>
      </c>
      <c r="D10" s="14">
        <v>15000</v>
      </c>
      <c r="E10" s="14">
        <v>15000</v>
      </c>
    </row>
    <row r="11" spans="1:5" ht="15.75">
      <c r="A11" s="302" t="s">
        <v>487</v>
      </c>
      <c r="B11" s="310"/>
      <c r="C11" s="304">
        <f>22107.15+18688.03</f>
        <v>40795.18</v>
      </c>
      <c r="D11" s="14">
        <f>20000+18000</f>
        <v>38000</v>
      </c>
      <c r="E11" s="14">
        <f>20000+18000</f>
        <v>38000</v>
      </c>
    </row>
    <row r="12" spans="1:5" ht="15.75">
      <c r="A12" s="302" t="s">
        <v>491</v>
      </c>
      <c r="B12" s="310"/>
      <c r="C12" s="304">
        <f>1124.98+8815.42</f>
        <v>9940.4</v>
      </c>
      <c r="D12" s="14">
        <f>1000+6500</f>
        <v>7500</v>
      </c>
      <c r="E12" s="14">
        <f>1000+6500</f>
        <v>7500</v>
      </c>
    </row>
    <row r="13" spans="1:5" ht="15.75">
      <c r="A13" s="302" t="s">
        <v>492</v>
      </c>
      <c r="B13" s="310"/>
      <c r="C13" s="304">
        <f>4320.87+0</f>
        <v>4320.87</v>
      </c>
      <c r="D13" s="14">
        <f>4000+25</f>
        <v>4025</v>
      </c>
      <c r="E13" s="14">
        <f>4000+25</f>
        <v>4025</v>
      </c>
    </row>
    <row r="14" spans="1:5" ht="15.75">
      <c r="A14" s="302" t="s">
        <v>493</v>
      </c>
      <c r="B14" s="310"/>
      <c r="C14" s="304">
        <v>330</v>
      </c>
      <c r="D14" s="14">
        <v>5000</v>
      </c>
      <c r="E14" s="14">
        <v>5000</v>
      </c>
    </row>
    <row r="15" spans="1:5" ht="15.75">
      <c r="A15" s="302" t="s">
        <v>494</v>
      </c>
      <c r="B15" s="310"/>
      <c r="C15" s="304">
        <v>2500</v>
      </c>
      <c r="D15" s="14">
        <v>2500</v>
      </c>
      <c r="E15" s="14">
        <v>2500</v>
      </c>
    </row>
    <row r="16" spans="1:5" ht="15.75">
      <c r="A16" s="302" t="s">
        <v>484</v>
      </c>
      <c r="B16" s="310"/>
      <c r="C16" s="304">
        <f>1978.1+0</f>
        <v>1978.1</v>
      </c>
      <c r="D16" s="14">
        <v>2500</v>
      </c>
      <c r="E16" s="14">
        <v>1500</v>
      </c>
    </row>
    <row r="17" spans="1:8" ht="15.75">
      <c r="A17" s="302" t="s">
        <v>485</v>
      </c>
      <c r="B17" s="310"/>
      <c r="C17" s="304">
        <f>19468.32+4523.42</f>
        <v>23991.739999999998</v>
      </c>
      <c r="D17" s="14">
        <f>4000+2300</f>
        <v>6300</v>
      </c>
      <c r="E17" s="14">
        <f>4000+2300</f>
        <v>6300</v>
      </c>
    </row>
    <row r="18" spans="1:8" ht="15.75">
      <c r="A18" s="302" t="s">
        <v>94</v>
      </c>
      <c r="B18" s="310"/>
      <c r="C18" s="304">
        <v>50</v>
      </c>
      <c r="D18" s="14">
        <v>0</v>
      </c>
      <c r="E18" s="14">
        <v>0</v>
      </c>
    </row>
    <row r="19" spans="1:8" ht="15.75">
      <c r="A19" s="302"/>
      <c r="B19" s="310"/>
      <c r="C19" s="306"/>
      <c r="D19" s="18"/>
      <c r="E19" s="18"/>
    </row>
    <row r="20" spans="1:8" ht="15.75">
      <c r="A20" s="303" t="s">
        <v>46</v>
      </c>
      <c r="B20" s="310"/>
      <c r="C20" s="304">
        <f>17459.7+17459.7</f>
        <v>34919.4</v>
      </c>
      <c r="D20" s="14">
        <f>15000+20000</f>
        <v>35000</v>
      </c>
      <c r="E20" s="14">
        <f>15000+20000</f>
        <v>35000</v>
      </c>
    </row>
    <row r="21" spans="1:8" ht="15.75">
      <c r="A21" s="321" t="s">
        <v>351</v>
      </c>
      <c r="B21" s="317"/>
      <c r="C21" s="304"/>
      <c r="D21" s="304"/>
      <c r="E21" s="304"/>
    </row>
    <row r="22" spans="1:8" ht="15.75">
      <c r="A22" s="311" t="s">
        <v>353</v>
      </c>
      <c r="B22" s="317"/>
      <c r="C22" s="355" t="str">
        <f>IF(C23*0.1&lt;C21,"Exceed 10% Rule","")</f>
        <v/>
      </c>
      <c r="D22" s="355" t="str">
        <f>IF(D23*0.1&lt;D21,"Exceed 10% Rule","")</f>
        <v/>
      </c>
      <c r="E22" s="355" t="str">
        <f>IF(E23*0.1&lt;E21,"Exceed 10% Rule","")</f>
        <v/>
      </c>
    </row>
    <row r="23" spans="1:8" ht="15.75">
      <c r="A23" s="151" t="s">
        <v>47</v>
      </c>
      <c r="B23" s="309"/>
      <c r="C23" s="307">
        <f>SUM(C8:C21)</f>
        <v>4821812.9800000004</v>
      </c>
      <c r="D23" s="260">
        <f>SUM(D8:D21)</f>
        <v>5237261.99</v>
      </c>
      <c r="E23" s="260">
        <f>SUM(E8:E21)</f>
        <v>5819487.2999999998</v>
      </c>
      <c r="F23" s="393">
        <f>+C23-4821812.98</f>
        <v>0</v>
      </c>
      <c r="G23" s="393">
        <f>+D23-5237261.99</f>
        <v>0</v>
      </c>
      <c r="H23" s="393">
        <f>+E23-5819487.29</f>
        <v>9.9999997764825821E-3</v>
      </c>
    </row>
    <row r="24" spans="1:8" ht="15.75">
      <c r="A24" s="151" t="s">
        <v>48</v>
      </c>
      <c r="B24" s="309"/>
      <c r="C24" s="314">
        <f>C6+C23</f>
        <v>5754307.1100000003</v>
      </c>
      <c r="D24" s="263">
        <f>D6+D23</f>
        <v>5973782.0499999998</v>
      </c>
      <c r="E24" s="263">
        <f>E6+E23</f>
        <v>6583596.5199999996</v>
      </c>
    </row>
    <row r="25" spans="1:8" ht="15.75">
      <c r="A25" s="375" t="s">
        <v>50</v>
      </c>
      <c r="B25" s="381"/>
      <c r="C25" s="305"/>
      <c r="D25" s="40"/>
      <c r="E25" s="40"/>
    </row>
    <row r="26" spans="1:8" ht="15.75">
      <c r="A26" s="302" t="s">
        <v>442</v>
      </c>
      <c r="B26" s="310"/>
      <c r="C26" s="304">
        <v>1738876.18</v>
      </c>
      <c r="D26" s="14">
        <v>1795205.29</v>
      </c>
      <c r="E26" s="14">
        <v>1820718.54</v>
      </c>
    </row>
    <row r="27" spans="1:8" ht="15.75">
      <c r="A27" s="302" t="s">
        <v>443</v>
      </c>
      <c r="B27" s="382"/>
      <c r="C27" s="304">
        <f>484785.63+39713.88</f>
        <v>524499.51</v>
      </c>
      <c r="D27" s="14">
        <f>469250+96800</f>
        <v>566050</v>
      </c>
      <c r="E27" s="14">
        <f>509005+61350</f>
        <v>570355</v>
      </c>
    </row>
    <row r="28" spans="1:8" ht="15.75">
      <c r="A28" s="302" t="s">
        <v>445</v>
      </c>
      <c r="B28" s="310"/>
      <c r="C28" s="306">
        <v>468451.64</v>
      </c>
      <c r="D28" s="18">
        <v>473075</v>
      </c>
      <c r="E28" s="18">
        <v>485300</v>
      </c>
    </row>
    <row r="29" spans="1:8" ht="15.75">
      <c r="A29" s="302" t="s">
        <v>446</v>
      </c>
      <c r="B29" s="310"/>
      <c r="C29" s="306">
        <v>117346.39</v>
      </c>
      <c r="D29" s="18">
        <v>104250</v>
      </c>
      <c r="E29" s="18">
        <v>95700</v>
      </c>
    </row>
    <row r="30" spans="1:8" ht="15.75">
      <c r="A30" s="302" t="s">
        <v>382</v>
      </c>
      <c r="B30" s="310"/>
      <c r="C30" s="306">
        <v>236312.7</v>
      </c>
      <c r="D30" s="18">
        <v>241923.26</v>
      </c>
      <c r="E30" s="18">
        <v>234252.34</v>
      </c>
    </row>
    <row r="31" spans="1:8" ht="15.75">
      <c r="A31" s="302" t="s">
        <v>383</v>
      </c>
      <c r="B31" s="310"/>
      <c r="C31" s="306">
        <v>177234.53</v>
      </c>
      <c r="D31" s="18">
        <v>181442.44</v>
      </c>
      <c r="E31" s="18">
        <v>175689.26</v>
      </c>
    </row>
    <row r="32" spans="1:8" ht="15.75">
      <c r="A32" s="302" t="s">
        <v>663</v>
      </c>
      <c r="B32" s="310"/>
      <c r="C32" s="306">
        <v>0</v>
      </c>
      <c r="D32" s="18">
        <v>100000</v>
      </c>
      <c r="E32" s="18">
        <v>100000</v>
      </c>
    </row>
    <row r="33" spans="1:5" ht="15.75">
      <c r="A33" s="302" t="s">
        <v>503</v>
      </c>
      <c r="B33" s="310"/>
      <c r="C33" s="306">
        <v>300000</v>
      </c>
      <c r="D33" s="18">
        <v>300000</v>
      </c>
      <c r="E33" s="18">
        <v>300000</v>
      </c>
    </row>
    <row r="34" spans="1:5" ht="15.75">
      <c r="A34" s="302" t="s">
        <v>504</v>
      </c>
      <c r="B34" s="310"/>
      <c r="C34" s="306">
        <f>125000+150000</f>
        <v>275000</v>
      </c>
      <c r="D34" s="18">
        <f>125000+150000</f>
        <v>275000</v>
      </c>
      <c r="E34" s="18">
        <f>250000+250000</f>
        <v>500000</v>
      </c>
    </row>
    <row r="35" spans="1:5" ht="15.75">
      <c r="A35" s="302" t="s">
        <v>505</v>
      </c>
      <c r="B35" s="310"/>
      <c r="C35" s="306">
        <f>282438.21+897627.89</f>
        <v>1180066.1000000001</v>
      </c>
      <c r="D35" s="18">
        <f>897627.88+275098.96</f>
        <v>1172726.8400000001</v>
      </c>
      <c r="E35" s="18">
        <f>897827.89+271561.46</f>
        <v>1169389.3500000001</v>
      </c>
    </row>
    <row r="36" spans="1:5" ht="15.75">
      <c r="A36" s="302" t="s">
        <v>683</v>
      </c>
      <c r="B36" s="310"/>
      <c r="C36" s="306">
        <v>0</v>
      </c>
      <c r="D36" s="18">
        <v>0</v>
      </c>
      <c r="E36" s="18">
        <f>200000+200000</f>
        <v>400000</v>
      </c>
    </row>
    <row r="37" spans="1:5" ht="15.75">
      <c r="A37" s="302"/>
      <c r="B37" s="310"/>
      <c r="C37" s="306"/>
      <c r="D37" s="18"/>
      <c r="E37" s="18"/>
    </row>
    <row r="38" spans="1:5" ht="15.75">
      <c r="A38" s="301"/>
      <c r="B38" s="310"/>
      <c r="C38" s="306"/>
      <c r="D38" s="18"/>
      <c r="E38" s="18"/>
    </row>
    <row r="39" spans="1:5" ht="15.75">
      <c r="A39" s="301"/>
      <c r="B39" s="310"/>
      <c r="C39" s="304"/>
      <c r="D39" s="14"/>
      <c r="E39" s="14"/>
    </row>
    <row r="40" spans="1:5" ht="15.75">
      <c r="A40" s="301"/>
      <c r="B40" s="310"/>
      <c r="C40" s="304"/>
      <c r="D40" s="14"/>
      <c r="E40" s="14"/>
    </row>
    <row r="41" spans="1:5" ht="15.75">
      <c r="A41" s="301"/>
      <c r="B41" s="310"/>
      <c r="C41" s="304"/>
      <c r="D41" s="14"/>
      <c r="E41" s="14"/>
    </row>
    <row r="42" spans="1:5" ht="15.75">
      <c r="A42" s="301"/>
      <c r="B42" s="310"/>
      <c r="C42" s="304"/>
      <c r="D42" s="14"/>
      <c r="E42" s="14"/>
    </row>
    <row r="43" spans="1:5" ht="15.75">
      <c r="A43" s="301"/>
      <c r="B43" s="310"/>
      <c r="C43" s="304"/>
      <c r="D43" s="14"/>
      <c r="E43" s="14"/>
    </row>
    <row r="44" spans="1:5" ht="15.75">
      <c r="A44" s="301"/>
      <c r="B44" s="310"/>
      <c r="C44" s="304"/>
      <c r="D44" s="14"/>
      <c r="E44" s="14"/>
    </row>
    <row r="45" spans="1:5" ht="15.75">
      <c r="A45" s="301"/>
      <c r="B45" s="310"/>
      <c r="C45" s="304"/>
      <c r="D45" s="14"/>
      <c r="E45" s="14"/>
    </row>
    <row r="46" spans="1:5" ht="15.75">
      <c r="A46" s="301"/>
      <c r="B46" s="310"/>
      <c r="C46" s="304"/>
      <c r="D46" s="14"/>
      <c r="E46" s="14"/>
    </row>
    <row r="47" spans="1:5" ht="15.75">
      <c r="A47" s="301"/>
      <c r="B47" s="310"/>
      <c r="C47" s="304"/>
      <c r="D47" s="14"/>
      <c r="E47" s="14"/>
    </row>
    <row r="48" spans="1:5" ht="15.75">
      <c r="A48" s="301"/>
      <c r="B48" s="310"/>
      <c r="C48" s="304"/>
      <c r="D48" s="14"/>
      <c r="E48" s="14"/>
    </row>
    <row r="49" spans="1:5" ht="15.75">
      <c r="A49" s="301"/>
      <c r="B49" s="310"/>
      <c r="C49" s="304"/>
      <c r="D49" s="14"/>
      <c r="E49" s="14"/>
    </row>
    <row r="50" spans="1:5" ht="15.75">
      <c r="A50" s="301"/>
      <c r="B50" s="310"/>
      <c r="C50" s="304"/>
      <c r="D50" s="14"/>
      <c r="E50" s="14"/>
    </row>
    <row r="51" spans="1:5" ht="15.75">
      <c r="A51" s="301"/>
      <c r="B51" s="310"/>
      <c r="C51" s="304"/>
      <c r="D51" s="14"/>
      <c r="E51" s="14"/>
    </row>
    <row r="52" spans="1:5" ht="15.75">
      <c r="A52" s="301"/>
      <c r="B52" s="310"/>
      <c r="C52" s="304"/>
      <c r="D52" s="14"/>
      <c r="E52" s="14"/>
    </row>
    <row r="53" spans="1:5" ht="15.75">
      <c r="A53" s="301"/>
      <c r="B53" s="310"/>
      <c r="C53" s="304"/>
      <c r="D53" s="14"/>
      <c r="E53" s="14"/>
    </row>
    <row r="54" spans="1:5" ht="15.75">
      <c r="A54" s="301"/>
      <c r="B54" s="310"/>
      <c r="C54" s="304"/>
      <c r="D54" s="14"/>
      <c r="E54" s="14"/>
    </row>
    <row r="55" spans="1:5" ht="15.75">
      <c r="A55" s="301"/>
      <c r="B55" s="310"/>
      <c r="C55" s="304"/>
      <c r="D55" s="14"/>
      <c r="E55" s="14"/>
    </row>
    <row r="56" spans="1:5" ht="15.75">
      <c r="A56" s="301"/>
      <c r="B56" s="310"/>
      <c r="C56" s="304"/>
      <c r="D56" s="14"/>
      <c r="E56" s="14"/>
    </row>
    <row r="57" spans="1:5" ht="15.75">
      <c r="A57" s="301"/>
      <c r="B57" s="310"/>
      <c r="C57" s="304"/>
      <c r="D57" s="14"/>
      <c r="E57" s="14"/>
    </row>
    <row r="58" spans="1:5" ht="15.75">
      <c r="A58" s="301"/>
      <c r="B58" s="310"/>
      <c r="C58" s="304"/>
      <c r="D58" s="14"/>
      <c r="E58" s="14"/>
    </row>
    <row r="59" spans="1:5" ht="15.75">
      <c r="A59" s="301"/>
      <c r="B59" s="310"/>
      <c r="C59" s="304"/>
      <c r="D59" s="14"/>
      <c r="E59" s="14"/>
    </row>
    <row r="60" spans="1:5" ht="15.75">
      <c r="A60" s="301"/>
      <c r="B60" s="310"/>
      <c r="C60" s="304"/>
      <c r="D60" s="14"/>
      <c r="E60" s="14"/>
    </row>
    <row r="61" spans="1:5" ht="15.75">
      <c r="A61" s="301"/>
      <c r="B61" s="310"/>
      <c r="C61" s="304"/>
      <c r="D61" s="14"/>
      <c r="E61" s="14"/>
    </row>
    <row r="62" spans="1:5" ht="15.75">
      <c r="A62" s="301"/>
      <c r="B62" s="310"/>
      <c r="C62" s="304"/>
      <c r="D62" s="14"/>
      <c r="E62" s="14"/>
    </row>
    <row r="63" spans="1:5" ht="15.75">
      <c r="A63" s="301"/>
      <c r="B63" s="310"/>
      <c r="C63" s="304"/>
      <c r="D63" s="14"/>
      <c r="E63" s="14"/>
    </row>
    <row r="64" spans="1:5" ht="15.75">
      <c r="A64" s="301"/>
      <c r="B64" s="310"/>
      <c r="C64" s="304"/>
      <c r="D64" s="14"/>
      <c r="E64" s="14"/>
    </row>
    <row r="65" spans="1:8" ht="15.75">
      <c r="A65" s="301"/>
      <c r="B65" s="318"/>
      <c r="C65" s="304"/>
      <c r="D65" s="14"/>
      <c r="E65" s="14"/>
    </row>
    <row r="66" spans="1:8" ht="15.75">
      <c r="A66" s="319" t="s">
        <v>351</v>
      </c>
      <c r="B66" s="317"/>
      <c r="C66" s="304"/>
      <c r="D66" s="304"/>
      <c r="E66" s="304"/>
    </row>
    <row r="67" spans="1:8" ht="15.75">
      <c r="A67" s="319" t="s">
        <v>352</v>
      </c>
      <c r="B67" s="317"/>
      <c r="C67" s="355" t="str">
        <f>IF(C68*0.1&lt;C66,"Exceed 10% Rule","")</f>
        <v/>
      </c>
      <c r="D67" s="355" t="str">
        <f>IF(D68*0.1&lt;D66,"Exceed 10% Rule","")</f>
        <v/>
      </c>
      <c r="E67" s="355" t="str">
        <f>IF(E68*0.1&lt;E66,"Exceed 10% Rule","")</f>
        <v/>
      </c>
    </row>
    <row r="68" spans="1:8" ht="15.75">
      <c r="A68" s="151" t="s">
        <v>54</v>
      </c>
      <c r="B68" s="309"/>
      <c r="C68" s="307">
        <f>SUM(C26:C66)</f>
        <v>5017787.0500000007</v>
      </c>
      <c r="D68" s="260">
        <f>SUM(D26:D66)</f>
        <v>5209672.83</v>
      </c>
      <c r="E68" s="260">
        <f>SUM(E26:E66)</f>
        <v>5851404.4900000002</v>
      </c>
      <c r="F68" s="393">
        <f>+C68-5017787.05</f>
        <v>0</v>
      </c>
      <c r="G68" s="393">
        <f>+D68-5209672.83</f>
        <v>0</v>
      </c>
      <c r="H68" s="393">
        <f>+E68-5851404.49</f>
        <v>0</v>
      </c>
    </row>
    <row r="69" spans="1:8" ht="15.75">
      <c r="A69" s="37" t="s">
        <v>177</v>
      </c>
      <c r="B69" s="309"/>
      <c r="C69" s="315">
        <f>C24-C68</f>
        <v>736520.05999999959</v>
      </c>
      <c r="D69" s="262">
        <f>D24-D68</f>
        <v>764109.21999999974</v>
      </c>
      <c r="E69" s="262">
        <f>E24-E68</f>
        <v>732192.02999999933</v>
      </c>
    </row>
    <row r="70" spans="1:8" ht="15.75">
      <c r="A70" s="23" t="str">
        <f>CONCATENATE("",E1-2," Budget Authority Limited Amount:")</f>
        <v>2011 Budget Authority Limited Amount:</v>
      </c>
      <c r="B70" s="338">
        <f>inputOth!B83</f>
        <v>5335207</v>
      </c>
      <c r="C70" s="168"/>
      <c r="D70" s="168"/>
      <c r="E70" s="168"/>
    </row>
    <row r="71" spans="1:8" ht="15.75">
      <c r="A71" s="23" t="str">
        <f>CONCATENATE("Violation of Budget Law for ",E1-2,":")</f>
        <v>Violation of Budget Law for 2011:</v>
      </c>
      <c r="B71" s="339" t="str">
        <f>IF(C68&gt;B70,"Yes","")</f>
        <v/>
      </c>
      <c r="C71" s="168"/>
      <c r="D71" s="168"/>
      <c r="E71" s="168"/>
    </row>
    <row r="72" spans="1:8" ht="15.75">
      <c r="A72" s="23" t="str">
        <f>CONCATENATE("Possible Cash Violation for ",E1-2,":")</f>
        <v>Possible Cash Violation for 2011:</v>
      </c>
      <c r="B72" s="339" t="str">
        <f>IF(C69&lt;0,"Yes","")</f>
        <v/>
      </c>
      <c r="C72" s="168"/>
      <c r="D72" s="168"/>
      <c r="E72" s="168"/>
    </row>
    <row r="73" spans="1:8">
      <c r="A73" s="168"/>
      <c r="B73" s="168"/>
      <c r="C73" s="168"/>
      <c r="D73" s="168"/>
      <c r="E73" s="168"/>
    </row>
    <row r="74" spans="1:8" ht="15.75">
      <c r="A74" s="24"/>
      <c r="B74" s="24" t="s">
        <v>58</v>
      </c>
      <c r="C74" s="389">
        <v>21</v>
      </c>
      <c r="D74" s="168"/>
      <c r="E74" s="168"/>
    </row>
  </sheetData>
  <phoneticPr fontId="10" type="noConversion"/>
  <conditionalFormatting sqref="C66">
    <cfRule type="cellIs" dxfId="5" priority="1" stopIfTrue="1" operator="greaterThan">
      <formula>$C$68*0.1</formula>
    </cfRule>
  </conditionalFormatting>
  <conditionalFormatting sqref="D66">
    <cfRule type="cellIs" dxfId="4" priority="2" stopIfTrue="1" operator="greaterThan">
      <formula>$D$68*0.1</formula>
    </cfRule>
  </conditionalFormatting>
  <conditionalFormatting sqref="E66">
    <cfRule type="cellIs" dxfId="3" priority="3" stopIfTrue="1" operator="greaterThan">
      <formula>$E$68*0.1</formula>
    </cfRule>
  </conditionalFormatting>
  <conditionalFormatting sqref="C21">
    <cfRule type="cellIs" dxfId="2" priority="4" stopIfTrue="1" operator="greaterThan">
      <formula>$C$23*0.1</formula>
    </cfRule>
  </conditionalFormatting>
  <conditionalFormatting sqref="D21">
    <cfRule type="cellIs" dxfId="1" priority="5" stopIfTrue="1" operator="greaterThan">
      <formula>$D$23*0.1</formula>
    </cfRule>
  </conditionalFormatting>
  <conditionalFormatting sqref="E21">
    <cfRule type="cellIs" dxfId="0" priority="6" stopIfTrue="1" operator="greaterThan">
      <formula>$E$23*0.1</formula>
    </cfRule>
  </conditionalFormatting>
  <pageMargins left="0.5" right="0.5" top="1" bottom="0.5" header="0.5" footer="0.5"/>
  <pageSetup scale="66" orientation="portrait" blackAndWhite="1" r:id="rId1"/>
  <headerFooter alignWithMargins="0">
    <oddHeader>&amp;RState of Kansas
Coffeyville</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L41"/>
  <sheetViews>
    <sheetView view="pageBreakPreview" zoomScaleNormal="100" workbookViewId="0">
      <selection activeCell="C30" sqref="C30"/>
    </sheetView>
  </sheetViews>
  <sheetFormatPr defaultRowHeight="15.75"/>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1" width="8.88671875" style="2"/>
    <col min="12" max="12" width="2.5546875" style="2" bestFit="1" customWidth="1"/>
    <col min="13" max="16384" width="8.88671875" style="2"/>
  </cols>
  <sheetData>
    <row r="1" spans="1:11">
      <c r="A1" s="51" t="str">
        <f>inputPrYr!$D$2</f>
        <v>City of Coffeyville</v>
      </c>
      <c r="B1" s="152"/>
      <c r="C1" s="50"/>
      <c r="D1" s="50"/>
      <c r="E1" s="50"/>
      <c r="F1" s="52" t="s">
        <v>207</v>
      </c>
      <c r="G1" s="50"/>
      <c r="H1" s="50"/>
      <c r="I1" s="50"/>
      <c r="J1" s="50"/>
      <c r="K1" s="50">
        <f>inputPrYr!$C$5</f>
        <v>2013</v>
      </c>
    </row>
    <row r="2" spans="1:11">
      <c r="A2" s="50"/>
      <c r="B2" s="50"/>
      <c r="C2" s="50"/>
      <c r="D2" s="50"/>
      <c r="E2" s="50"/>
      <c r="F2" s="367" t="str">
        <f>CONCATENATE("(Only the actual budget year for ",K1-2," is to be shown)")</f>
        <v>(Only the actual budget year for 2011 is to be shown)</v>
      </c>
      <c r="G2" s="50"/>
      <c r="H2" s="50"/>
      <c r="I2" s="50"/>
      <c r="J2" s="50"/>
      <c r="K2" s="50"/>
    </row>
    <row r="3" spans="1:11">
      <c r="A3" s="50" t="s">
        <v>261</v>
      </c>
      <c r="B3" s="50"/>
      <c r="C3" s="50"/>
      <c r="D3" s="50"/>
      <c r="E3" s="50"/>
      <c r="F3" s="366"/>
      <c r="G3" s="50"/>
      <c r="H3" s="50"/>
      <c r="I3" s="50"/>
      <c r="J3" s="50"/>
      <c r="K3" s="50"/>
    </row>
    <row r="4" spans="1:11">
      <c r="A4" s="50" t="s">
        <v>208</v>
      </c>
      <c r="B4" s="50"/>
      <c r="C4" s="50" t="s">
        <v>209</v>
      </c>
      <c r="D4" s="50"/>
      <c r="E4" s="50" t="s">
        <v>210</v>
      </c>
      <c r="F4" s="152"/>
      <c r="G4" s="50" t="s">
        <v>211</v>
      </c>
      <c r="H4" s="50"/>
      <c r="I4" s="50" t="s">
        <v>212</v>
      </c>
      <c r="J4" s="50"/>
      <c r="K4" s="50"/>
    </row>
    <row r="5" spans="1:11">
      <c r="A5" s="468" t="str">
        <f>IF(inputPrYr!B57&gt;" ",(inputPrYr!B57)," ")</f>
        <v>Drug Forfeitures</v>
      </c>
      <c r="B5" s="469"/>
      <c r="C5" s="468" t="str">
        <f>IF(inputPrYr!B58&gt;" ",(inputPrYr!B58)," ")</f>
        <v>Perpetual Care</v>
      </c>
      <c r="D5" s="469"/>
      <c r="E5" s="468" t="str">
        <f>IF(inputPrYr!B59&gt;" ",(inputPrYr!B59)," ")</f>
        <v>Airport Special Projects</v>
      </c>
      <c r="F5" s="469"/>
      <c r="G5" s="468" t="str">
        <f>IF(inputPrYr!B60&gt;" ",(inputPrYr!B60)," ")</f>
        <v>Risk Management</v>
      </c>
      <c r="H5" s="469"/>
      <c r="I5" s="468" t="str">
        <f>IF(inputPrYr!B61&gt;" ",(inputPrYr!B61)," ")</f>
        <v>Hillcrest Golf Course Depr/Repl</v>
      </c>
      <c r="J5" s="469"/>
      <c r="K5" s="153"/>
    </row>
    <row r="6" spans="1:11">
      <c r="A6" s="154" t="s">
        <v>213</v>
      </c>
      <c r="B6" s="155"/>
      <c r="C6" s="156" t="s">
        <v>213</v>
      </c>
      <c r="D6" s="157"/>
      <c r="E6" s="156" t="s">
        <v>213</v>
      </c>
      <c r="F6" s="158"/>
      <c r="G6" s="156" t="s">
        <v>213</v>
      </c>
      <c r="H6" s="159"/>
      <c r="I6" s="156" t="s">
        <v>213</v>
      </c>
      <c r="J6" s="50"/>
      <c r="K6" s="160" t="s">
        <v>13</v>
      </c>
    </row>
    <row r="7" spans="1:11">
      <c r="A7" s="161" t="s">
        <v>416</v>
      </c>
      <c r="B7" s="282">
        <v>71027.28</v>
      </c>
      <c r="C7" s="162" t="s">
        <v>416</v>
      </c>
      <c r="D7" s="282">
        <v>48204.68</v>
      </c>
      <c r="E7" s="162" t="s">
        <v>416</v>
      </c>
      <c r="F7" s="282">
        <v>51042.53</v>
      </c>
      <c r="G7" s="162" t="s">
        <v>416</v>
      </c>
      <c r="H7" s="282">
        <v>961708.03</v>
      </c>
      <c r="I7" s="162" t="s">
        <v>416</v>
      </c>
      <c r="J7" s="282">
        <v>91071.23</v>
      </c>
      <c r="K7" s="265">
        <f>SUM(B7+D7+F7+H7+J7)</f>
        <v>1223053.75</v>
      </c>
    </row>
    <row r="8" spans="1:11">
      <c r="A8" s="163" t="s">
        <v>178</v>
      </c>
      <c r="B8" s="164"/>
      <c r="C8" s="163" t="s">
        <v>178</v>
      </c>
      <c r="D8" s="165"/>
      <c r="E8" s="163" t="s">
        <v>178</v>
      </c>
      <c r="F8" s="152"/>
      <c r="G8" s="163" t="s">
        <v>178</v>
      </c>
      <c r="H8" s="50"/>
      <c r="I8" s="163" t="s">
        <v>178</v>
      </c>
      <c r="J8" s="50"/>
      <c r="K8" s="152"/>
    </row>
    <row r="9" spans="1:11">
      <c r="A9" s="281" t="s">
        <v>450</v>
      </c>
      <c r="B9" s="386">
        <v>12339.95</v>
      </c>
      <c r="C9" s="281" t="s">
        <v>453</v>
      </c>
      <c r="D9" s="386">
        <v>1194.56</v>
      </c>
      <c r="E9" s="281" t="s">
        <v>454</v>
      </c>
      <c r="F9" s="386">
        <v>529790</v>
      </c>
      <c r="G9" s="281" t="s">
        <v>456</v>
      </c>
      <c r="H9" s="386">
        <v>0</v>
      </c>
      <c r="I9" s="281" t="s">
        <v>93</v>
      </c>
      <c r="J9" s="386">
        <v>680.59</v>
      </c>
      <c r="K9" s="152"/>
    </row>
    <row r="10" spans="1:11">
      <c r="A10" s="281"/>
      <c r="B10" s="386"/>
      <c r="C10" s="281" t="s">
        <v>93</v>
      </c>
      <c r="D10" s="386">
        <v>117.39</v>
      </c>
      <c r="E10" s="284" t="s">
        <v>684</v>
      </c>
      <c r="F10" s="386">
        <v>6000</v>
      </c>
      <c r="G10" s="281" t="s">
        <v>457</v>
      </c>
      <c r="H10" s="386">
        <v>1858264.31</v>
      </c>
      <c r="I10" s="281"/>
      <c r="J10" s="386"/>
      <c r="K10" s="152"/>
    </row>
    <row r="11" spans="1:11">
      <c r="A11" s="281"/>
      <c r="B11" s="386"/>
      <c r="C11" s="284"/>
      <c r="D11" s="386"/>
      <c r="E11" s="284"/>
      <c r="F11" s="386"/>
      <c r="G11" s="284" t="s">
        <v>458</v>
      </c>
      <c r="H11" s="386">
        <v>6306</v>
      </c>
      <c r="I11" s="285"/>
      <c r="J11" s="386"/>
      <c r="K11" s="152"/>
    </row>
    <row r="12" spans="1:11">
      <c r="A12" s="281"/>
      <c r="B12" s="386"/>
      <c r="C12" s="281"/>
      <c r="D12" s="386"/>
      <c r="E12" s="286"/>
      <c r="F12" s="386"/>
      <c r="G12" s="286" t="s">
        <v>665</v>
      </c>
      <c r="H12" s="386">
        <v>1176.8399999999999</v>
      </c>
      <c r="I12" s="286"/>
      <c r="J12" s="386"/>
      <c r="K12" s="152"/>
    </row>
    <row r="13" spans="1:11">
      <c r="A13" s="287"/>
      <c r="B13" s="386"/>
      <c r="C13" s="288"/>
      <c r="D13" s="386"/>
      <c r="E13" s="288"/>
      <c r="F13" s="386"/>
      <c r="G13" s="288"/>
      <c r="H13" s="386"/>
      <c r="I13" s="285"/>
      <c r="J13" s="386"/>
      <c r="K13" s="152"/>
    </row>
    <row r="14" spans="1:11">
      <c r="A14" s="281"/>
      <c r="B14" s="386"/>
      <c r="C14" s="286"/>
      <c r="D14" s="386"/>
      <c r="E14" s="286"/>
      <c r="F14" s="386"/>
      <c r="G14" s="286"/>
      <c r="H14" s="386"/>
      <c r="I14" s="286"/>
      <c r="J14" s="386"/>
      <c r="K14" s="152"/>
    </row>
    <row r="15" spans="1:11">
      <c r="A15" s="281"/>
      <c r="B15" s="386"/>
      <c r="C15" s="286"/>
      <c r="D15" s="386"/>
      <c r="E15" s="286"/>
      <c r="F15" s="386"/>
      <c r="G15" s="286"/>
      <c r="H15" s="386"/>
      <c r="I15" s="286"/>
      <c r="J15" s="386"/>
      <c r="K15" s="152"/>
    </row>
    <row r="16" spans="1:11">
      <c r="A16" s="281"/>
      <c r="B16" s="386"/>
      <c r="C16" s="281"/>
      <c r="D16" s="386"/>
      <c r="E16" s="281"/>
      <c r="F16" s="386"/>
      <c r="G16" s="286"/>
      <c r="H16" s="386"/>
      <c r="I16" s="281"/>
      <c r="J16" s="386"/>
      <c r="K16" s="152"/>
    </row>
    <row r="17" spans="1:12">
      <c r="A17" s="163" t="s">
        <v>47</v>
      </c>
      <c r="B17" s="265">
        <f>SUM(B9:B16)</f>
        <v>12339.95</v>
      </c>
      <c r="C17" s="163" t="s">
        <v>47</v>
      </c>
      <c r="D17" s="391">
        <f>SUM(D9:D16)</f>
        <v>1311.95</v>
      </c>
      <c r="E17" s="163" t="s">
        <v>47</v>
      </c>
      <c r="F17" s="267">
        <f>SUM(F9:F16)</f>
        <v>535790</v>
      </c>
      <c r="G17" s="163" t="s">
        <v>47</v>
      </c>
      <c r="H17" s="391">
        <f>SUM(H9:H16)</f>
        <v>1865747.1500000001</v>
      </c>
      <c r="I17" s="163" t="s">
        <v>47</v>
      </c>
      <c r="J17" s="391">
        <f>SUM(J9:J16)</f>
        <v>680.59</v>
      </c>
      <c r="K17" s="265">
        <f>SUM(B17+D17+F17+H17+J17)</f>
        <v>2415869.64</v>
      </c>
    </row>
    <row r="18" spans="1:12">
      <c r="A18" s="163" t="s">
        <v>48</v>
      </c>
      <c r="B18" s="265">
        <f>SUM(B7+B17)</f>
        <v>83367.23</v>
      </c>
      <c r="C18" s="163" t="s">
        <v>48</v>
      </c>
      <c r="D18" s="265">
        <f>SUM(D7+D17)</f>
        <v>49516.63</v>
      </c>
      <c r="E18" s="163" t="s">
        <v>48</v>
      </c>
      <c r="F18" s="265">
        <f>SUM(F7+F17)</f>
        <v>586832.53</v>
      </c>
      <c r="G18" s="163" t="s">
        <v>48</v>
      </c>
      <c r="H18" s="265">
        <f>SUM(H7+H17)</f>
        <v>2827455.18</v>
      </c>
      <c r="I18" s="163" t="s">
        <v>48</v>
      </c>
      <c r="J18" s="265">
        <f>SUM(J7+J17)</f>
        <v>91751.819999999992</v>
      </c>
      <c r="K18" s="265">
        <f>SUM(B18+D18+F18+H18+J18)</f>
        <v>3638923.39</v>
      </c>
    </row>
    <row r="19" spans="1:12">
      <c r="A19" s="163" t="s">
        <v>50</v>
      </c>
      <c r="B19" s="164"/>
      <c r="C19" s="163" t="s">
        <v>50</v>
      </c>
      <c r="D19" s="165"/>
      <c r="E19" s="163" t="s">
        <v>50</v>
      </c>
      <c r="F19" s="152"/>
      <c r="G19" s="163" t="s">
        <v>50</v>
      </c>
      <c r="H19" s="50"/>
      <c r="I19" s="163" t="s">
        <v>50</v>
      </c>
      <c r="J19" s="50"/>
      <c r="K19" s="152"/>
    </row>
    <row r="20" spans="1:12">
      <c r="A20" s="281" t="s">
        <v>451</v>
      </c>
      <c r="B20" s="386">
        <f>816.55+1371</f>
        <v>2187.5500000000002</v>
      </c>
      <c r="C20" s="286" t="s">
        <v>446</v>
      </c>
      <c r="D20" s="386">
        <v>4340</v>
      </c>
      <c r="E20" s="286" t="s">
        <v>444</v>
      </c>
      <c r="F20" s="386">
        <v>579944.31000000006</v>
      </c>
      <c r="G20" s="286" t="s">
        <v>459</v>
      </c>
      <c r="H20" s="386">
        <v>1547598.43</v>
      </c>
      <c r="I20" s="286"/>
      <c r="J20" s="386"/>
      <c r="K20" s="152"/>
    </row>
    <row r="21" spans="1:12">
      <c r="A21" s="281" t="s">
        <v>445</v>
      </c>
      <c r="B21" s="386">
        <f>1500+96.92</f>
        <v>1596.92</v>
      </c>
      <c r="C21" s="286"/>
      <c r="D21" s="386"/>
      <c r="E21" s="286"/>
      <c r="F21" s="386"/>
      <c r="G21" s="286"/>
      <c r="H21" s="386"/>
      <c r="I21" s="286"/>
      <c r="J21" s="386"/>
      <c r="K21" s="152"/>
    </row>
    <row r="22" spans="1:12">
      <c r="A22" s="281" t="s">
        <v>446</v>
      </c>
      <c r="B22" s="387">
        <v>465</v>
      </c>
      <c r="C22" s="288"/>
      <c r="D22" s="387"/>
      <c r="E22" s="288"/>
      <c r="F22" s="387"/>
      <c r="G22" s="288"/>
      <c r="H22" s="387"/>
      <c r="I22" s="285"/>
      <c r="J22" s="387"/>
      <c r="K22" s="152"/>
    </row>
    <row r="23" spans="1:12">
      <c r="A23" s="281"/>
      <c r="B23" s="386"/>
      <c r="C23" s="286"/>
      <c r="D23" s="386"/>
      <c r="E23" s="286"/>
      <c r="F23" s="386"/>
      <c r="G23" s="286"/>
      <c r="H23" s="386"/>
      <c r="I23" s="286"/>
      <c r="J23" s="386"/>
      <c r="K23" s="152"/>
    </row>
    <row r="24" spans="1:12">
      <c r="A24" s="281"/>
      <c r="B24" s="387"/>
      <c r="C24" s="288"/>
      <c r="D24" s="387"/>
      <c r="E24" s="288"/>
      <c r="F24" s="387"/>
      <c r="G24" s="288"/>
      <c r="H24" s="387"/>
      <c r="I24" s="285"/>
      <c r="J24" s="387"/>
      <c r="K24" s="152"/>
    </row>
    <row r="25" spans="1:12">
      <c r="A25" s="281"/>
      <c r="B25" s="386"/>
      <c r="C25" s="286"/>
      <c r="D25" s="386"/>
      <c r="E25" s="286"/>
      <c r="F25" s="386"/>
      <c r="G25" s="286"/>
      <c r="H25" s="386"/>
      <c r="I25" s="286"/>
      <c r="J25" s="386"/>
      <c r="K25" s="152"/>
    </row>
    <row r="26" spans="1:12">
      <c r="A26" s="281"/>
      <c r="B26" s="386"/>
      <c r="C26" s="286"/>
      <c r="D26" s="386"/>
      <c r="E26" s="286"/>
      <c r="F26" s="386"/>
      <c r="G26" s="286"/>
      <c r="H26" s="386"/>
      <c r="I26" s="286"/>
      <c r="J26" s="386"/>
      <c r="K26" s="152"/>
    </row>
    <row r="27" spans="1:12">
      <c r="A27" s="281"/>
      <c r="B27" s="388"/>
      <c r="C27" s="281"/>
      <c r="D27" s="388"/>
      <c r="E27" s="281"/>
      <c r="F27" s="388"/>
      <c r="G27" s="286"/>
      <c r="H27" s="388"/>
      <c r="I27" s="286"/>
      <c r="J27" s="388"/>
      <c r="K27" s="152"/>
    </row>
    <row r="28" spans="1:12">
      <c r="A28" s="163" t="s">
        <v>54</v>
      </c>
      <c r="B28" s="265">
        <f>SUM(B20:B27)</f>
        <v>4249.47</v>
      </c>
      <c r="C28" s="163" t="s">
        <v>54</v>
      </c>
      <c r="D28" s="265">
        <f>SUM(D20:D27)</f>
        <v>4340</v>
      </c>
      <c r="E28" s="163" t="s">
        <v>54</v>
      </c>
      <c r="F28" s="265">
        <f>SUM(F20:F27)</f>
        <v>579944.31000000006</v>
      </c>
      <c r="G28" s="163" t="s">
        <v>54</v>
      </c>
      <c r="H28" s="265">
        <f>SUM(H20:H27)</f>
        <v>1547598.43</v>
      </c>
      <c r="I28" s="163" t="s">
        <v>54</v>
      </c>
      <c r="J28" s="265">
        <f>SUM(J20:J27)</f>
        <v>0</v>
      </c>
      <c r="K28" s="265">
        <f>SUM(B28+D28+F28+H28+J28)</f>
        <v>2136132.21</v>
      </c>
    </row>
    <row r="29" spans="1:12">
      <c r="A29" s="163" t="s">
        <v>214</v>
      </c>
      <c r="B29" s="265">
        <f>SUM(B18-B28)</f>
        <v>79117.759999999995</v>
      </c>
      <c r="C29" s="163" t="s">
        <v>214</v>
      </c>
      <c r="D29" s="265">
        <f>SUM(D18-D28)</f>
        <v>45176.63</v>
      </c>
      <c r="E29" s="163" t="s">
        <v>214</v>
      </c>
      <c r="F29" s="265">
        <f>SUM(F18-F28)</f>
        <v>6888.2199999999721</v>
      </c>
      <c r="G29" s="163" t="s">
        <v>214</v>
      </c>
      <c r="H29" s="265">
        <f>SUM(H18-H28)</f>
        <v>1279856.7500000002</v>
      </c>
      <c r="I29" s="163" t="s">
        <v>214</v>
      </c>
      <c r="J29" s="265">
        <f>SUM(J18-J28)</f>
        <v>91751.819999999992</v>
      </c>
      <c r="K29" s="268">
        <f>SUM(B29+D29+F29+H29+J29)</f>
        <v>1502791.1800000002</v>
      </c>
      <c r="L29" s="2" t="s">
        <v>309</v>
      </c>
    </row>
    <row r="30" spans="1:12">
      <c r="A30" s="163"/>
      <c r="B30" s="369" t="str">
        <f>IF(B29&lt;0,"Neg Bal","")</f>
        <v/>
      </c>
      <c r="C30" s="163"/>
      <c r="D30" s="369" t="str">
        <f>IF(D29&lt;0,"Neg Bal","")</f>
        <v/>
      </c>
      <c r="E30" s="163"/>
      <c r="F30" s="369" t="str">
        <f>IF(F29&lt;0,"Neg Bal","")</f>
        <v/>
      </c>
      <c r="G30" s="50"/>
      <c r="H30" s="369" t="str">
        <f>IF(H29&lt;0,"Neg Bal","")</f>
        <v/>
      </c>
      <c r="I30" s="50"/>
      <c r="J30" s="369" t="str">
        <f>IF(J29&lt;0,"Neg Bal","")</f>
        <v/>
      </c>
      <c r="K30" s="268">
        <f>SUM(K7+K17-K28)</f>
        <v>1502791.1800000002</v>
      </c>
      <c r="L30" s="2" t="s">
        <v>309</v>
      </c>
    </row>
    <row r="31" spans="1:12">
      <c r="A31" s="50"/>
      <c r="B31" s="55"/>
      <c r="C31" s="50"/>
      <c r="D31" s="152"/>
      <c r="E31" s="50"/>
      <c r="F31" s="50"/>
      <c r="G31" s="360" t="s">
        <v>311</v>
      </c>
      <c r="H31" s="360"/>
      <c r="I31" s="360"/>
      <c r="J31" s="360"/>
      <c r="K31" s="50"/>
    </row>
    <row r="32" spans="1:12">
      <c r="A32" s="50"/>
      <c r="B32" s="55"/>
      <c r="C32" s="50"/>
      <c r="D32" s="50"/>
      <c r="E32" s="50"/>
      <c r="F32" s="50"/>
      <c r="G32" s="50"/>
      <c r="H32" s="50"/>
      <c r="I32" s="50"/>
      <c r="J32" s="50"/>
      <c r="K32" s="50"/>
    </row>
    <row r="33" spans="1:11">
      <c r="A33" s="50"/>
      <c r="B33" s="55"/>
      <c r="C33" s="50"/>
      <c r="D33" s="50"/>
      <c r="E33" s="63" t="s">
        <v>58</v>
      </c>
      <c r="F33" s="100">
        <v>22</v>
      </c>
      <c r="G33" s="50"/>
      <c r="H33" s="50"/>
      <c r="I33" s="50"/>
      <c r="J33" s="50"/>
      <c r="K33" s="50"/>
    </row>
    <row r="34" spans="1:11">
      <c r="B34" s="166"/>
    </row>
    <row r="35" spans="1:11">
      <c r="B35" s="166"/>
    </row>
    <row r="36" spans="1:11">
      <c r="B36" s="166"/>
    </row>
    <row r="37" spans="1:11">
      <c r="B37" s="166"/>
    </row>
    <row r="38" spans="1:11">
      <c r="B38" s="166"/>
    </row>
    <row r="39" spans="1:11">
      <c r="B39" s="166"/>
    </row>
    <row r="40" spans="1:11">
      <c r="B40" s="166"/>
    </row>
    <row r="41" spans="1:11">
      <c r="B41" s="166"/>
    </row>
  </sheetData>
  <mergeCells count="5">
    <mergeCell ref="I5:J5"/>
    <mergeCell ref="A5:B5"/>
    <mergeCell ref="C5:D5"/>
    <mergeCell ref="E5:F5"/>
    <mergeCell ref="G5:H5"/>
  </mergeCells>
  <phoneticPr fontId="10" type="noConversion"/>
  <pageMargins left="0.75" right="0.75" top="1" bottom="1" header="0.5" footer="0.5"/>
  <pageSetup scale="87" orientation="landscape" blackAndWhite="1" r:id="rId1"/>
  <headerFooter alignWithMargins="0">
    <oddHeader>&amp;RState of Kansas
Coffeyville</oddHeader>
    <oddFooter>&amp;Lrevised 7/01/08</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89"/>
  <sheetViews>
    <sheetView view="pageBreakPreview" topLeftCell="A38" zoomScaleNormal="100" workbookViewId="0">
      <selection activeCell="F38" sqref="F38"/>
    </sheetView>
  </sheetViews>
  <sheetFormatPr defaultRowHeight="15"/>
  <cols>
    <col min="1" max="1" width="15.77734375" customWidth="1"/>
    <col min="2" max="2" width="20.77734375" customWidth="1"/>
    <col min="3" max="3" width="9.77734375" customWidth="1"/>
    <col min="4" max="4" width="15.109375" customWidth="1"/>
    <col min="5" max="5" width="15.77734375" customWidth="1"/>
    <col min="6" max="6" width="11" bestFit="1" customWidth="1"/>
    <col min="7" max="7" width="9" bestFit="1" customWidth="1"/>
  </cols>
  <sheetData>
    <row r="1" spans="1:5">
      <c r="A1" s="167" t="str">
        <f>inputPrYr!$D$2</f>
        <v>City of Coffeyville</v>
      </c>
      <c r="B1" s="168"/>
      <c r="C1" s="168"/>
      <c r="D1" s="168"/>
      <c r="E1" s="168">
        <f>inputPrYr!C5</f>
        <v>2013</v>
      </c>
    </row>
    <row r="2" spans="1:5">
      <c r="A2" s="168"/>
      <c r="B2" s="168"/>
      <c r="C2" s="168"/>
      <c r="D2" s="168"/>
      <c r="E2" s="168"/>
    </row>
    <row r="3" spans="1:5">
      <c r="A3" s="432" t="s">
        <v>300</v>
      </c>
      <c r="B3" s="433"/>
      <c r="C3" s="433"/>
      <c r="D3" s="433"/>
      <c r="E3" s="433"/>
    </row>
    <row r="4" spans="1:5">
      <c r="A4" s="168"/>
      <c r="B4" s="168"/>
      <c r="C4" s="168"/>
      <c r="D4" s="168"/>
      <c r="E4" s="168"/>
    </row>
    <row r="5" spans="1:5" ht="15.75">
      <c r="A5" s="123" t="str">
        <f>CONCATENATE("From the County Clerks ",E1," Budget Information:")</f>
        <v>From the County Clerks 2013 Budget Information:</v>
      </c>
      <c r="B5" s="124"/>
      <c r="C5" s="21"/>
      <c r="D5" s="21"/>
      <c r="E5" s="65"/>
    </row>
    <row r="6" spans="1:5" ht="15.75">
      <c r="A6" s="112" t="str">
        <f>CONCATENATE("Total Assessed Valuation for ",E1-1,"")</f>
        <v>Total Assessed Valuation for 2012</v>
      </c>
      <c r="B6" s="115"/>
      <c r="C6" s="115"/>
      <c r="D6" s="115"/>
      <c r="E6" s="9">
        <v>106592328</v>
      </c>
    </row>
    <row r="7" spans="1:5" ht="15.75">
      <c r="A7" s="112" t="str">
        <f>CONCATENATE("New Improvements for ",E1-1,"")</f>
        <v>New Improvements for 2012</v>
      </c>
      <c r="B7" s="115"/>
      <c r="C7" s="115"/>
      <c r="D7" s="115"/>
      <c r="E7" s="18">
        <v>284170</v>
      </c>
    </row>
    <row r="8" spans="1:5" ht="15.75">
      <c r="A8" s="112" t="str">
        <f>CONCATENATE("Personal Property excluding oil, gas, mobile homes - ",E1-1,"")</f>
        <v>Personal Property excluding oil, gas, mobile homes - 2012</v>
      </c>
      <c r="B8" s="115"/>
      <c r="C8" s="115"/>
      <c r="D8" s="115"/>
      <c r="E8" s="18">
        <v>2915651</v>
      </c>
    </row>
    <row r="9" spans="1:5" ht="15.75">
      <c r="A9" s="113" t="s">
        <v>218</v>
      </c>
      <c r="B9" s="115"/>
      <c r="C9" s="115"/>
      <c r="D9" s="115"/>
      <c r="E9" s="40"/>
    </row>
    <row r="10" spans="1:5" ht="15.75">
      <c r="A10" s="112" t="s">
        <v>169</v>
      </c>
      <c r="B10" s="115"/>
      <c r="C10" s="115"/>
      <c r="D10" s="115"/>
      <c r="E10" s="18">
        <v>0</v>
      </c>
    </row>
    <row r="11" spans="1:5" ht="15.75">
      <c r="A11" s="112" t="s">
        <v>170</v>
      </c>
      <c r="B11" s="115"/>
      <c r="C11" s="115"/>
      <c r="D11" s="115"/>
      <c r="E11" s="18">
        <v>0</v>
      </c>
    </row>
    <row r="12" spans="1:5" ht="15.75">
      <c r="A12" s="112" t="s">
        <v>171</v>
      </c>
      <c r="B12" s="115"/>
      <c r="C12" s="115"/>
      <c r="D12" s="115"/>
      <c r="E12" s="18">
        <v>0</v>
      </c>
    </row>
    <row r="13" spans="1:5" ht="15.75">
      <c r="A13" s="112" t="str">
        <f>CONCATENATE("Property that has changed in use for ",E1-1,"")</f>
        <v>Property that has changed in use for 2012</v>
      </c>
      <c r="B13" s="115"/>
      <c r="C13" s="115"/>
      <c r="D13" s="115"/>
      <c r="E13" s="18">
        <v>0</v>
      </c>
    </row>
    <row r="14" spans="1:5" ht="15.75">
      <c r="A14" s="112" t="str">
        <f>CONCATENATE("Personal Property  excluding oil, gas, mobile homes- ",E1-2,"")</f>
        <v>Personal Property  excluding oil, gas, mobile homes- 2011</v>
      </c>
      <c r="B14" s="115"/>
      <c r="C14" s="115"/>
      <c r="D14" s="115"/>
      <c r="E14" s="18">
        <v>2779916</v>
      </c>
    </row>
    <row r="15" spans="1:5" ht="15.75">
      <c r="A15" s="112" t="str">
        <f>CONCATENATE("Gross earnings (intangible) tax estimate for ",E1,"")</f>
        <v>Gross earnings (intangible) tax estimate for 2013</v>
      </c>
      <c r="B15" s="115"/>
      <c r="C15" s="115"/>
      <c r="D15" s="38"/>
      <c r="E15" s="9">
        <v>0</v>
      </c>
    </row>
    <row r="16" spans="1:5" ht="15.75">
      <c r="A16" s="112" t="s">
        <v>219</v>
      </c>
      <c r="B16" s="115"/>
      <c r="C16" s="115"/>
      <c r="D16" s="115"/>
      <c r="E16" s="17">
        <v>0</v>
      </c>
    </row>
    <row r="17" spans="1:5" ht="15.75">
      <c r="A17" s="130"/>
      <c r="B17" s="106"/>
      <c r="C17" s="106"/>
      <c r="D17" s="106"/>
      <c r="E17" s="169"/>
    </row>
    <row r="18" spans="1:5" ht="15.75">
      <c r="A18" s="130" t="str">
        <f>CONCATENATE("Actual Tax Rates for the ",E1-1," Budget:")</f>
        <v>Actual Tax Rates for the 2012 Budget:</v>
      </c>
      <c r="B18" s="106"/>
      <c r="C18" s="106"/>
      <c r="D18" s="106"/>
      <c r="E18" s="169"/>
    </row>
    <row r="19" spans="1:5" ht="15.75">
      <c r="A19" s="438" t="s">
        <v>27</v>
      </c>
      <c r="B19" s="439"/>
      <c r="C19" s="168"/>
      <c r="D19" s="170" t="s">
        <v>81</v>
      </c>
      <c r="E19" s="169"/>
    </row>
    <row r="20" spans="1:5" ht="15.75">
      <c r="A20" s="111" t="s">
        <v>11</v>
      </c>
      <c r="B20" s="20"/>
      <c r="C20" s="106"/>
      <c r="D20" s="293">
        <v>35.844999999999999</v>
      </c>
      <c r="E20" s="169"/>
    </row>
    <row r="21" spans="1:5" ht="15.75">
      <c r="A21" s="112" t="s">
        <v>220</v>
      </c>
      <c r="B21" s="115"/>
      <c r="C21" s="106"/>
      <c r="D21" s="294">
        <v>0</v>
      </c>
      <c r="E21" s="169"/>
    </row>
    <row r="22" spans="1:5" ht="15.75">
      <c r="A22" s="112" t="str">
        <f>IF(inputPrYr!B19&gt;" ",(inputPrYr!B19)," ")</f>
        <v>Library</v>
      </c>
      <c r="B22" s="115"/>
      <c r="C22" s="106"/>
      <c r="D22" s="294">
        <v>3.2690000000000001</v>
      </c>
      <c r="E22" s="169"/>
    </row>
    <row r="23" spans="1:5" ht="15.75">
      <c r="A23" s="112" t="str">
        <f>IF(inputPrYr!B20&gt;" ",(inputPrYr!B20)," ")</f>
        <v>Employee Benefits</v>
      </c>
      <c r="B23" s="115"/>
      <c r="C23" s="106"/>
      <c r="D23" s="294">
        <v>0</v>
      </c>
      <c r="E23" s="169"/>
    </row>
    <row r="24" spans="1:5" ht="15.75">
      <c r="A24" s="112" t="str">
        <f>IF(inputPrYr!B21&gt;" ",(inputPrYr!B21)," ")</f>
        <v xml:space="preserve"> </v>
      </c>
      <c r="B24" s="115"/>
      <c r="C24" s="106"/>
      <c r="D24" s="294"/>
      <c r="E24" s="169"/>
    </row>
    <row r="25" spans="1:5" ht="15.75">
      <c r="A25" s="112" t="str">
        <f>IF(inputPrYr!B22&gt;" ",(inputPrYr!B22)," ")</f>
        <v xml:space="preserve"> </v>
      </c>
      <c r="B25" s="208"/>
      <c r="C25" s="106"/>
      <c r="D25" s="295"/>
      <c r="E25" s="169"/>
    </row>
    <row r="26" spans="1:5" ht="15.75">
      <c r="A26" s="112" t="str">
        <f>IF(inputPrYr!B23&gt;" ",(inputPrYr!B23)," ")</f>
        <v xml:space="preserve"> </v>
      </c>
      <c r="B26" s="208"/>
      <c r="C26" s="106"/>
      <c r="D26" s="295"/>
      <c r="E26" s="169"/>
    </row>
    <row r="27" spans="1:5" ht="15.75">
      <c r="A27" s="112" t="str">
        <f>IF(inputPrYr!B24&gt;" ",(inputPrYr!B24)," ")</f>
        <v xml:space="preserve"> </v>
      </c>
      <c r="B27" s="208"/>
      <c r="C27" s="106"/>
      <c r="D27" s="295"/>
      <c r="E27" s="169"/>
    </row>
    <row r="28" spans="1:5" ht="15.75">
      <c r="A28" s="112" t="str">
        <f>IF(inputPrYr!B25&gt;" ",(inputPrYr!B25)," ")</f>
        <v xml:space="preserve"> </v>
      </c>
      <c r="B28" s="208"/>
      <c r="C28" s="106"/>
      <c r="D28" s="295"/>
      <c r="E28" s="169"/>
    </row>
    <row r="29" spans="1:5" ht="15.75">
      <c r="A29" s="112" t="str">
        <f>IF(inputPrYr!B26&gt;" ",(inputPrYr!B26)," ")</f>
        <v xml:space="preserve"> </v>
      </c>
      <c r="B29" s="208"/>
      <c r="C29" s="106"/>
      <c r="D29" s="295"/>
      <c r="E29" s="169"/>
    </row>
    <row r="30" spans="1:5" ht="15.75">
      <c r="A30" s="112" t="str">
        <f>IF(inputPrYr!B27&gt;" ",(inputPrYr!B27)," ")</f>
        <v xml:space="preserve"> </v>
      </c>
      <c r="B30" s="208"/>
      <c r="C30" s="106"/>
      <c r="D30" s="295"/>
      <c r="E30" s="169"/>
    </row>
    <row r="31" spans="1:5" ht="15.75">
      <c r="A31" s="112" t="str">
        <f>IF(inputPrYr!B28&gt;" ",(inputPrYr!B28)," ")</f>
        <v xml:space="preserve"> </v>
      </c>
      <c r="B31" s="208"/>
      <c r="C31" s="106"/>
      <c r="D31" s="295"/>
      <c r="E31" s="169"/>
    </row>
    <row r="32" spans="1:5" ht="15.75">
      <c r="A32" s="114"/>
      <c r="B32" s="42" t="s">
        <v>13</v>
      </c>
      <c r="C32" s="171"/>
      <c r="D32" s="131">
        <f>SUM(D20:D31)</f>
        <v>39.113999999999997</v>
      </c>
      <c r="E32" s="114"/>
    </row>
    <row r="33" spans="1:5">
      <c r="A33" s="114"/>
      <c r="B33" s="114"/>
      <c r="C33" s="114"/>
      <c r="D33" s="114"/>
      <c r="E33" s="114"/>
    </row>
    <row r="34" spans="1:5" ht="15.75">
      <c r="A34" s="20" t="str">
        <f>CONCATENATE("Final Assessed Valuation from the November 1, ",E1-2," Abstract")</f>
        <v>Final Assessed Valuation from the November 1, 2011 Abstract</v>
      </c>
      <c r="B34" s="172"/>
      <c r="C34" s="172"/>
      <c r="D34" s="172"/>
      <c r="E34" s="17">
        <v>107996549</v>
      </c>
    </row>
    <row r="35" spans="1:5">
      <c r="A35" s="114"/>
      <c r="B35" s="114"/>
      <c r="C35" s="114"/>
      <c r="D35" s="114"/>
      <c r="E35" s="114"/>
    </row>
    <row r="36" spans="1:5" ht="15.75">
      <c r="A36" s="125" t="str">
        <f>CONCATENATE("From the County Treasurer's Budget Information - ",E1," Budget Year Estimates:")</f>
        <v>From the County Treasurer's Budget Information - 2013 Budget Year Estimates:</v>
      </c>
      <c r="B36" s="126"/>
      <c r="C36" s="126"/>
      <c r="D36" s="127"/>
      <c r="E36" s="65"/>
    </row>
    <row r="37" spans="1:5" ht="15.75">
      <c r="A37" s="111" t="s">
        <v>14</v>
      </c>
      <c r="B37" s="20"/>
      <c r="C37" s="20"/>
      <c r="D37" s="118"/>
      <c r="E37" s="9">
        <v>238634.6</v>
      </c>
    </row>
    <row r="38" spans="1:5" ht="15.75">
      <c r="A38" s="112" t="s">
        <v>15</v>
      </c>
      <c r="B38" s="115"/>
      <c r="C38" s="115"/>
      <c r="D38" s="119"/>
      <c r="E38" s="9">
        <v>1897.32</v>
      </c>
    </row>
    <row r="39" spans="1:5" ht="15.75">
      <c r="A39" s="112" t="s">
        <v>221</v>
      </c>
      <c r="B39" s="115"/>
      <c r="C39" s="115"/>
      <c r="D39" s="119"/>
      <c r="E39" s="9">
        <v>2287.7800000000002</v>
      </c>
    </row>
    <row r="40" spans="1:5" ht="15.75">
      <c r="A40" s="112" t="s">
        <v>222</v>
      </c>
      <c r="B40" s="115"/>
      <c r="C40" s="115"/>
      <c r="D40" s="119"/>
      <c r="E40" s="9">
        <v>0</v>
      </c>
    </row>
    <row r="41" spans="1:5" ht="15.75">
      <c r="A41" s="112" t="s">
        <v>223</v>
      </c>
      <c r="B41" s="115"/>
      <c r="C41" s="115"/>
      <c r="D41" s="119"/>
      <c r="E41" s="9">
        <v>0</v>
      </c>
    </row>
    <row r="42" spans="1:5" ht="15.75">
      <c r="A42" s="111" t="s">
        <v>224</v>
      </c>
      <c r="B42" s="20"/>
      <c r="C42" s="20"/>
      <c r="D42" s="118"/>
      <c r="E42" s="9">
        <v>0</v>
      </c>
    </row>
    <row r="43" spans="1:5" ht="15.75">
      <c r="A43" s="21" t="s">
        <v>225</v>
      </c>
      <c r="B43" s="21"/>
      <c r="C43" s="21"/>
      <c r="D43" s="21"/>
      <c r="E43" s="21"/>
    </row>
    <row r="44" spans="1:5" ht="15.75">
      <c r="A44" s="22" t="s">
        <v>35</v>
      </c>
      <c r="B44" s="27"/>
      <c r="C44" s="27"/>
      <c r="D44" s="21"/>
      <c r="E44" s="21"/>
    </row>
    <row r="45" spans="1:5" ht="15.75">
      <c r="A45" s="130" t="str">
        <f>CONCATENATE("Actual Delinquency for ",E1-2," Tax")</f>
        <v>Actual Delinquency for 2011 Tax</v>
      </c>
      <c r="B45" s="106"/>
      <c r="C45" s="21"/>
      <c r="D45" s="21"/>
      <c r="E45" s="289">
        <v>1.8955E-2</v>
      </c>
    </row>
    <row r="46" spans="1:5" ht="15.75">
      <c r="A46" s="111" t="s">
        <v>226</v>
      </c>
      <c r="B46" s="111"/>
      <c r="C46" s="20"/>
      <c r="D46" s="20"/>
      <c r="E46" s="373">
        <v>0</v>
      </c>
    </row>
    <row r="47" spans="1:5" ht="15.75">
      <c r="A47" s="21"/>
      <c r="B47" s="21"/>
      <c r="C47" s="21"/>
      <c r="D47" s="21"/>
      <c r="E47" s="21"/>
    </row>
    <row r="48" spans="1:5" ht="15.75">
      <c r="A48" s="173" t="s">
        <v>331</v>
      </c>
      <c r="B48" s="174"/>
      <c r="C48" s="175"/>
      <c r="D48" s="175"/>
      <c r="E48" s="175"/>
    </row>
    <row r="49" spans="1:6" ht="15.75">
      <c r="A49" s="153" t="str">
        <f>CONCATENATE("",E1," State Distribution for Kansas Gas Tax")</f>
        <v>2013 State Distribution for Kansas Gas Tax</v>
      </c>
      <c r="B49" s="176"/>
      <c r="C49" s="176"/>
      <c r="D49" s="177"/>
      <c r="E49" s="17">
        <v>267940</v>
      </c>
    </row>
    <row r="50" spans="1:6" ht="15.75">
      <c r="A50" s="178" t="str">
        <f>CONCATENATE("",E1," County Transfers for Gas**")</f>
        <v>2013 County Transfers for Gas**</v>
      </c>
      <c r="B50" s="179"/>
      <c r="C50" s="179"/>
      <c r="D50" s="180"/>
      <c r="E50" s="17">
        <v>41450</v>
      </c>
    </row>
    <row r="51" spans="1:6" ht="15.75">
      <c r="A51" s="178" t="str">
        <f>CONCATENATE("Adjusted ",E1-1," State Distribution for Kansas Gas Tax")</f>
        <v>Adjusted 2012 State Distribution for Kansas Gas Tax</v>
      </c>
      <c r="B51" s="179"/>
      <c r="C51" s="179"/>
      <c r="D51" s="180"/>
      <c r="E51" s="17">
        <v>265910</v>
      </c>
    </row>
    <row r="52" spans="1:6" ht="15.75">
      <c r="A52" s="178" t="str">
        <f>CONCATENATE("Adjusted ",E1-1," County Transfers for Gas**")</f>
        <v>Adjusted 2012 County Transfers for Gas**</v>
      </c>
      <c r="B52" s="179"/>
      <c r="C52" s="179"/>
      <c r="D52" s="180"/>
      <c r="E52" s="17">
        <v>41290</v>
      </c>
    </row>
    <row r="53" spans="1:6" ht="15.75">
      <c r="A53" s="440" t="s">
        <v>295</v>
      </c>
      <c r="B53" s="441"/>
      <c r="C53" s="441"/>
      <c r="D53" s="441"/>
      <c r="E53" s="441"/>
    </row>
    <row r="54" spans="1:6">
      <c r="A54" s="181" t="s">
        <v>296</v>
      </c>
      <c r="B54" s="181"/>
      <c r="C54" s="181"/>
      <c r="D54" s="181"/>
      <c r="E54" s="181"/>
    </row>
    <row r="55" spans="1:6">
      <c r="A55" s="168"/>
      <c r="B55" s="168"/>
      <c r="C55" s="168"/>
      <c r="D55" s="168"/>
      <c r="E55" s="168"/>
    </row>
    <row r="56" spans="1:6" ht="15.75">
      <c r="A56" s="442" t="str">
        <f>CONCATENATE("From the ",E1-2," Budget Summary Page")</f>
        <v>From the 2011 Budget Summary Page</v>
      </c>
      <c r="B56" s="443"/>
      <c r="C56" s="168"/>
      <c r="D56" s="168"/>
      <c r="E56" s="168"/>
    </row>
    <row r="57" spans="1:6" ht="15.75">
      <c r="A57" s="332"/>
      <c r="B57" s="332" t="str">
        <f>CONCATENATE("",E1-2," Expenditure Amounts")</f>
        <v>2011 Expenditure Amounts</v>
      </c>
      <c r="C57" s="436" t="str">
        <f>CONCATENATE("Note: If the ",E1-2," budget was amended, then the")</f>
        <v>Note: If the 2011 budget was amended, then the</v>
      </c>
      <c r="D57" s="437"/>
      <c r="E57" s="437"/>
    </row>
    <row r="58" spans="1:6" ht="15.75">
      <c r="A58" s="333" t="s">
        <v>340</v>
      </c>
      <c r="B58" s="333" t="s">
        <v>341</v>
      </c>
      <c r="C58" s="334" t="s">
        <v>342</v>
      </c>
      <c r="D58" s="335"/>
      <c r="E58" s="335"/>
    </row>
    <row r="59" spans="1:6" ht="15.75">
      <c r="A59" s="336" t="str">
        <f>inputPrYr!B16</f>
        <v>General</v>
      </c>
      <c r="B59" s="17">
        <v>13872509</v>
      </c>
      <c r="C59" s="334" t="s">
        <v>343</v>
      </c>
      <c r="D59" s="337"/>
      <c r="E59" s="337"/>
    </row>
    <row r="60" spans="1:6" ht="15.75">
      <c r="A60" s="336" t="str">
        <f>inputPrYr!B17</f>
        <v>Bond &amp; Interest</v>
      </c>
      <c r="B60" s="17">
        <v>4670225</v>
      </c>
      <c r="C60" s="334"/>
      <c r="D60" s="337"/>
      <c r="E60" s="337"/>
    </row>
    <row r="61" spans="1:6" ht="15.75">
      <c r="A61" s="336" t="str">
        <f>inputPrYr!B19</f>
        <v>Library</v>
      </c>
      <c r="B61" s="17">
        <v>372822</v>
      </c>
      <c r="C61" s="168"/>
      <c r="D61" s="168"/>
      <c r="E61" s="168"/>
    </row>
    <row r="62" spans="1:6" ht="15.75">
      <c r="A62" s="336" t="str">
        <f>inputPrYr!B20</f>
        <v>Employee Benefits</v>
      </c>
      <c r="B62" s="17">
        <v>0</v>
      </c>
      <c r="C62" s="168"/>
      <c r="D62" s="168"/>
      <c r="E62" s="168"/>
    </row>
    <row r="63" spans="1:6" ht="15.75">
      <c r="A63" s="336" t="str">
        <f>inputPrYr!B32</f>
        <v>Special Highway</v>
      </c>
      <c r="B63" s="17">
        <v>0</v>
      </c>
      <c r="C63" s="168"/>
      <c r="D63" s="168"/>
      <c r="E63" s="168"/>
      <c r="F63" s="404"/>
    </row>
    <row r="64" spans="1:6" ht="15.75">
      <c r="A64" s="336" t="str">
        <f>inputPrYr!B33</f>
        <v>Local Alcohol Liquor</v>
      </c>
      <c r="B64" s="17">
        <v>127718</v>
      </c>
      <c r="C64" s="168"/>
      <c r="D64" s="168"/>
      <c r="E64" s="168"/>
    </row>
    <row r="65" spans="1:5" ht="15.75">
      <c r="A65" s="336" t="str">
        <f>inputPrYr!B34</f>
        <v>Youth Activity Center</v>
      </c>
      <c r="B65" s="17">
        <v>44094</v>
      </c>
      <c r="C65" s="168"/>
      <c r="D65" s="168"/>
      <c r="E65" s="168"/>
    </row>
    <row r="66" spans="1:5" ht="15.75">
      <c r="A66" s="336" t="str">
        <f>inputPrYr!B35</f>
        <v>Community Development</v>
      </c>
      <c r="B66" s="17">
        <v>206231</v>
      </c>
      <c r="C66" s="168"/>
      <c r="D66" s="168"/>
      <c r="E66" s="168"/>
    </row>
    <row r="67" spans="1:5" ht="15.75">
      <c r="A67" s="336" t="str">
        <f>inputPrYr!B36</f>
        <v>Police VIN</v>
      </c>
      <c r="B67" s="17">
        <v>14784</v>
      </c>
      <c r="C67" s="168"/>
      <c r="D67" s="168"/>
      <c r="E67" s="168"/>
    </row>
    <row r="68" spans="1:5" ht="15.75">
      <c r="A68" s="336" t="str">
        <f>inputPrYr!B37</f>
        <v>Memorial Hall Building</v>
      </c>
      <c r="B68" s="17">
        <v>12834</v>
      </c>
      <c r="C68" s="168"/>
      <c r="D68" s="168"/>
      <c r="E68" s="168"/>
    </row>
    <row r="69" spans="1:5" ht="15.75">
      <c r="A69" s="336" t="str">
        <f>inputPrYr!B38</f>
        <v>Airport</v>
      </c>
      <c r="B69" s="17">
        <v>40266</v>
      </c>
      <c r="C69" s="168"/>
      <c r="D69" s="168"/>
      <c r="E69" s="168"/>
    </row>
    <row r="70" spans="1:5" ht="15.75">
      <c r="A70" s="336" t="str">
        <f>inputPrYr!B39</f>
        <v>Hillcrest Golf Course</v>
      </c>
      <c r="B70" s="17">
        <v>393571</v>
      </c>
      <c r="C70" s="168"/>
      <c r="D70" s="168"/>
      <c r="E70" s="168"/>
    </row>
    <row r="71" spans="1:5" ht="15.75">
      <c r="A71" s="336" t="str">
        <f>inputPrYr!B40</f>
        <v>Aquatic Center</v>
      </c>
      <c r="B71" s="17">
        <v>124676</v>
      </c>
      <c r="C71" s="168"/>
      <c r="D71" s="168"/>
      <c r="E71" s="168"/>
    </row>
    <row r="72" spans="1:5" ht="15.75">
      <c r="A72" s="336" t="str">
        <f>inputPrYr!B41</f>
        <v>Sales Tax Bond Debt Service</v>
      </c>
      <c r="B72" s="17">
        <v>419928</v>
      </c>
      <c r="C72" s="168"/>
      <c r="D72" s="168"/>
      <c r="E72" s="168"/>
    </row>
    <row r="73" spans="1:5" ht="15.75">
      <c r="A73" s="336" t="str">
        <f>inputPrYr!B42</f>
        <v xml:space="preserve">USD 445 Sales Tax </v>
      </c>
      <c r="B73" s="17">
        <v>1195015</v>
      </c>
      <c r="C73" s="168"/>
      <c r="D73" s="168"/>
      <c r="E73" s="168"/>
    </row>
    <row r="74" spans="1:5" ht="15.75">
      <c r="A74" s="336" t="str">
        <f>inputPrYr!B43</f>
        <v>CRMC Sales Tax</v>
      </c>
      <c r="B74" s="17">
        <v>1000000</v>
      </c>
      <c r="C74" s="168"/>
      <c r="D74" s="168"/>
      <c r="E74" s="168"/>
    </row>
    <row r="75" spans="1:5" ht="15.75">
      <c r="A75" s="336" t="str">
        <f>inputPrYr!B44</f>
        <v>Business Dev. Training Center (BDTC)</v>
      </c>
      <c r="B75" s="17">
        <v>138753</v>
      </c>
      <c r="C75" s="168"/>
      <c r="D75" s="168"/>
      <c r="E75" s="168"/>
    </row>
    <row r="76" spans="1:5" ht="15.75">
      <c r="A76" s="336" t="str">
        <f>inputPrYr!B45</f>
        <v>Veterans Memorial Stadium (VMS)</v>
      </c>
      <c r="B76" s="17">
        <v>30048</v>
      </c>
      <c r="C76" s="168"/>
      <c r="D76" s="168"/>
      <c r="E76" s="168"/>
    </row>
    <row r="77" spans="1:5" ht="15.75">
      <c r="A77" s="336" t="str">
        <f>inputPrYr!B46</f>
        <v>Refuse Utility</v>
      </c>
      <c r="B77" s="17">
        <v>644034</v>
      </c>
      <c r="C77" s="168"/>
      <c r="D77" s="168"/>
      <c r="E77" s="168"/>
    </row>
    <row r="78" spans="1:5" ht="15.75">
      <c r="A78" s="336" t="str">
        <f>inputPrYr!B47</f>
        <v>Internet Utility</v>
      </c>
      <c r="B78" s="17">
        <v>408710</v>
      </c>
      <c r="C78" s="168"/>
      <c r="D78" s="168"/>
      <c r="E78" s="168"/>
    </row>
    <row r="79" spans="1:5" ht="15.75">
      <c r="A79" s="336" t="str">
        <f>inputPrYr!B48</f>
        <v>Stormwater Utility</v>
      </c>
      <c r="B79" s="17">
        <v>178955</v>
      </c>
      <c r="C79" s="168"/>
      <c r="D79" s="168"/>
      <c r="E79" s="168"/>
    </row>
    <row r="80" spans="1:5" ht="15.75">
      <c r="A80" s="336" t="str">
        <f>inputPrYr!B49</f>
        <v>Electric Debt Service</v>
      </c>
      <c r="B80" s="17">
        <v>1060197</v>
      </c>
      <c r="C80" s="168"/>
      <c r="D80" s="168"/>
      <c r="E80" s="168"/>
    </row>
    <row r="81" spans="1:5" ht="15.75">
      <c r="A81" s="336" t="str">
        <f>inputPrYr!B50</f>
        <v>Water/Wastewater Debt Service</v>
      </c>
      <c r="B81" s="17">
        <v>3584546</v>
      </c>
      <c r="C81" s="168"/>
      <c r="D81" s="168"/>
      <c r="E81" s="168"/>
    </row>
    <row r="82" spans="1:5" ht="15.75">
      <c r="A82" s="336" t="str">
        <f>inputPrYr!B52</f>
        <v>Electric Utility</v>
      </c>
      <c r="B82" s="17">
        <v>52084416</v>
      </c>
      <c r="C82" s="168"/>
      <c r="D82" s="168"/>
      <c r="E82" s="168"/>
    </row>
    <row r="83" spans="1:5" ht="15.75">
      <c r="A83" s="336" t="str">
        <f>inputPrYr!B53</f>
        <v>Water/Wastewater Utility</v>
      </c>
      <c r="B83" s="17">
        <v>5335207</v>
      </c>
      <c r="C83" s="168"/>
      <c r="D83" s="168"/>
      <c r="E83" s="168"/>
    </row>
    <row r="84" spans="1:5" ht="15.75">
      <c r="A84" s="336"/>
      <c r="B84" s="17"/>
      <c r="C84" s="168"/>
      <c r="D84" s="168"/>
      <c r="E84" s="168"/>
    </row>
    <row r="85" spans="1:5" ht="15.75">
      <c r="A85" s="336"/>
      <c r="B85" s="17"/>
      <c r="C85" s="168"/>
      <c r="D85" s="168"/>
      <c r="E85" s="168"/>
    </row>
    <row r="86" spans="1:5" ht="15.75">
      <c r="A86" s="336"/>
      <c r="B86" s="17"/>
      <c r="C86" s="168"/>
      <c r="D86" s="168"/>
      <c r="E86" s="168"/>
    </row>
    <row r="89" spans="1:5">
      <c r="B89" s="404"/>
    </row>
  </sheetData>
  <mergeCells count="5">
    <mergeCell ref="C57:E57"/>
    <mergeCell ref="A19:B19"/>
    <mergeCell ref="A53:E53"/>
    <mergeCell ref="A3:E3"/>
    <mergeCell ref="A56:B56"/>
  </mergeCells>
  <phoneticPr fontId="10" type="noConversion"/>
  <pageMargins left="0.75" right="0.75" top="1" bottom="1" header="0.5" footer="0.5"/>
  <pageSetup scale="90" fitToHeight="0" orientation="portrait" blackAndWhite="1" r:id="rId1"/>
  <headerFooter alignWithMargins="0">
    <oddFooter>&amp;Lrevised 8/06/07</oddFooter>
  </headerFooter>
</worksheet>
</file>

<file path=xl/worksheets/sheet30.xml><?xml version="1.0" encoding="utf-8"?>
<worksheet xmlns="http://schemas.openxmlformats.org/spreadsheetml/2006/main" xmlns:r="http://schemas.openxmlformats.org/officeDocument/2006/relationships">
  <sheetPr>
    <pageSetUpPr fitToPage="1"/>
  </sheetPr>
  <dimension ref="A1:L41"/>
  <sheetViews>
    <sheetView view="pageBreakPreview" zoomScaleNormal="100" workbookViewId="0">
      <selection activeCell="C30" sqref="C30"/>
    </sheetView>
  </sheetViews>
  <sheetFormatPr defaultRowHeight="15.75"/>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1" width="8.88671875" style="2"/>
    <col min="12" max="12" width="2.5546875" style="2" bestFit="1" customWidth="1"/>
    <col min="13" max="16384" width="8.88671875" style="2"/>
  </cols>
  <sheetData>
    <row r="1" spans="1:11">
      <c r="A1" s="51" t="str">
        <f>inputPrYr!$D$2</f>
        <v>City of Coffeyville</v>
      </c>
      <c r="B1" s="152"/>
      <c r="C1" s="50"/>
      <c r="D1" s="50"/>
      <c r="E1" s="50"/>
      <c r="F1" s="52" t="s">
        <v>215</v>
      </c>
      <c r="G1" s="50"/>
      <c r="H1" s="50"/>
      <c r="I1" s="50"/>
      <c r="J1" s="50"/>
      <c r="K1" s="50">
        <f>inputPrYr!$C$5</f>
        <v>2013</v>
      </c>
    </row>
    <row r="2" spans="1:11">
      <c r="A2" s="50"/>
      <c r="B2" s="50"/>
      <c r="C2" s="50"/>
      <c r="D2" s="50"/>
      <c r="E2" s="50"/>
      <c r="F2" s="367" t="str">
        <f>CONCATENATE("(Only the actual budget year for ",K1-2," is to be shown)")</f>
        <v>(Only the actual budget year for 2011 is to be shown)</v>
      </c>
      <c r="G2" s="50"/>
      <c r="H2" s="50"/>
      <c r="I2" s="50"/>
      <c r="J2" s="50"/>
      <c r="K2" s="50"/>
    </row>
    <row r="3" spans="1:11">
      <c r="A3" s="50" t="s">
        <v>260</v>
      </c>
      <c r="B3" s="50"/>
      <c r="C3" s="50"/>
      <c r="D3" s="50"/>
      <c r="E3" s="50"/>
      <c r="F3" s="152"/>
      <c r="G3" s="50"/>
      <c r="H3" s="50"/>
      <c r="I3" s="50"/>
      <c r="J3" s="50"/>
      <c r="K3" s="50"/>
    </row>
    <row r="4" spans="1:11">
      <c r="A4" s="50" t="s">
        <v>208</v>
      </c>
      <c r="B4" s="50"/>
      <c r="C4" s="50" t="s">
        <v>209</v>
      </c>
      <c r="D4" s="50"/>
      <c r="E4" s="50" t="s">
        <v>210</v>
      </c>
      <c r="F4" s="152"/>
      <c r="G4" s="50" t="s">
        <v>211</v>
      </c>
      <c r="H4" s="50"/>
      <c r="I4" s="50" t="s">
        <v>212</v>
      </c>
      <c r="J4" s="50"/>
      <c r="K4" s="50"/>
    </row>
    <row r="5" spans="1:11">
      <c r="A5" s="468" t="str">
        <f>IF(inputPrYr!B63&gt;" ",(inputPrYr!B63)," ")</f>
        <v>Miscellaneous Projects</v>
      </c>
      <c r="B5" s="469"/>
      <c r="C5" s="468" t="str">
        <f>IF(inputPrYr!B64&gt;" ",(inputPrYr!B64)," ")</f>
        <v>Law Enforcement Projects</v>
      </c>
      <c r="D5" s="469"/>
      <c r="E5" s="468" t="str">
        <f>IF(inputPrYr!B65&gt;" ",(inputPrYr!B65)," ")</f>
        <v>Aquatic Center Depr/Repl</v>
      </c>
      <c r="F5" s="469"/>
      <c r="G5" s="468" t="str">
        <f>IF(inputPrYr!B66&gt;" ",(inputPrYr!B66)," ")</f>
        <v>Capital Equipment</v>
      </c>
      <c r="H5" s="469"/>
      <c r="I5" s="468" t="str">
        <f>IF(inputPrYr!B67&gt;" ",(inputPrYr!B67)," ")</f>
        <v>Emergency 911 System</v>
      </c>
      <c r="J5" s="469"/>
      <c r="K5" s="153"/>
    </row>
    <row r="6" spans="1:11">
      <c r="A6" s="154" t="s">
        <v>213</v>
      </c>
      <c r="B6" s="155"/>
      <c r="C6" s="156" t="s">
        <v>213</v>
      </c>
      <c r="D6" s="157"/>
      <c r="E6" s="156" t="s">
        <v>213</v>
      </c>
      <c r="F6" s="158"/>
      <c r="G6" s="156" t="s">
        <v>213</v>
      </c>
      <c r="H6" s="159"/>
      <c r="I6" s="156" t="s">
        <v>213</v>
      </c>
      <c r="J6" s="50"/>
      <c r="K6" s="160" t="s">
        <v>13</v>
      </c>
    </row>
    <row r="7" spans="1:11">
      <c r="A7" s="161" t="s">
        <v>416</v>
      </c>
      <c r="B7" s="282">
        <v>2590.87</v>
      </c>
      <c r="C7" s="162" t="s">
        <v>416</v>
      </c>
      <c r="D7" s="282">
        <v>10810.66</v>
      </c>
      <c r="E7" s="162" t="s">
        <v>416</v>
      </c>
      <c r="F7" s="282">
        <v>0</v>
      </c>
      <c r="G7" s="162" t="s">
        <v>416</v>
      </c>
      <c r="H7" s="282">
        <v>160719.87</v>
      </c>
      <c r="I7" s="162" t="s">
        <v>416</v>
      </c>
      <c r="J7" s="282">
        <v>1626.63</v>
      </c>
      <c r="K7" s="265">
        <f>SUM(B7+D7+F7+H7+J7)</f>
        <v>175748.03</v>
      </c>
    </row>
    <row r="8" spans="1:11">
      <c r="A8" s="163" t="s">
        <v>178</v>
      </c>
      <c r="B8" s="164"/>
      <c r="C8" s="163" t="s">
        <v>178</v>
      </c>
      <c r="D8" s="165"/>
      <c r="E8" s="163" t="s">
        <v>178</v>
      </c>
      <c r="F8" s="152"/>
      <c r="G8" s="163" t="s">
        <v>178</v>
      </c>
      <c r="H8" s="50"/>
      <c r="I8" s="163" t="s">
        <v>178</v>
      </c>
      <c r="J8" s="50"/>
      <c r="K8" s="152"/>
    </row>
    <row r="9" spans="1:11">
      <c r="A9" s="281" t="s">
        <v>467</v>
      </c>
      <c r="B9" s="386">
        <v>7860.3</v>
      </c>
      <c r="C9" s="281" t="s">
        <v>468</v>
      </c>
      <c r="D9" s="386">
        <v>3228</v>
      </c>
      <c r="E9" s="281"/>
      <c r="F9" s="386"/>
      <c r="G9" s="281" t="s">
        <v>434</v>
      </c>
      <c r="H9" s="386">
        <v>2452.35</v>
      </c>
      <c r="I9" s="281" t="s">
        <v>472</v>
      </c>
      <c r="J9" s="386">
        <v>40918.75</v>
      </c>
      <c r="K9" s="152"/>
    </row>
    <row r="10" spans="1:11">
      <c r="A10" s="281" t="s">
        <v>468</v>
      </c>
      <c r="B10" s="386">
        <f>63846.71+28852.97+102160.54+48824.6</f>
        <v>243684.81999999998</v>
      </c>
      <c r="C10" s="416"/>
      <c r="D10" s="417"/>
      <c r="E10" s="281"/>
      <c r="F10" s="386"/>
      <c r="G10" s="284" t="s">
        <v>685</v>
      </c>
      <c r="H10" s="386">
        <v>29659.63</v>
      </c>
      <c r="I10" s="281" t="s">
        <v>434</v>
      </c>
      <c r="J10" s="386">
        <v>106.49</v>
      </c>
      <c r="K10" s="152"/>
    </row>
    <row r="11" spans="1:11">
      <c r="A11" s="281" t="s">
        <v>667</v>
      </c>
      <c r="B11" s="386">
        <v>43500</v>
      </c>
      <c r="C11" s="415"/>
      <c r="D11" s="386"/>
      <c r="E11" s="284"/>
      <c r="F11" s="386"/>
      <c r="G11" s="284" t="s">
        <v>461</v>
      </c>
      <c r="H11" s="386">
        <v>3500</v>
      </c>
      <c r="I11" s="285"/>
      <c r="J11" s="386"/>
      <c r="K11" s="152"/>
    </row>
    <row r="12" spans="1:11">
      <c r="A12" s="281" t="s">
        <v>434</v>
      </c>
      <c r="B12" s="386">
        <f>409.69+66</f>
        <v>475.69</v>
      </c>
      <c r="C12" s="281"/>
      <c r="D12" s="386"/>
      <c r="E12" s="286"/>
      <c r="F12" s="386"/>
      <c r="G12" s="284" t="s">
        <v>455</v>
      </c>
      <c r="H12" s="386">
        <v>174004.67</v>
      </c>
      <c r="I12" s="286"/>
      <c r="J12" s="386"/>
      <c r="K12" s="152"/>
    </row>
    <row r="13" spans="1:11">
      <c r="A13" s="287"/>
      <c r="B13" s="386"/>
      <c r="C13" s="288"/>
      <c r="D13" s="386"/>
      <c r="E13" s="288"/>
      <c r="F13" s="386"/>
      <c r="G13" s="281" t="s">
        <v>666</v>
      </c>
      <c r="H13" s="386">
        <v>169200</v>
      </c>
      <c r="I13" s="285"/>
      <c r="J13" s="386"/>
      <c r="K13" s="152"/>
    </row>
    <row r="14" spans="1:11">
      <c r="A14" s="281"/>
      <c r="B14" s="386"/>
      <c r="C14" s="286"/>
      <c r="D14" s="386"/>
      <c r="E14" s="286"/>
      <c r="F14" s="386"/>
      <c r="G14" s="286" t="s">
        <v>686</v>
      </c>
      <c r="H14" s="386">
        <v>100000</v>
      </c>
      <c r="I14" s="286"/>
      <c r="J14" s="386"/>
      <c r="K14" s="152"/>
    </row>
    <row r="15" spans="1:11">
      <c r="A15" s="281"/>
      <c r="B15" s="386"/>
      <c r="C15" s="286"/>
      <c r="D15" s="386"/>
      <c r="E15" s="286"/>
      <c r="F15" s="386"/>
      <c r="G15" s="286"/>
      <c r="H15" s="386"/>
      <c r="I15" s="286"/>
      <c r="J15" s="386"/>
      <c r="K15" s="152"/>
    </row>
    <row r="16" spans="1:11">
      <c r="A16" s="281"/>
      <c r="B16" s="386"/>
      <c r="C16" s="281"/>
      <c r="D16" s="386"/>
      <c r="E16" s="281"/>
      <c r="F16" s="386"/>
      <c r="G16" s="286"/>
      <c r="H16" s="386"/>
      <c r="I16" s="281"/>
      <c r="J16" s="386"/>
      <c r="K16" s="152"/>
    </row>
    <row r="17" spans="1:12">
      <c r="A17" s="163" t="s">
        <v>47</v>
      </c>
      <c r="B17" s="265">
        <f>SUM(B9:B16)</f>
        <v>295520.81</v>
      </c>
      <c r="C17" s="163" t="s">
        <v>47</v>
      </c>
      <c r="D17" s="265">
        <f>SUM(D9:D16)</f>
        <v>3228</v>
      </c>
      <c r="E17" s="163" t="s">
        <v>47</v>
      </c>
      <c r="F17" s="265">
        <f>SUM(F9:F16)</f>
        <v>0</v>
      </c>
      <c r="G17" s="163" t="s">
        <v>47</v>
      </c>
      <c r="H17" s="265">
        <f>SUM(H9:H16)</f>
        <v>478816.65</v>
      </c>
      <c r="I17" s="163" t="s">
        <v>47</v>
      </c>
      <c r="J17" s="265">
        <f>SUM(J9:J16)</f>
        <v>41025.24</v>
      </c>
      <c r="K17" s="265">
        <f>SUM(B17+D17+F17+H17+J17)</f>
        <v>818590.7</v>
      </c>
    </row>
    <row r="18" spans="1:12">
      <c r="A18" s="163" t="s">
        <v>48</v>
      </c>
      <c r="B18" s="265">
        <f>SUM(B7+B17)</f>
        <v>298111.68</v>
      </c>
      <c r="C18" s="163" t="s">
        <v>48</v>
      </c>
      <c r="D18" s="265">
        <f>SUM(D7+D17)</f>
        <v>14038.66</v>
      </c>
      <c r="E18" s="163" t="s">
        <v>48</v>
      </c>
      <c r="F18" s="265">
        <f>SUM(F7+F17)</f>
        <v>0</v>
      </c>
      <c r="G18" s="163" t="s">
        <v>48</v>
      </c>
      <c r="H18" s="265">
        <f>SUM(H7+H17)</f>
        <v>639536.52</v>
      </c>
      <c r="I18" s="163" t="s">
        <v>48</v>
      </c>
      <c r="J18" s="265">
        <f>SUM(J7+J17)</f>
        <v>42651.869999999995</v>
      </c>
      <c r="K18" s="265">
        <f>SUM(B18+D18+F18+H18+J18)</f>
        <v>994338.73</v>
      </c>
    </row>
    <row r="19" spans="1:12">
      <c r="A19" s="163" t="s">
        <v>50</v>
      </c>
      <c r="B19" s="164"/>
      <c r="C19" s="163" t="s">
        <v>50</v>
      </c>
      <c r="D19" s="165"/>
      <c r="E19" s="163" t="s">
        <v>50</v>
      </c>
      <c r="F19" s="152"/>
      <c r="G19" s="163" t="s">
        <v>50</v>
      </c>
      <c r="H19" s="50"/>
      <c r="I19" s="163" t="s">
        <v>50</v>
      </c>
      <c r="J19" s="50"/>
      <c r="K19" s="152"/>
    </row>
    <row r="20" spans="1:12">
      <c r="A20" s="281" t="s">
        <v>444</v>
      </c>
      <c r="B20" s="386">
        <f>93143.64+28125.96+2737.5+382.03+5148.91+452.4+1387.66+1304.46+41+23537+34.2+1592.46</f>
        <v>157887.22</v>
      </c>
      <c r="C20" s="286" t="s">
        <v>444</v>
      </c>
      <c r="D20" s="386">
        <v>3228</v>
      </c>
      <c r="E20" s="286"/>
      <c r="F20" s="386"/>
      <c r="G20" s="286" t="s">
        <v>446</v>
      </c>
      <c r="H20" s="386">
        <f>48416.7+271944.24+68899.36+30131.18-18457.36</f>
        <v>400934.12</v>
      </c>
      <c r="I20" s="286" t="s">
        <v>444</v>
      </c>
      <c r="J20" s="386">
        <f>14026.32+4536.4+9650</f>
        <v>28212.720000000001</v>
      </c>
      <c r="K20" s="152"/>
    </row>
    <row r="21" spans="1:12">
      <c r="A21" s="281" t="s">
        <v>445</v>
      </c>
      <c r="B21" s="386">
        <f>49.04+55</f>
        <v>104.03999999999999</v>
      </c>
      <c r="C21" s="286"/>
      <c r="D21" s="386"/>
      <c r="E21" s="286"/>
      <c r="F21" s="386"/>
      <c r="G21" s="286" t="s">
        <v>531</v>
      </c>
      <c r="H21" s="386">
        <v>920.68</v>
      </c>
      <c r="I21" s="286" t="s">
        <v>446</v>
      </c>
      <c r="J21" s="386">
        <f>2240+2500</f>
        <v>4740</v>
      </c>
      <c r="K21" s="152"/>
    </row>
    <row r="22" spans="1:12">
      <c r="A22" s="281" t="s">
        <v>446</v>
      </c>
      <c r="B22" s="387">
        <f>41500.6+35836.38</f>
        <v>77336.98</v>
      </c>
      <c r="C22" s="281"/>
      <c r="D22" s="386"/>
      <c r="E22" s="288"/>
      <c r="F22" s="387"/>
      <c r="G22" s="288" t="s">
        <v>184</v>
      </c>
      <c r="H22" s="387">
        <v>17536.68</v>
      </c>
      <c r="I22" s="285" t="s">
        <v>666</v>
      </c>
      <c r="J22" s="387">
        <v>8000</v>
      </c>
      <c r="K22" s="152"/>
    </row>
    <row r="23" spans="1:12">
      <c r="A23" s="281" t="s">
        <v>455</v>
      </c>
      <c r="B23" s="386">
        <f>519.84+570.08</f>
        <v>1089.92</v>
      </c>
      <c r="C23" s="286"/>
      <c r="D23" s="386"/>
      <c r="E23" s="286"/>
      <c r="F23" s="386"/>
      <c r="G23" s="286"/>
      <c r="H23" s="386"/>
      <c r="I23" s="286"/>
      <c r="J23" s="386"/>
      <c r="K23" s="152"/>
    </row>
    <row r="24" spans="1:12">
      <c r="A24" s="281" t="s">
        <v>666</v>
      </c>
      <c r="B24" s="387">
        <f>21000+29000</f>
        <v>50000</v>
      </c>
      <c r="C24" s="288"/>
      <c r="D24" s="387"/>
      <c r="E24" s="288"/>
      <c r="F24" s="387"/>
      <c r="G24" s="288"/>
      <c r="H24" s="387"/>
      <c r="I24" s="285"/>
      <c r="J24" s="387"/>
      <c r="K24" s="152"/>
    </row>
    <row r="25" spans="1:12">
      <c r="A25" s="281"/>
      <c r="B25" s="386"/>
      <c r="C25" s="286"/>
      <c r="D25" s="386"/>
      <c r="E25" s="286"/>
      <c r="F25" s="386"/>
      <c r="G25" s="286"/>
      <c r="H25" s="386"/>
      <c r="I25" s="286"/>
      <c r="J25" s="386"/>
      <c r="K25" s="152"/>
    </row>
    <row r="26" spans="1:12">
      <c r="A26" s="281"/>
      <c r="B26" s="386"/>
      <c r="C26" s="286"/>
      <c r="D26" s="386"/>
      <c r="E26" s="286"/>
      <c r="F26" s="386"/>
      <c r="G26" s="286"/>
      <c r="H26" s="386"/>
      <c r="I26" s="286"/>
      <c r="J26" s="386"/>
      <c r="K26" s="152"/>
    </row>
    <row r="27" spans="1:12">
      <c r="A27" s="281"/>
      <c r="B27" s="388"/>
      <c r="C27" s="281"/>
      <c r="D27" s="388"/>
      <c r="E27" s="281"/>
      <c r="F27" s="388"/>
      <c r="G27" s="286"/>
      <c r="H27" s="388"/>
      <c r="I27" s="286"/>
      <c r="J27" s="388"/>
      <c r="K27" s="152"/>
    </row>
    <row r="28" spans="1:12">
      <c r="A28" s="163" t="s">
        <v>54</v>
      </c>
      <c r="B28" s="265">
        <f>SUM(B20:B27)</f>
        <v>286418.16000000003</v>
      </c>
      <c r="C28" s="163" t="s">
        <v>54</v>
      </c>
      <c r="D28" s="265">
        <f>SUM(D20:D27)</f>
        <v>3228</v>
      </c>
      <c r="E28" s="163" t="s">
        <v>54</v>
      </c>
      <c r="F28" s="265">
        <f>SUM(F20:F27)</f>
        <v>0</v>
      </c>
      <c r="G28" s="163" t="s">
        <v>54</v>
      </c>
      <c r="H28" s="265">
        <f>SUM(H20:H27)</f>
        <v>419391.48</v>
      </c>
      <c r="I28" s="163" t="s">
        <v>54</v>
      </c>
      <c r="J28" s="265">
        <f>SUM(J20:J27)</f>
        <v>40952.720000000001</v>
      </c>
      <c r="K28" s="265">
        <f>SUM(B28+D28+F28+H28+J28)</f>
        <v>749990.36</v>
      </c>
    </row>
    <row r="29" spans="1:12">
      <c r="A29" s="163" t="s">
        <v>214</v>
      </c>
      <c r="B29" s="265">
        <f>SUM(B18-B28)</f>
        <v>11693.51999999996</v>
      </c>
      <c r="C29" s="163" t="s">
        <v>214</v>
      </c>
      <c r="D29" s="265">
        <f>SUM(D18-D28)</f>
        <v>10810.66</v>
      </c>
      <c r="E29" s="163" t="s">
        <v>214</v>
      </c>
      <c r="F29" s="265">
        <f>SUM(F18-F28)</f>
        <v>0</v>
      </c>
      <c r="G29" s="163" t="s">
        <v>214</v>
      </c>
      <c r="H29" s="265">
        <f>SUM(H18-H28)</f>
        <v>220145.04000000004</v>
      </c>
      <c r="I29" s="163" t="s">
        <v>214</v>
      </c>
      <c r="J29" s="265">
        <f>SUM(J18-J28)</f>
        <v>1699.1499999999942</v>
      </c>
      <c r="K29" s="268">
        <f>SUM(B29+D29+F29+H29+J29)</f>
        <v>244348.37</v>
      </c>
      <c r="L29" s="2" t="s">
        <v>309</v>
      </c>
    </row>
    <row r="30" spans="1:12">
      <c r="A30" s="163"/>
      <c r="B30" s="369" t="str">
        <f>IF(B29&lt;0,"Neg Bal","")</f>
        <v/>
      </c>
      <c r="C30" s="163"/>
      <c r="D30" s="369" t="str">
        <f>IF(D29&lt;0,"Neg Bal","")</f>
        <v/>
      </c>
      <c r="E30" s="163"/>
      <c r="F30" s="369" t="str">
        <f>IF(F29&lt;0,"Neg Bal","")</f>
        <v/>
      </c>
      <c r="G30" s="50"/>
      <c r="H30" s="369" t="str">
        <f>IF(H29&lt;0,"Neg Bal","")</f>
        <v/>
      </c>
      <c r="I30" s="50"/>
      <c r="J30" s="369" t="str">
        <f>IF(J29&lt;0,"Neg Bal","")</f>
        <v/>
      </c>
      <c r="K30" s="268">
        <f>SUM(K7+K17-K28)</f>
        <v>244348.37</v>
      </c>
      <c r="L30" s="2" t="s">
        <v>309</v>
      </c>
    </row>
    <row r="31" spans="1:12">
      <c r="A31" s="50"/>
      <c r="B31" s="55"/>
      <c r="C31" s="50"/>
      <c r="D31" s="152"/>
      <c r="E31" s="50"/>
      <c r="F31" s="50"/>
      <c r="G31" s="360" t="s">
        <v>311</v>
      </c>
      <c r="H31" s="360"/>
      <c r="I31" s="360"/>
      <c r="J31" s="360"/>
      <c r="K31" s="50"/>
    </row>
    <row r="32" spans="1:12">
      <c r="A32" s="50"/>
      <c r="B32" s="55"/>
      <c r="C32" s="50"/>
      <c r="D32" s="50"/>
      <c r="E32" s="50"/>
      <c r="F32" s="50"/>
      <c r="G32" s="50"/>
      <c r="H32" s="50"/>
      <c r="I32" s="50"/>
      <c r="J32" s="50"/>
      <c r="K32" s="50"/>
    </row>
    <row r="33" spans="1:11">
      <c r="A33" s="50"/>
      <c r="B33" s="55"/>
      <c r="C33" s="50"/>
      <c r="D33" s="50"/>
      <c r="E33" s="63" t="s">
        <v>58</v>
      </c>
      <c r="F33" s="100">
        <v>23</v>
      </c>
      <c r="G33" s="50"/>
      <c r="H33" s="50"/>
      <c r="I33" s="50"/>
      <c r="J33" s="50"/>
      <c r="K33" s="50"/>
    </row>
    <row r="34" spans="1:11">
      <c r="B34" s="166"/>
    </row>
    <row r="35" spans="1:11">
      <c r="B35" s="166"/>
    </row>
    <row r="36" spans="1:11">
      <c r="B36" s="166"/>
    </row>
    <row r="37" spans="1:11">
      <c r="B37" s="166"/>
    </row>
    <row r="38" spans="1:11">
      <c r="B38" s="166"/>
    </row>
    <row r="39" spans="1:11">
      <c r="B39" s="166"/>
    </row>
    <row r="40" spans="1:11">
      <c r="B40" s="166"/>
    </row>
    <row r="41" spans="1:11">
      <c r="B41" s="166"/>
    </row>
  </sheetData>
  <mergeCells count="5">
    <mergeCell ref="I5:J5"/>
    <mergeCell ref="A5:B5"/>
    <mergeCell ref="C5:D5"/>
    <mergeCell ref="E5:F5"/>
    <mergeCell ref="G5:H5"/>
  </mergeCells>
  <phoneticPr fontId="10" type="noConversion"/>
  <pageMargins left="0.75" right="0.75" top="1" bottom="1" header="0.5" footer="0.5"/>
  <pageSetup scale="87" orientation="landscape" blackAndWhite="1" r:id="rId1"/>
  <headerFooter alignWithMargins="0">
    <oddHeader>&amp;RState of Kansas
Coffeyville</oddHeader>
    <oddFooter>&amp;Lrevised 7/01/08</oddFooter>
  </headerFooter>
</worksheet>
</file>

<file path=xl/worksheets/sheet31.xml><?xml version="1.0" encoding="utf-8"?>
<worksheet xmlns="http://schemas.openxmlformats.org/spreadsheetml/2006/main" xmlns:r="http://schemas.openxmlformats.org/officeDocument/2006/relationships">
  <sheetPr>
    <pageSetUpPr fitToPage="1"/>
  </sheetPr>
  <dimension ref="A1:L43"/>
  <sheetViews>
    <sheetView view="pageBreakPreview" zoomScaleNormal="100" workbookViewId="0">
      <selection activeCell="C30" sqref="C30"/>
    </sheetView>
  </sheetViews>
  <sheetFormatPr defaultRowHeight="15.75"/>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1" width="8.88671875" style="2"/>
    <col min="12" max="12" width="2.5546875" style="2" bestFit="1" customWidth="1"/>
    <col min="13" max="16384" width="8.88671875" style="2"/>
  </cols>
  <sheetData>
    <row r="1" spans="1:11">
      <c r="A1" s="51" t="str">
        <f>inputPrYr!$D$2</f>
        <v>City of Coffeyville</v>
      </c>
      <c r="B1" s="152"/>
      <c r="C1" s="50"/>
      <c r="D1" s="50"/>
      <c r="E1" s="50"/>
      <c r="F1" s="52" t="s">
        <v>216</v>
      </c>
      <c r="G1" s="50"/>
      <c r="H1" s="50"/>
      <c r="I1" s="50"/>
      <c r="J1" s="50"/>
      <c r="K1" s="50">
        <f>inputPrYr!$C$5</f>
        <v>2013</v>
      </c>
    </row>
    <row r="2" spans="1:11">
      <c r="A2" s="50"/>
      <c r="B2" s="50"/>
      <c r="C2" s="50"/>
      <c r="D2" s="50"/>
      <c r="E2" s="50"/>
      <c r="F2" s="367" t="str">
        <f>CONCATENATE("(Only the actual budget year for ",K1-2," is to be shown)")</f>
        <v>(Only the actual budget year for 2011 is to be shown)</v>
      </c>
      <c r="G2" s="50"/>
      <c r="H2" s="50"/>
      <c r="I2" s="50"/>
      <c r="J2" s="50"/>
      <c r="K2" s="50"/>
    </row>
    <row r="3" spans="1:11">
      <c r="A3" s="50" t="s">
        <v>258</v>
      </c>
      <c r="B3" s="50"/>
      <c r="C3" s="50"/>
      <c r="D3" s="50"/>
      <c r="E3" s="50"/>
      <c r="F3" s="152"/>
      <c r="G3" s="50"/>
      <c r="H3" s="50"/>
      <c r="I3" s="50"/>
      <c r="J3" s="50"/>
      <c r="K3" s="50"/>
    </row>
    <row r="4" spans="1:11">
      <c r="A4" s="50" t="s">
        <v>208</v>
      </c>
      <c r="B4" s="50"/>
      <c r="C4" s="50" t="s">
        <v>209</v>
      </c>
      <c r="D4" s="50"/>
      <c r="E4" s="50" t="s">
        <v>210</v>
      </c>
      <c r="F4" s="152"/>
      <c r="G4" s="50" t="s">
        <v>211</v>
      </c>
      <c r="H4" s="50"/>
      <c r="I4" s="50" t="s">
        <v>212</v>
      </c>
      <c r="J4" s="50"/>
      <c r="K4" s="50"/>
    </row>
    <row r="5" spans="1:11">
      <c r="A5" s="468" t="str">
        <f>IF(inputPrYr!B69&gt;" ",(inputPrYr!B69)," ")</f>
        <v>Capital Improvement</v>
      </c>
      <c r="B5" s="469"/>
      <c r="C5" s="468" t="str">
        <f>IF(inputPrYr!B70&gt;" ",(inputPrYr!B70)," ")</f>
        <v>Sales Tax Bond Reserve</v>
      </c>
      <c r="D5" s="469"/>
      <c r="E5" s="468" t="str">
        <f>IF(inputPrYr!B71&gt;" ",(inputPrYr!B71)," ")</f>
        <v>BDTC Depr/Repl</v>
      </c>
      <c r="F5" s="469"/>
      <c r="G5" s="468" t="str">
        <f>IF(inputPrYr!B72&gt;" ",(inputPrYr!B72)," ")</f>
        <v>VMS Depr/Repl</v>
      </c>
      <c r="H5" s="469"/>
      <c r="I5" s="468" t="str">
        <f>IF(inputPrYr!B73&gt;" ",(inputPrYr!B73)," ")</f>
        <v>Refuse Utility Depr/Repl</v>
      </c>
      <c r="J5" s="469"/>
      <c r="K5" s="153"/>
    </row>
    <row r="6" spans="1:11">
      <c r="A6" s="154" t="s">
        <v>213</v>
      </c>
      <c r="B6" s="155"/>
      <c r="C6" s="156" t="s">
        <v>213</v>
      </c>
      <c r="D6" s="157"/>
      <c r="E6" s="156" t="s">
        <v>213</v>
      </c>
      <c r="F6" s="158"/>
      <c r="G6" s="156" t="s">
        <v>213</v>
      </c>
      <c r="H6" s="159"/>
      <c r="I6" s="156" t="s">
        <v>213</v>
      </c>
      <c r="J6" s="50"/>
      <c r="K6" s="160" t="s">
        <v>13</v>
      </c>
    </row>
    <row r="7" spans="1:11">
      <c r="A7" s="161" t="s">
        <v>416</v>
      </c>
      <c r="B7" s="417">
        <v>6053345.3200000003</v>
      </c>
      <c r="C7" s="162" t="s">
        <v>416</v>
      </c>
      <c r="D7" s="386">
        <v>0</v>
      </c>
      <c r="E7" s="162" t="s">
        <v>416</v>
      </c>
      <c r="F7" s="386">
        <v>57198</v>
      </c>
      <c r="G7" s="162" t="s">
        <v>416</v>
      </c>
      <c r="H7" s="386">
        <v>256839.75</v>
      </c>
      <c r="I7" s="162" t="s">
        <v>416</v>
      </c>
      <c r="J7" s="386">
        <v>0</v>
      </c>
      <c r="K7" s="265">
        <f>SUM(B7+D7+F7+H7+J7)</f>
        <v>6367383.0700000003</v>
      </c>
    </row>
    <row r="8" spans="1:11">
      <c r="A8" s="163" t="s">
        <v>178</v>
      </c>
      <c r="B8" s="164"/>
      <c r="C8" s="163" t="s">
        <v>178</v>
      </c>
      <c r="D8" s="165"/>
      <c r="E8" s="163" t="s">
        <v>178</v>
      </c>
      <c r="F8" s="152"/>
      <c r="G8" s="163" t="s">
        <v>178</v>
      </c>
      <c r="H8" s="50"/>
      <c r="I8" s="163" t="s">
        <v>178</v>
      </c>
      <c r="J8" s="50"/>
      <c r="K8" s="152"/>
    </row>
    <row r="9" spans="1:11">
      <c r="A9" s="416" t="s">
        <v>432</v>
      </c>
      <c r="B9" s="417">
        <v>3010.05</v>
      </c>
      <c r="C9" s="416"/>
      <c r="D9" s="386"/>
      <c r="E9" s="281"/>
      <c r="F9" s="386"/>
      <c r="G9" s="281" t="s">
        <v>473</v>
      </c>
      <c r="H9" s="386">
        <v>25000</v>
      </c>
      <c r="I9" s="281"/>
      <c r="J9" s="386"/>
      <c r="K9" s="152"/>
    </row>
    <row r="10" spans="1:11">
      <c r="A10" s="416" t="s">
        <v>386</v>
      </c>
      <c r="B10" s="417">
        <v>467946.76</v>
      </c>
      <c r="C10" s="416"/>
      <c r="D10" s="386"/>
      <c r="E10" s="281"/>
      <c r="F10" s="386"/>
      <c r="G10" s="281" t="s">
        <v>368</v>
      </c>
      <c r="H10" s="386">
        <v>50000</v>
      </c>
      <c r="I10" s="281"/>
      <c r="J10" s="386"/>
      <c r="K10" s="152"/>
    </row>
    <row r="11" spans="1:11">
      <c r="A11" s="416" t="s">
        <v>647</v>
      </c>
      <c r="B11" s="417">
        <v>172099.35</v>
      </c>
      <c r="C11" s="416"/>
      <c r="D11" s="386"/>
      <c r="E11" s="281"/>
      <c r="F11" s="386"/>
      <c r="G11" s="281"/>
      <c r="H11" s="386">
        <v>0</v>
      </c>
      <c r="I11" s="281"/>
      <c r="J11" s="386"/>
      <c r="K11" s="152"/>
    </row>
    <row r="12" spans="1:11">
      <c r="A12" s="416" t="s">
        <v>473</v>
      </c>
      <c r="B12" s="417">
        <f>179000+150000</f>
        <v>329000</v>
      </c>
      <c r="C12" s="416"/>
      <c r="D12" s="386"/>
      <c r="E12" s="281"/>
      <c r="F12" s="386"/>
      <c r="G12" s="281"/>
      <c r="H12" s="386"/>
      <c r="I12" s="281"/>
      <c r="J12" s="386"/>
      <c r="K12" s="152"/>
    </row>
    <row r="13" spans="1:11">
      <c r="A13" s="416" t="s">
        <v>455</v>
      </c>
      <c r="B13" s="417">
        <v>1960065.45</v>
      </c>
      <c r="C13" s="415"/>
      <c r="D13" s="386"/>
      <c r="E13" s="284"/>
      <c r="F13" s="386"/>
      <c r="G13" s="284"/>
      <c r="H13" s="386"/>
      <c r="I13" s="285"/>
      <c r="J13" s="386"/>
      <c r="K13" s="152"/>
    </row>
    <row r="14" spans="1:11">
      <c r="A14" s="416" t="s">
        <v>455</v>
      </c>
      <c r="B14" s="417">
        <v>1788375</v>
      </c>
      <c r="C14" s="416"/>
      <c r="D14" s="386"/>
      <c r="E14" s="286"/>
      <c r="F14" s="386"/>
      <c r="G14" s="286"/>
      <c r="H14" s="386"/>
      <c r="I14" s="286"/>
      <c r="J14" s="386"/>
      <c r="K14" s="152"/>
    </row>
    <row r="15" spans="1:11">
      <c r="A15" s="416" t="s">
        <v>685</v>
      </c>
      <c r="B15" s="417">
        <v>196163.7</v>
      </c>
      <c r="C15" s="416"/>
      <c r="D15" s="386"/>
      <c r="E15" s="281"/>
      <c r="F15" s="386"/>
      <c r="G15" s="281"/>
      <c r="H15" s="386"/>
      <c r="I15" s="281"/>
      <c r="J15" s="386"/>
      <c r="K15" s="152"/>
    </row>
    <row r="16" spans="1:11">
      <c r="A16" s="416" t="s">
        <v>667</v>
      </c>
      <c r="B16" s="417">
        <v>14104.15</v>
      </c>
      <c r="C16" s="416"/>
      <c r="D16" s="386"/>
      <c r="E16" s="288"/>
      <c r="F16" s="386"/>
      <c r="G16" s="288"/>
      <c r="H16" s="386"/>
      <c r="I16" s="429"/>
      <c r="J16" s="386"/>
      <c r="K16" s="152"/>
    </row>
    <row r="17" spans="1:12">
      <c r="A17" s="416" t="s">
        <v>474</v>
      </c>
      <c r="B17" s="417">
        <v>6363.96</v>
      </c>
      <c r="C17" s="416"/>
      <c r="D17" s="386"/>
      <c r="E17" s="288"/>
      <c r="F17" s="386"/>
      <c r="G17" s="288"/>
      <c r="H17" s="386"/>
      <c r="I17" s="285"/>
      <c r="J17" s="386"/>
      <c r="K17" s="152"/>
    </row>
    <row r="18" spans="1:12">
      <c r="A18" s="430" t="s">
        <v>351</v>
      </c>
      <c r="B18" s="417">
        <f>5000+8+2000</f>
        <v>7008</v>
      </c>
      <c r="C18" s="431"/>
      <c r="D18" s="386"/>
      <c r="E18" s="286"/>
      <c r="F18" s="386"/>
      <c r="G18" s="286"/>
      <c r="H18" s="386"/>
      <c r="I18" s="286"/>
      <c r="J18" s="386"/>
      <c r="K18" s="152"/>
    </row>
    <row r="19" spans="1:12">
      <c r="A19" s="430"/>
      <c r="B19" s="417"/>
      <c r="C19" s="281"/>
      <c r="D19" s="386"/>
      <c r="E19" s="281"/>
      <c r="F19" s="386"/>
      <c r="G19" s="286"/>
      <c r="H19" s="386"/>
      <c r="I19" s="281"/>
      <c r="J19" s="386"/>
      <c r="K19" s="152"/>
    </row>
    <row r="20" spans="1:12">
      <c r="A20" s="163" t="s">
        <v>47</v>
      </c>
      <c r="B20" s="265">
        <f>SUM(B9:B19)</f>
        <v>4944136.42</v>
      </c>
      <c r="C20" s="163" t="s">
        <v>47</v>
      </c>
      <c r="D20" s="266">
        <f>SUM(D9:D19)</f>
        <v>0</v>
      </c>
      <c r="E20" s="163" t="s">
        <v>47</v>
      </c>
      <c r="F20" s="267">
        <f>SUM(F9:F19)</f>
        <v>0</v>
      </c>
      <c r="G20" s="163" t="s">
        <v>47</v>
      </c>
      <c r="H20" s="266">
        <f>SUM(H9:H19)</f>
        <v>75000</v>
      </c>
      <c r="I20" s="163" t="s">
        <v>47</v>
      </c>
      <c r="J20" s="266">
        <f>SUM(J9:J19)</f>
        <v>0</v>
      </c>
      <c r="K20" s="265">
        <f>SUM(B20+D20+F20+H20+J20)</f>
        <v>5019136.42</v>
      </c>
    </row>
    <row r="21" spans="1:12">
      <c r="A21" s="163" t="s">
        <v>48</v>
      </c>
      <c r="B21" s="265">
        <f>SUM(B7+B20)</f>
        <v>10997481.74</v>
      </c>
      <c r="C21" s="163" t="s">
        <v>48</v>
      </c>
      <c r="D21" s="265">
        <f>SUM(D7+D20)</f>
        <v>0</v>
      </c>
      <c r="E21" s="163" t="s">
        <v>48</v>
      </c>
      <c r="F21" s="265">
        <f>SUM(F7+F20)</f>
        <v>57198</v>
      </c>
      <c r="G21" s="163" t="s">
        <v>48</v>
      </c>
      <c r="H21" s="265">
        <f>SUM(H7+H20)</f>
        <v>331839.75</v>
      </c>
      <c r="I21" s="163" t="s">
        <v>48</v>
      </c>
      <c r="J21" s="265">
        <f>SUM(J7+J20)</f>
        <v>0</v>
      </c>
      <c r="K21" s="265">
        <f>SUM(B21+D21+F21+H21+J21)</f>
        <v>11386519.49</v>
      </c>
    </row>
    <row r="22" spans="1:12">
      <c r="A22" s="163" t="s">
        <v>50</v>
      </c>
      <c r="B22" s="164"/>
      <c r="C22" s="163" t="s">
        <v>50</v>
      </c>
      <c r="D22" s="165"/>
      <c r="E22" s="163" t="s">
        <v>50</v>
      </c>
      <c r="F22" s="152"/>
      <c r="G22" s="163" t="s">
        <v>50</v>
      </c>
      <c r="H22" s="50"/>
      <c r="I22" s="163" t="s">
        <v>50</v>
      </c>
      <c r="J22" s="50"/>
      <c r="K22" s="152"/>
    </row>
    <row r="23" spans="1:12">
      <c r="A23" s="416" t="s">
        <v>444</v>
      </c>
      <c r="B23" s="417">
        <f>342750.24+2044.24</f>
        <v>344794.48</v>
      </c>
      <c r="C23" s="286"/>
      <c r="D23" s="386"/>
      <c r="E23" s="286"/>
      <c r="F23" s="386"/>
      <c r="G23" s="286" t="s">
        <v>444</v>
      </c>
      <c r="H23" s="386">
        <v>6000</v>
      </c>
      <c r="I23" s="286"/>
      <c r="J23" s="386"/>
      <c r="K23" s="152"/>
    </row>
    <row r="24" spans="1:12">
      <c r="A24" s="416" t="s">
        <v>445</v>
      </c>
      <c r="B24" s="417">
        <v>192.24</v>
      </c>
      <c r="C24" s="286"/>
      <c r="D24" s="387"/>
      <c r="E24" s="286"/>
      <c r="F24" s="387"/>
      <c r="G24" s="286" t="s">
        <v>446</v>
      </c>
      <c r="H24" s="386">
        <v>3129.48</v>
      </c>
      <c r="I24" s="286"/>
      <c r="J24" s="387"/>
      <c r="K24" s="152"/>
    </row>
    <row r="25" spans="1:12">
      <c r="A25" s="416" t="s">
        <v>446</v>
      </c>
      <c r="B25" s="418">
        <f>1538909.32+569360+1692.87</f>
        <v>2109962.1900000004</v>
      </c>
      <c r="C25" s="288"/>
      <c r="D25" s="386"/>
      <c r="E25" s="288"/>
      <c r="F25" s="386"/>
      <c r="G25" s="288"/>
      <c r="H25" s="386"/>
      <c r="I25" s="285"/>
      <c r="J25" s="386"/>
      <c r="K25" s="152"/>
    </row>
    <row r="26" spans="1:12">
      <c r="A26" s="416"/>
      <c r="B26" s="417"/>
      <c r="C26" s="286"/>
      <c r="D26" s="386"/>
      <c r="E26" s="286"/>
      <c r="F26" s="386"/>
      <c r="G26" s="286"/>
      <c r="H26" s="386"/>
      <c r="I26" s="286"/>
      <c r="J26" s="386"/>
      <c r="K26" s="152"/>
    </row>
    <row r="27" spans="1:12">
      <c r="A27" s="281"/>
      <c r="B27" s="417"/>
      <c r="C27" s="286"/>
      <c r="D27" s="386"/>
      <c r="E27" s="286"/>
      <c r="F27" s="386"/>
      <c r="G27" s="286"/>
      <c r="H27" s="386"/>
      <c r="I27" s="286"/>
      <c r="J27" s="386"/>
      <c r="K27" s="152"/>
    </row>
    <row r="28" spans="1:12">
      <c r="A28" s="281"/>
      <c r="B28" s="417"/>
      <c r="C28" s="286"/>
      <c r="D28" s="386"/>
      <c r="E28" s="286"/>
      <c r="F28" s="386"/>
      <c r="G28" s="286"/>
      <c r="H28" s="386"/>
      <c r="I28" s="286"/>
      <c r="J28" s="386"/>
      <c r="K28" s="152"/>
    </row>
    <row r="29" spans="1:12">
      <c r="A29" s="281"/>
      <c r="B29" s="386"/>
      <c r="C29" s="286"/>
      <c r="D29" s="386"/>
      <c r="E29" s="286"/>
      <c r="F29" s="386"/>
      <c r="G29" s="286"/>
      <c r="H29" s="386"/>
      <c r="I29" s="286"/>
      <c r="J29" s="386"/>
      <c r="K29" s="152"/>
    </row>
    <row r="30" spans="1:12">
      <c r="A30" s="163" t="s">
        <v>54</v>
      </c>
      <c r="B30" s="265">
        <f>SUM(B23:B29)</f>
        <v>2454948.91</v>
      </c>
      <c r="C30" s="163" t="s">
        <v>54</v>
      </c>
      <c r="D30" s="265">
        <f>SUM(D23:D29)</f>
        <v>0</v>
      </c>
      <c r="E30" s="163" t="s">
        <v>54</v>
      </c>
      <c r="F30" s="265">
        <f>SUM(F23:F29)</f>
        <v>0</v>
      </c>
      <c r="G30" s="163" t="s">
        <v>54</v>
      </c>
      <c r="H30" s="265">
        <f>SUM(H23:H29)</f>
        <v>9129.48</v>
      </c>
      <c r="I30" s="163" t="s">
        <v>54</v>
      </c>
      <c r="J30" s="265">
        <f>SUM(J23:J29)</f>
        <v>0</v>
      </c>
      <c r="K30" s="265">
        <f>SUM(B30+D30+F30+H30+J30)</f>
        <v>2464078.39</v>
      </c>
    </row>
    <row r="31" spans="1:12">
      <c r="A31" s="163" t="s">
        <v>214</v>
      </c>
      <c r="B31" s="265">
        <f>SUM(B21-B30)</f>
        <v>8542532.8300000001</v>
      </c>
      <c r="C31" s="163" t="s">
        <v>214</v>
      </c>
      <c r="D31" s="265">
        <f>SUM(D21-D30)</f>
        <v>0</v>
      </c>
      <c r="E31" s="163" t="s">
        <v>214</v>
      </c>
      <c r="F31" s="265">
        <f>SUM(F21-F30)</f>
        <v>57198</v>
      </c>
      <c r="G31" s="163" t="s">
        <v>214</v>
      </c>
      <c r="H31" s="265">
        <f>SUM(H21-H30)</f>
        <v>322710.27</v>
      </c>
      <c r="I31" s="163" t="s">
        <v>214</v>
      </c>
      <c r="J31" s="265">
        <f>SUM(J21-J30)</f>
        <v>0</v>
      </c>
      <c r="K31" s="268">
        <f>SUM(B31+D31+F31+H31+J31)</f>
        <v>8922441.0999999996</v>
      </c>
      <c r="L31" s="2" t="s">
        <v>309</v>
      </c>
    </row>
    <row r="32" spans="1:12">
      <c r="A32" s="163"/>
      <c r="B32" s="369" t="str">
        <f>IF(B31&lt;0,"Neg Bal","")</f>
        <v/>
      </c>
      <c r="C32" s="163"/>
      <c r="D32" s="369" t="str">
        <f>IF(D31&lt;0,"Neg Bal","")</f>
        <v/>
      </c>
      <c r="E32" s="163"/>
      <c r="F32" s="369" t="str">
        <f>IF(F31&lt;0,"Neg Bal","")</f>
        <v/>
      </c>
      <c r="G32" s="50"/>
      <c r="H32" s="369" t="str">
        <f>IF(H31&lt;0,"Neg Bal","")</f>
        <v/>
      </c>
      <c r="I32" s="50"/>
      <c r="J32" s="369" t="str">
        <f>IF(J31&lt;0,"Neg Bal","")</f>
        <v/>
      </c>
      <c r="K32" s="268">
        <f>SUM(K7+K20-K30)</f>
        <v>8922441.0999999996</v>
      </c>
      <c r="L32" s="2" t="s">
        <v>309</v>
      </c>
    </row>
    <row r="33" spans="1:11">
      <c r="A33" s="50"/>
      <c r="B33" s="55"/>
      <c r="C33" s="50"/>
      <c r="D33" s="152"/>
      <c r="E33" s="50"/>
      <c r="F33" s="50"/>
      <c r="G33" s="360" t="s">
        <v>311</v>
      </c>
      <c r="H33" s="360"/>
      <c r="I33" s="360"/>
      <c r="J33" s="360"/>
      <c r="K33" s="50"/>
    </row>
    <row r="34" spans="1:11">
      <c r="A34" s="50"/>
      <c r="B34" s="55"/>
      <c r="C34" s="50"/>
      <c r="D34" s="50"/>
      <c r="E34" s="50"/>
      <c r="F34" s="50"/>
      <c r="G34" s="269"/>
      <c r="H34" s="50"/>
      <c r="I34" s="50"/>
      <c r="J34" s="50"/>
      <c r="K34" s="50"/>
    </row>
    <row r="35" spans="1:11">
      <c r="A35" s="50"/>
      <c r="B35" s="55"/>
      <c r="C35" s="50"/>
      <c r="D35" s="50"/>
      <c r="E35" s="63" t="s">
        <v>58</v>
      </c>
      <c r="F35" s="100">
        <v>24</v>
      </c>
      <c r="G35" s="50"/>
      <c r="H35" s="50"/>
      <c r="I35" s="50"/>
      <c r="J35" s="50"/>
      <c r="K35" s="50"/>
    </row>
    <row r="36" spans="1:11">
      <c r="B36" s="166"/>
    </row>
    <row r="37" spans="1:11">
      <c r="B37" s="166"/>
    </row>
    <row r="38" spans="1:11">
      <c r="B38" s="166"/>
    </row>
    <row r="39" spans="1:11">
      <c r="B39" s="166"/>
    </row>
    <row r="40" spans="1:11">
      <c r="B40" s="166"/>
    </row>
    <row r="41" spans="1:11">
      <c r="B41" s="166"/>
    </row>
    <row r="42" spans="1:11">
      <c r="B42" s="166"/>
    </row>
    <row r="43" spans="1:11">
      <c r="B43" s="166"/>
    </row>
  </sheetData>
  <mergeCells count="5">
    <mergeCell ref="I5:J5"/>
    <mergeCell ref="A5:B5"/>
    <mergeCell ref="C5:D5"/>
    <mergeCell ref="E5:F5"/>
    <mergeCell ref="G5:H5"/>
  </mergeCells>
  <phoneticPr fontId="10" type="noConversion"/>
  <pageMargins left="0.75" right="0.75" top="1" bottom="1" header="0.5" footer="0.5"/>
  <pageSetup scale="87" orientation="landscape" blackAndWhite="1" r:id="rId1"/>
  <headerFooter alignWithMargins="0">
    <oddHeader>&amp;RState of Kansas
Coffeyville</oddHeader>
    <oddFooter>&amp;Lrevised 7/01/08</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L41"/>
  <sheetViews>
    <sheetView view="pageBreakPreview" zoomScaleNormal="100" workbookViewId="0">
      <selection activeCell="C30" sqref="C30"/>
    </sheetView>
  </sheetViews>
  <sheetFormatPr defaultRowHeight="15.75"/>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1" width="8.88671875" style="2"/>
    <col min="12" max="12" width="2.5546875" style="2" bestFit="1" customWidth="1"/>
    <col min="13" max="16384" width="8.88671875" style="2"/>
  </cols>
  <sheetData>
    <row r="1" spans="1:11">
      <c r="A1" s="51" t="str">
        <f>inputPrYr!$D$2</f>
        <v>City of Coffeyville</v>
      </c>
      <c r="B1" s="152"/>
      <c r="C1" s="50"/>
      <c r="D1" s="50"/>
      <c r="E1" s="50"/>
      <c r="F1" s="52" t="s">
        <v>217</v>
      </c>
      <c r="G1" s="50"/>
      <c r="H1" s="50"/>
      <c r="I1" s="50"/>
      <c r="J1" s="50"/>
      <c r="K1" s="50">
        <f>inputPrYr!$C$5</f>
        <v>2013</v>
      </c>
    </row>
    <row r="2" spans="1:11">
      <c r="A2" s="50"/>
      <c r="B2" s="50"/>
      <c r="C2" s="50"/>
      <c r="D2" s="50"/>
      <c r="E2" s="50"/>
      <c r="F2" s="367" t="str">
        <f>CONCATENATE("(Only the actual budget year for ",K1-2," is to be shown)")</f>
        <v>(Only the actual budget year for 2011 is to be shown)</v>
      </c>
      <c r="G2" s="50"/>
      <c r="H2" s="50"/>
      <c r="I2" s="50"/>
      <c r="J2" s="50"/>
      <c r="K2" s="50"/>
    </row>
    <row r="3" spans="1:11">
      <c r="A3" s="50" t="s">
        <v>259</v>
      </c>
      <c r="B3" s="50"/>
      <c r="C3" s="50"/>
      <c r="D3" s="50"/>
      <c r="E3" s="50"/>
      <c r="F3" s="152"/>
      <c r="G3" s="50"/>
      <c r="H3" s="50"/>
      <c r="I3" s="50"/>
      <c r="J3" s="50"/>
      <c r="K3" s="50"/>
    </row>
    <row r="4" spans="1:11">
      <c r="A4" s="50" t="s">
        <v>208</v>
      </c>
      <c r="B4" s="50"/>
      <c r="C4" s="50" t="s">
        <v>209</v>
      </c>
      <c r="D4" s="50"/>
      <c r="E4" s="50" t="s">
        <v>210</v>
      </c>
      <c r="F4" s="152"/>
      <c r="G4" s="50" t="s">
        <v>211</v>
      </c>
      <c r="H4" s="50"/>
      <c r="I4" s="50" t="s">
        <v>212</v>
      </c>
      <c r="J4" s="50"/>
      <c r="K4" s="50"/>
    </row>
    <row r="5" spans="1:11">
      <c r="A5" s="468" t="str">
        <f>IF(inputPrYr!B75&gt;" ",(inputPrYr!B75)," ")</f>
        <v>Electric Utility Depr/Repl</v>
      </c>
      <c r="B5" s="469"/>
      <c r="C5" s="468" t="str">
        <f>IF(inputPrYr!B76&gt;" ",(inputPrYr!B76)," ")</f>
        <v>Electric Utility Bond Reserve</v>
      </c>
      <c r="D5" s="469"/>
      <c r="E5" s="468" t="str">
        <f>IF(inputPrYr!B77&gt;" ",(inputPrYr!B77)," ")</f>
        <v xml:space="preserve">Electric Utility Surplus </v>
      </c>
      <c r="F5" s="469"/>
      <c r="G5" s="468" t="str">
        <f>IF(inputPrYr!B78&gt;" ",(inputPrYr!B78)," ")</f>
        <v>Electric Bond Projects</v>
      </c>
      <c r="H5" s="469"/>
      <c r="I5" s="468" t="str">
        <f>IF(inputPrYr!B79&gt;" ",(inputPrYr!B79)," ")</f>
        <v>Water/Wastewater Depr/Repl</v>
      </c>
      <c r="J5" s="469"/>
      <c r="K5" s="153"/>
    </row>
    <row r="6" spans="1:11">
      <c r="A6" s="154" t="s">
        <v>213</v>
      </c>
      <c r="B6" s="155"/>
      <c r="C6" s="156" t="s">
        <v>213</v>
      </c>
      <c r="D6" s="157"/>
      <c r="E6" s="156" t="s">
        <v>213</v>
      </c>
      <c r="F6" s="158"/>
      <c r="G6" s="156" t="s">
        <v>213</v>
      </c>
      <c r="H6" s="159"/>
      <c r="I6" s="156" t="s">
        <v>213</v>
      </c>
      <c r="J6" s="50"/>
      <c r="K6" s="160" t="s">
        <v>13</v>
      </c>
    </row>
    <row r="7" spans="1:11">
      <c r="A7" s="161" t="s">
        <v>416</v>
      </c>
      <c r="B7" s="282">
        <v>1816592.24</v>
      </c>
      <c r="C7" s="162" t="s">
        <v>416</v>
      </c>
      <c r="D7" s="282">
        <v>0</v>
      </c>
      <c r="E7" s="162" t="s">
        <v>416</v>
      </c>
      <c r="F7" s="282">
        <v>721866.14</v>
      </c>
      <c r="G7" s="162" t="s">
        <v>416</v>
      </c>
      <c r="H7" s="282">
        <v>0</v>
      </c>
      <c r="I7" s="162" t="s">
        <v>416</v>
      </c>
      <c r="J7" s="282">
        <v>2336776.83</v>
      </c>
      <c r="K7" s="265">
        <f>SUM(B7+D7+F7+H7+J7)</f>
        <v>4875235.21</v>
      </c>
    </row>
    <row r="8" spans="1:11">
      <c r="A8" s="163" t="s">
        <v>178</v>
      </c>
      <c r="B8" s="164"/>
      <c r="C8" s="163" t="s">
        <v>178</v>
      </c>
      <c r="D8" s="165"/>
      <c r="E8" s="163" t="s">
        <v>178</v>
      </c>
      <c r="F8" s="152"/>
      <c r="G8" s="163" t="s">
        <v>178</v>
      </c>
      <c r="H8" s="50"/>
      <c r="I8" s="163" t="s">
        <v>178</v>
      </c>
      <c r="J8" s="50"/>
      <c r="K8" s="152"/>
    </row>
    <row r="9" spans="1:11">
      <c r="A9" s="281" t="s">
        <v>366</v>
      </c>
      <c r="B9" s="386">
        <v>1235000</v>
      </c>
      <c r="C9" s="281"/>
      <c r="D9" s="386">
        <v>0</v>
      </c>
      <c r="E9" s="281" t="s">
        <v>312</v>
      </c>
      <c r="F9" s="386">
        <f>500000+350000+509979</f>
        <v>1359979</v>
      </c>
      <c r="G9" s="281"/>
      <c r="H9" s="386"/>
      <c r="I9" s="281" t="s">
        <v>480</v>
      </c>
      <c r="J9" s="386">
        <v>125000</v>
      </c>
      <c r="K9" s="152"/>
    </row>
    <row r="10" spans="1:11">
      <c r="A10" s="281" t="s">
        <v>312</v>
      </c>
      <c r="B10" s="386">
        <v>905000</v>
      </c>
      <c r="C10" s="281"/>
      <c r="D10" s="386"/>
      <c r="E10" s="281" t="s">
        <v>664</v>
      </c>
      <c r="F10" s="386">
        <f>25000+25000</f>
        <v>50000</v>
      </c>
      <c r="G10" s="281"/>
      <c r="H10" s="386"/>
      <c r="I10" s="285" t="s">
        <v>481</v>
      </c>
      <c r="J10" s="386">
        <v>150000</v>
      </c>
      <c r="K10" s="152"/>
    </row>
    <row r="11" spans="1:11">
      <c r="A11" s="281"/>
      <c r="B11" s="386"/>
      <c r="C11" s="284"/>
      <c r="D11" s="386"/>
      <c r="E11" s="284" t="s">
        <v>688</v>
      </c>
      <c r="F11" s="386">
        <v>8000</v>
      </c>
      <c r="G11" s="284"/>
      <c r="H11" s="386"/>
      <c r="I11" s="286" t="s">
        <v>556</v>
      </c>
      <c r="J11" s="386">
        <v>29814.77</v>
      </c>
      <c r="K11" s="152"/>
    </row>
    <row r="12" spans="1:11">
      <c r="A12" s="281"/>
      <c r="B12" s="386"/>
      <c r="C12" s="281"/>
      <c r="D12" s="386"/>
      <c r="E12" s="286"/>
      <c r="F12" s="386"/>
      <c r="G12" s="286"/>
      <c r="H12" s="386"/>
      <c r="I12" s="286"/>
      <c r="J12" s="386"/>
      <c r="K12" s="152"/>
    </row>
    <row r="13" spans="1:11">
      <c r="A13" s="287"/>
      <c r="B13" s="386"/>
      <c r="C13" s="288"/>
      <c r="D13" s="386"/>
      <c r="E13" s="288"/>
      <c r="F13" s="386"/>
      <c r="G13" s="288"/>
      <c r="H13" s="386"/>
      <c r="I13" s="285"/>
      <c r="J13" s="386"/>
      <c r="K13" s="152"/>
    </row>
    <row r="14" spans="1:11">
      <c r="A14" s="281"/>
      <c r="B14" s="386"/>
      <c r="C14" s="286"/>
      <c r="D14" s="386"/>
      <c r="E14" s="286"/>
      <c r="F14" s="386"/>
      <c r="G14" s="286"/>
      <c r="H14" s="386"/>
      <c r="I14" s="286"/>
      <c r="J14" s="386"/>
      <c r="K14" s="152"/>
    </row>
    <row r="15" spans="1:11">
      <c r="A15" s="281"/>
      <c r="B15" s="386"/>
      <c r="C15" s="286"/>
      <c r="D15" s="386"/>
      <c r="E15" s="286"/>
      <c r="F15" s="386"/>
      <c r="G15" s="286"/>
      <c r="H15" s="386"/>
      <c r="I15" s="286"/>
      <c r="J15" s="386"/>
      <c r="K15" s="152"/>
    </row>
    <row r="16" spans="1:11">
      <c r="A16" s="281"/>
      <c r="B16" s="386"/>
      <c r="C16" s="281"/>
      <c r="D16" s="386"/>
      <c r="E16" s="281"/>
      <c r="F16" s="386"/>
      <c r="G16" s="286"/>
      <c r="H16" s="386"/>
      <c r="I16" s="281"/>
      <c r="J16" s="386"/>
      <c r="K16" s="152"/>
    </row>
    <row r="17" spans="1:12">
      <c r="A17" s="163" t="s">
        <v>47</v>
      </c>
      <c r="B17" s="265">
        <f>SUM(B9:B16)</f>
        <v>2140000</v>
      </c>
      <c r="C17" s="163" t="s">
        <v>47</v>
      </c>
      <c r="D17" s="265">
        <f>SUM(D9:D16)</f>
        <v>0</v>
      </c>
      <c r="E17" s="163" t="s">
        <v>47</v>
      </c>
      <c r="F17" s="265">
        <f>SUM(F9:F16)</f>
        <v>1417979</v>
      </c>
      <c r="G17" s="163" t="s">
        <v>47</v>
      </c>
      <c r="H17" s="265">
        <f>SUM(H9:H16)</f>
        <v>0</v>
      </c>
      <c r="I17" s="163" t="s">
        <v>47</v>
      </c>
      <c r="J17" s="265">
        <f>SUM(J9:J16)</f>
        <v>304814.77</v>
      </c>
      <c r="K17" s="265">
        <f>SUM(B17+D17+F17+H17+J17)</f>
        <v>3862793.77</v>
      </c>
    </row>
    <row r="18" spans="1:12">
      <c r="A18" s="163" t="s">
        <v>48</v>
      </c>
      <c r="B18" s="265">
        <f>SUM(B7+B17)</f>
        <v>3956592.24</v>
      </c>
      <c r="C18" s="163" t="s">
        <v>48</v>
      </c>
      <c r="D18" s="265">
        <f>SUM(D7+D17)</f>
        <v>0</v>
      </c>
      <c r="E18" s="163" t="s">
        <v>48</v>
      </c>
      <c r="F18" s="265">
        <f>SUM(F7+F17)</f>
        <v>2139845.14</v>
      </c>
      <c r="G18" s="163" t="s">
        <v>48</v>
      </c>
      <c r="H18" s="265">
        <f>SUM(H7+H17)</f>
        <v>0</v>
      </c>
      <c r="I18" s="163" t="s">
        <v>48</v>
      </c>
      <c r="J18" s="265">
        <f>SUM(J7+J17)</f>
        <v>2641591.6</v>
      </c>
      <c r="K18" s="265">
        <f>SUM(B18+D18+F18+H18+J18)</f>
        <v>8738028.9800000004</v>
      </c>
    </row>
    <row r="19" spans="1:12">
      <c r="A19" s="163" t="s">
        <v>50</v>
      </c>
      <c r="B19" s="164"/>
      <c r="C19" s="163" t="s">
        <v>50</v>
      </c>
      <c r="D19" s="165"/>
      <c r="E19" s="163" t="s">
        <v>50</v>
      </c>
      <c r="F19" s="152"/>
      <c r="G19" s="163" t="s">
        <v>50</v>
      </c>
      <c r="H19" s="50"/>
      <c r="I19" s="163" t="s">
        <v>50</v>
      </c>
      <c r="J19" s="50"/>
      <c r="K19" s="152"/>
    </row>
    <row r="20" spans="1:12">
      <c r="A20" s="281" t="s">
        <v>444</v>
      </c>
      <c r="B20" s="386">
        <v>41468.239999999998</v>
      </c>
      <c r="C20" s="407"/>
      <c r="D20" s="386">
        <v>0</v>
      </c>
      <c r="E20" s="281" t="s">
        <v>444</v>
      </c>
      <c r="F20" s="386">
        <f>348775+309385</f>
        <v>658160</v>
      </c>
      <c r="G20" s="407"/>
      <c r="H20" s="386"/>
      <c r="I20" s="286" t="s">
        <v>444</v>
      </c>
      <c r="J20" s="386">
        <v>11460.39</v>
      </c>
      <c r="K20" s="152"/>
    </row>
    <row r="21" spans="1:12">
      <c r="A21" s="281" t="s">
        <v>446</v>
      </c>
      <c r="B21" s="386">
        <f>162747.01+911000.75+358640.23</f>
        <v>1432387.99</v>
      </c>
      <c r="C21" s="286"/>
      <c r="D21" s="386"/>
      <c r="E21" s="281" t="s">
        <v>313</v>
      </c>
      <c r="F21" s="386">
        <f>179000+150000</f>
        <v>329000</v>
      </c>
      <c r="G21" s="286"/>
      <c r="H21" s="386"/>
      <c r="I21" s="286" t="s">
        <v>445</v>
      </c>
      <c r="J21" s="386">
        <v>0</v>
      </c>
      <c r="K21" s="152"/>
    </row>
    <row r="22" spans="1:12">
      <c r="A22" s="281" t="s">
        <v>687</v>
      </c>
      <c r="B22" s="387">
        <v>169200</v>
      </c>
      <c r="C22" s="288"/>
      <c r="D22" s="387"/>
      <c r="E22" s="286" t="s">
        <v>314</v>
      </c>
      <c r="F22" s="387">
        <v>25000</v>
      </c>
      <c r="G22" s="288"/>
      <c r="H22" s="387"/>
      <c r="I22" s="285" t="s">
        <v>446</v>
      </c>
      <c r="J22" s="387">
        <f>60093.98+447963.78</f>
        <v>508057.76</v>
      </c>
      <c r="K22" s="152"/>
    </row>
    <row r="23" spans="1:12">
      <c r="A23" s="281"/>
      <c r="B23" s="386"/>
      <c r="C23" s="286"/>
      <c r="D23" s="386"/>
      <c r="E23" s="288" t="s">
        <v>315</v>
      </c>
      <c r="F23" s="386">
        <v>25000</v>
      </c>
      <c r="G23" s="286"/>
      <c r="H23" s="386"/>
      <c r="I23" s="286" t="s">
        <v>687</v>
      </c>
      <c r="J23" s="386">
        <v>100000</v>
      </c>
      <c r="K23" s="152"/>
    </row>
    <row r="24" spans="1:12">
      <c r="A24" s="281"/>
      <c r="B24" s="387"/>
      <c r="C24" s="288"/>
      <c r="D24" s="387"/>
      <c r="E24" s="286" t="s">
        <v>316</v>
      </c>
      <c r="F24" s="387">
        <v>20000</v>
      </c>
      <c r="G24" s="288"/>
      <c r="H24" s="387"/>
      <c r="I24" s="285"/>
      <c r="J24" s="387"/>
      <c r="K24" s="152"/>
    </row>
    <row r="25" spans="1:12">
      <c r="A25" s="281"/>
      <c r="B25" s="386"/>
      <c r="C25" s="286"/>
      <c r="D25" s="386"/>
      <c r="E25" s="286" t="s">
        <v>489</v>
      </c>
      <c r="F25" s="386">
        <v>101000</v>
      </c>
      <c r="G25" s="286"/>
      <c r="H25" s="386"/>
      <c r="I25" s="286"/>
      <c r="J25" s="386"/>
      <c r="K25" s="152"/>
    </row>
    <row r="26" spans="1:12">
      <c r="A26" s="281"/>
      <c r="B26" s="386"/>
      <c r="C26" s="286"/>
      <c r="D26" s="386"/>
      <c r="E26" s="286"/>
      <c r="F26" s="386"/>
      <c r="G26" s="286"/>
      <c r="H26" s="386"/>
      <c r="I26" s="286"/>
      <c r="J26" s="386"/>
      <c r="K26" s="152"/>
    </row>
    <row r="27" spans="1:12">
      <c r="A27" s="281"/>
      <c r="B27" s="388"/>
      <c r="C27" s="281"/>
      <c r="D27" s="388"/>
      <c r="E27" s="281"/>
      <c r="F27" s="388"/>
      <c r="G27" s="286"/>
      <c r="H27" s="388"/>
      <c r="I27" s="286"/>
      <c r="J27" s="388"/>
      <c r="K27" s="152"/>
    </row>
    <row r="28" spans="1:12">
      <c r="A28" s="163" t="s">
        <v>54</v>
      </c>
      <c r="B28" s="265">
        <f>SUM(B20:B27)</f>
        <v>1643056.23</v>
      </c>
      <c r="C28" s="163" t="s">
        <v>54</v>
      </c>
      <c r="D28" s="265">
        <f>SUM(D20:D27)</f>
        <v>0</v>
      </c>
      <c r="E28" s="163" t="s">
        <v>54</v>
      </c>
      <c r="F28" s="265">
        <f>SUM(F20:F27)</f>
        <v>1158160</v>
      </c>
      <c r="G28" s="163" t="s">
        <v>54</v>
      </c>
      <c r="H28" s="265">
        <f>SUM(H20:H27)</f>
        <v>0</v>
      </c>
      <c r="I28" s="163" t="s">
        <v>54</v>
      </c>
      <c r="J28" s="265">
        <f>SUM(J20:J27)</f>
        <v>619518.15</v>
      </c>
      <c r="K28" s="265">
        <f>SUM(B28+D28+F28+H28+J28)</f>
        <v>3420734.38</v>
      </c>
    </row>
    <row r="29" spans="1:12">
      <c r="A29" s="163" t="s">
        <v>214</v>
      </c>
      <c r="B29" s="265">
        <f>SUM(B18-B28)</f>
        <v>2313536.0100000002</v>
      </c>
      <c r="C29" s="163" t="s">
        <v>214</v>
      </c>
      <c r="D29" s="265">
        <f>SUM(D18-D28)</f>
        <v>0</v>
      </c>
      <c r="E29" s="163" t="s">
        <v>214</v>
      </c>
      <c r="F29" s="265">
        <f>SUM(F18-F28)</f>
        <v>981685.14000000013</v>
      </c>
      <c r="G29" s="163" t="s">
        <v>214</v>
      </c>
      <c r="H29" s="265">
        <f>SUM(H18-H28)</f>
        <v>0</v>
      </c>
      <c r="I29" s="163" t="s">
        <v>214</v>
      </c>
      <c r="J29" s="265">
        <f>SUM(J18-J28)</f>
        <v>2022073.4500000002</v>
      </c>
      <c r="K29" s="268">
        <f>SUM(B29+D29+F29+H29+J29)</f>
        <v>5317294.6000000006</v>
      </c>
      <c r="L29" s="2" t="s">
        <v>309</v>
      </c>
    </row>
    <row r="30" spans="1:12">
      <c r="A30" s="163"/>
      <c r="B30" s="369" t="str">
        <f>IF(B29&lt;0,"Neg Bal","")</f>
        <v/>
      </c>
      <c r="C30" s="163"/>
      <c r="D30" s="369" t="str">
        <f>IF(D29&lt;0,"Neg Bal","")</f>
        <v/>
      </c>
      <c r="E30" s="163"/>
      <c r="F30" s="369" t="str">
        <f>IF(F29&lt;0,"Neg Bal","")</f>
        <v/>
      </c>
      <c r="G30" s="50"/>
      <c r="H30" s="369" t="str">
        <f>IF(H29&lt;0,"Neg Bal","")</f>
        <v/>
      </c>
      <c r="I30" s="50"/>
      <c r="J30" s="369" t="str">
        <f>IF(J29&lt;0,"Neg Bal","")</f>
        <v/>
      </c>
      <c r="K30" s="268">
        <f>SUM(K7+K17-K28)</f>
        <v>5317294.6000000006</v>
      </c>
      <c r="L30" s="2" t="s">
        <v>309</v>
      </c>
    </row>
    <row r="31" spans="1:12">
      <c r="A31" s="50"/>
      <c r="B31" s="55"/>
      <c r="C31" s="50"/>
      <c r="D31" s="152"/>
      <c r="E31" s="50"/>
      <c r="F31" s="50"/>
      <c r="G31" s="360" t="s">
        <v>310</v>
      </c>
      <c r="H31" s="360"/>
      <c r="I31" s="360"/>
      <c r="J31" s="360"/>
      <c r="K31" s="50"/>
    </row>
    <row r="32" spans="1:12">
      <c r="A32" s="50"/>
      <c r="B32" s="55"/>
      <c r="C32" s="50"/>
      <c r="D32" s="50"/>
      <c r="E32" s="50"/>
      <c r="F32" s="50"/>
      <c r="G32" s="50"/>
      <c r="H32" s="50"/>
      <c r="I32" s="50"/>
      <c r="J32" s="50"/>
      <c r="K32" s="50"/>
    </row>
    <row r="33" spans="1:11">
      <c r="A33" s="50"/>
      <c r="B33" s="55"/>
      <c r="C33" s="50"/>
      <c r="D33" s="50"/>
      <c r="E33" s="63" t="s">
        <v>58</v>
      </c>
      <c r="F33" s="100">
        <v>25</v>
      </c>
      <c r="G33" s="50"/>
      <c r="H33" s="50"/>
      <c r="I33" s="50"/>
      <c r="J33" s="50"/>
      <c r="K33" s="50"/>
    </row>
    <row r="34" spans="1:11">
      <c r="B34" s="166"/>
    </row>
    <row r="35" spans="1:11">
      <c r="B35" s="166"/>
    </row>
    <row r="36" spans="1:11">
      <c r="B36" s="166"/>
    </row>
    <row r="37" spans="1:11">
      <c r="B37" s="166"/>
    </row>
    <row r="38" spans="1:11">
      <c r="B38" s="166"/>
    </row>
    <row r="39" spans="1:11">
      <c r="B39" s="166"/>
    </row>
    <row r="40" spans="1:11">
      <c r="B40" s="166"/>
    </row>
    <row r="41" spans="1:11">
      <c r="B41" s="166"/>
    </row>
  </sheetData>
  <mergeCells count="5">
    <mergeCell ref="I5:J5"/>
    <mergeCell ref="A5:B5"/>
    <mergeCell ref="C5:D5"/>
    <mergeCell ref="E5:F5"/>
    <mergeCell ref="G5:H5"/>
  </mergeCells>
  <phoneticPr fontId="10" type="noConversion"/>
  <pageMargins left="0.75" right="0.75" top="1" bottom="1" header="0.5" footer="0.5"/>
  <pageSetup scale="87" orientation="landscape" blackAndWhite="1" r:id="rId1"/>
  <headerFooter alignWithMargins="0">
    <oddHeader>&amp;RState of Kansas
Coffeyville</oddHeader>
    <oddFooter>&amp;Lrevised 7/01/08</oddFooter>
  </headerFooter>
</worksheet>
</file>

<file path=xl/worksheets/sheet33.xml><?xml version="1.0" encoding="utf-8"?>
<worksheet xmlns="http://schemas.openxmlformats.org/spreadsheetml/2006/main" xmlns:r="http://schemas.openxmlformats.org/officeDocument/2006/relationships">
  <sheetPr>
    <pageSetUpPr fitToPage="1"/>
  </sheetPr>
  <dimension ref="A1:L41"/>
  <sheetViews>
    <sheetView view="pageBreakPreview" zoomScaleNormal="100" workbookViewId="0">
      <selection activeCell="C9" sqref="C9"/>
    </sheetView>
  </sheetViews>
  <sheetFormatPr defaultRowHeight="15.75"/>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1" width="8.88671875" style="2"/>
    <col min="12" max="12" width="2.5546875" style="2" bestFit="1" customWidth="1"/>
    <col min="13" max="16384" width="8.88671875" style="2"/>
  </cols>
  <sheetData>
    <row r="1" spans="1:11">
      <c r="A1" s="51" t="str">
        <f>inputPrYr!$D$2</f>
        <v>City of Coffeyville</v>
      </c>
      <c r="B1" s="152"/>
      <c r="C1" s="50"/>
      <c r="D1" s="50"/>
      <c r="E1" s="50"/>
      <c r="F1" s="52" t="s">
        <v>372</v>
      </c>
      <c r="G1" s="50"/>
      <c r="H1" s="50"/>
      <c r="I1" s="50"/>
      <c r="J1" s="50"/>
      <c r="K1" s="50">
        <f>inputPrYr!$C$5</f>
        <v>2013</v>
      </c>
    </row>
    <row r="2" spans="1:11">
      <c r="A2" s="50"/>
      <c r="B2" s="50"/>
      <c r="C2" s="50"/>
      <c r="D2" s="50"/>
      <c r="E2" s="50"/>
      <c r="F2" s="367" t="str">
        <f>CONCATENATE("(Only the actual budget year for ",K1-2," is to be shown)")</f>
        <v>(Only the actual budget year for 2011 is to be shown)</v>
      </c>
      <c r="G2" s="50"/>
      <c r="H2" s="50"/>
      <c r="I2" s="50"/>
      <c r="J2" s="50"/>
      <c r="K2" s="50"/>
    </row>
    <row r="3" spans="1:11">
      <c r="A3" s="50" t="s">
        <v>373</v>
      </c>
      <c r="B3" s="50"/>
      <c r="C3" s="50"/>
      <c r="D3" s="50"/>
      <c r="E3" s="50"/>
      <c r="F3" s="152"/>
      <c r="G3" s="50"/>
      <c r="H3" s="50"/>
      <c r="I3" s="50"/>
      <c r="J3" s="50"/>
      <c r="K3" s="50"/>
    </row>
    <row r="4" spans="1:11">
      <c r="A4" s="50" t="s">
        <v>208</v>
      </c>
      <c r="B4" s="50"/>
      <c r="C4" s="50" t="s">
        <v>209</v>
      </c>
      <c r="D4" s="50"/>
      <c r="E4" s="50" t="s">
        <v>210</v>
      </c>
      <c r="F4" s="152"/>
      <c r="G4" s="50" t="s">
        <v>211</v>
      </c>
      <c r="H4" s="50"/>
      <c r="I4" s="50" t="s">
        <v>212</v>
      </c>
      <c r="J4" s="50"/>
      <c r="K4" s="50"/>
    </row>
    <row r="5" spans="1:11">
      <c r="A5" s="468" t="str">
        <f>IF(inputPrYr!B81&gt;" ",(inputPrYr!B81)," ")</f>
        <v xml:space="preserve">Stormwater Depr/Repl </v>
      </c>
      <c r="B5" s="469"/>
      <c r="C5" s="468" t="str">
        <f>IF(inputPrYr!B82&gt;" ",(inputPrYr!B82)," ")</f>
        <v>Water/Wastewater Restricted Reserve</v>
      </c>
      <c r="D5" s="469"/>
      <c r="E5" s="468" t="str">
        <f>IF(inputPrYr!B83&gt;" ",(inputPrYr!B83)," ")</f>
        <v xml:space="preserve"> </v>
      </c>
      <c r="F5" s="469"/>
      <c r="G5" s="468" t="str">
        <f>IF(inputPrYr!B84&gt;" ",(inputPrYr!B84)," ")</f>
        <v xml:space="preserve"> </v>
      </c>
      <c r="H5" s="469"/>
      <c r="I5" s="468" t="str">
        <f>IF(inputPrYr!B85&gt;" ",(inputPrYr!B85)," ")</f>
        <v xml:space="preserve"> </v>
      </c>
      <c r="J5" s="469"/>
      <c r="K5" s="153"/>
    </row>
    <row r="6" spans="1:11">
      <c r="A6" s="154" t="s">
        <v>213</v>
      </c>
      <c r="B6" s="155"/>
      <c r="C6" s="156" t="s">
        <v>213</v>
      </c>
      <c r="D6" s="157"/>
      <c r="E6" s="156" t="s">
        <v>213</v>
      </c>
      <c r="F6" s="158"/>
      <c r="G6" s="156" t="s">
        <v>213</v>
      </c>
      <c r="H6" s="159"/>
      <c r="I6" s="156" t="s">
        <v>213</v>
      </c>
      <c r="J6" s="50"/>
      <c r="K6" s="160" t="s">
        <v>13</v>
      </c>
    </row>
    <row r="7" spans="1:11">
      <c r="A7" s="161" t="s">
        <v>416</v>
      </c>
      <c r="B7" s="392">
        <v>44642.97</v>
      </c>
      <c r="C7" s="162" t="s">
        <v>416</v>
      </c>
      <c r="D7" s="283">
        <v>0</v>
      </c>
      <c r="E7" s="162" t="s">
        <v>416</v>
      </c>
      <c r="F7" s="283"/>
      <c r="G7" s="162" t="s">
        <v>416</v>
      </c>
      <c r="H7" s="392"/>
      <c r="I7" s="162" t="s">
        <v>416</v>
      </c>
      <c r="J7" s="283"/>
      <c r="K7" s="265">
        <f>SUM(B7+D7+F7+H7+J7)</f>
        <v>44642.97</v>
      </c>
    </row>
    <row r="8" spans="1:11">
      <c r="A8" s="163" t="s">
        <v>178</v>
      </c>
      <c r="B8" s="164"/>
      <c r="C8" s="163" t="s">
        <v>178</v>
      </c>
      <c r="D8" s="165"/>
      <c r="E8" s="163" t="s">
        <v>178</v>
      </c>
      <c r="F8" s="152"/>
      <c r="G8" s="163" t="s">
        <v>178</v>
      </c>
      <c r="H8" s="50"/>
      <c r="I8" s="163" t="s">
        <v>178</v>
      </c>
      <c r="J8" s="50"/>
      <c r="K8" s="152"/>
    </row>
    <row r="9" spans="1:11">
      <c r="A9" s="281" t="s">
        <v>371</v>
      </c>
      <c r="B9" s="386">
        <v>30000</v>
      </c>
      <c r="C9" s="281"/>
      <c r="D9" s="386"/>
      <c r="E9" s="281"/>
      <c r="F9" s="386"/>
      <c r="G9" s="281"/>
      <c r="H9" s="386"/>
      <c r="I9" s="281"/>
      <c r="J9" s="386"/>
      <c r="K9" s="152"/>
    </row>
    <row r="10" spans="1:11">
      <c r="A10" s="281"/>
      <c r="B10" s="386"/>
      <c r="C10" s="281"/>
      <c r="D10" s="386"/>
      <c r="E10" s="281"/>
      <c r="F10" s="386"/>
      <c r="G10" s="281"/>
      <c r="H10" s="386"/>
      <c r="I10" s="281"/>
      <c r="J10" s="386"/>
      <c r="K10" s="152"/>
    </row>
    <row r="11" spans="1:11">
      <c r="A11" s="281"/>
      <c r="B11" s="386"/>
      <c r="C11" s="281"/>
      <c r="D11" s="386"/>
      <c r="E11" s="281"/>
      <c r="F11" s="386"/>
      <c r="G11" s="281"/>
      <c r="H11" s="386"/>
      <c r="I11" s="281"/>
      <c r="J11" s="386"/>
      <c r="K11" s="152"/>
    </row>
    <row r="12" spans="1:11">
      <c r="A12" s="281"/>
      <c r="B12" s="386"/>
      <c r="C12" s="281"/>
      <c r="D12" s="386"/>
      <c r="E12" s="281"/>
      <c r="F12" s="386"/>
      <c r="G12" s="281"/>
      <c r="H12" s="386"/>
      <c r="I12" s="281"/>
      <c r="J12" s="386"/>
      <c r="K12" s="152"/>
    </row>
    <row r="13" spans="1:11">
      <c r="A13" s="281"/>
      <c r="B13" s="386"/>
      <c r="C13" s="284"/>
      <c r="D13" s="386"/>
      <c r="E13" s="284"/>
      <c r="F13" s="386"/>
      <c r="G13" s="284"/>
      <c r="H13" s="386"/>
      <c r="I13" s="285"/>
      <c r="J13" s="386"/>
      <c r="K13" s="152"/>
    </row>
    <row r="14" spans="1:11">
      <c r="A14" s="281"/>
      <c r="B14" s="386"/>
      <c r="C14" s="281"/>
      <c r="D14" s="386"/>
      <c r="E14" s="286"/>
      <c r="F14" s="386"/>
      <c r="G14" s="286"/>
      <c r="H14" s="386"/>
      <c r="I14" s="286"/>
      <c r="J14" s="386"/>
      <c r="K14" s="152"/>
    </row>
    <row r="15" spans="1:11">
      <c r="A15" s="281"/>
      <c r="B15" s="386"/>
      <c r="C15" s="288"/>
      <c r="D15" s="386"/>
      <c r="E15" s="288"/>
      <c r="F15" s="386"/>
      <c r="G15" s="288"/>
      <c r="H15" s="386"/>
      <c r="I15" s="285"/>
      <c r="J15" s="386"/>
      <c r="K15" s="152"/>
    </row>
    <row r="16" spans="1:11">
      <c r="A16" s="281"/>
      <c r="B16" s="386"/>
      <c r="C16" s="286"/>
      <c r="D16" s="386"/>
      <c r="E16" s="286"/>
      <c r="F16" s="386"/>
      <c r="G16" s="286"/>
      <c r="H16" s="386"/>
      <c r="I16" s="286"/>
      <c r="J16" s="386"/>
      <c r="K16" s="152"/>
    </row>
    <row r="17" spans="1:12">
      <c r="A17" s="287"/>
      <c r="B17" s="386"/>
      <c r="C17" s="281"/>
      <c r="D17" s="386"/>
      <c r="E17" s="281"/>
      <c r="F17" s="386"/>
      <c r="G17" s="286"/>
      <c r="H17" s="386"/>
      <c r="I17" s="281"/>
      <c r="J17" s="386"/>
      <c r="K17" s="152"/>
    </row>
    <row r="18" spans="1:12">
      <c r="A18" s="163" t="s">
        <v>47</v>
      </c>
      <c r="B18" s="265">
        <f>SUM(B9:B17)</f>
        <v>30000</v>
      </c>
      <c r="C18" s="163" t="s">
        <v>47</v>
      </c>
      <c r="D18" s="266">
        <f>SUM(D9:D17)</f>
        <v>0</v>
      </c>
      <c r="E18" s="163" t="s">
        <v>47</v>
      </c>
      <c r="F18" s="267">
        <f>SUM(F9:F17)</f>
        <v>0</v>
      </c>
      <c r="G18" s="163" t="s">
        <v>47</v>
      </c>
      <c r="H18" s="266">
        <f>SUM(H9:H17)</f>
        <v>0</v>
      </c>
      <c r="I18" s="163" t="s">
        <v>47</v>
      </c>
      <c r="J18" s="266">
        <f>SUM(J9:J17)</f>
        <v>0</v>
      </c>
      <c r="K18" s="265">
        <f>SUM(B18+D18+F18+H18+J18)</f>
        <v>30000</v>
      </c>
    </row>
    <row r="19" spans="1:12">
      <c r="A19" s="163" t="s">
        <v>48</v>
      </c>
      <c r="B19" s="265">
        <f>SUM(B7+B18)</f>
        <v>74642.97</v>
      </c>
      <c r="C19" s="163" t="s">
        <v>48</v>
      </c>
      <c r="D19" s="265">
        <f>SUM(D7+D18)</f>
        <v>0</v>
      </c>
      <c r="E19" s="163" t="s">
        <v>48</v>
      </c>
      <c r="F19" s="265">
        <f>SUM(F7+F18)</f>
        <v>0</v>
      </c>
      <c r="G19" s="163" t="s">
        <v>48</v>
      </c>
      <c r="H19" s="265">
        <f>SUM(H7+H18)</f>
        <v>0</v>
      </c>
      <c r="I19" s="163" t="s">
        <v>48</v>
      </c>
      <c r="J19" s="265">
        <f>SUM(J7+J18)</f>
        <v>0</v>
      </c>
      <c r="K19" s="265">
        <f>SUM(B19+D19+F19+H19+J19)</f>
        <v>74642.97</v>
      </c>
    </row>
    <row r="20" spans="1:12">
      <c r="A20" s="163" t="s">
        <v>50</v>
      </c>
      <c r="B20" s="164"/>
      <c r="C20" s="163" t="s">
        <v>50</v>
      </c>
      <c r="D20" s="165"/>
      <c r="E20" s="163" t="s">
        <v>50</v>
      </c>
      <c r="F20" s="152"/>
      <c r="G20" s="163" t="s">
        <v>50</v>
      </c>
      <c r="H20" s="50"/>
      <c r="I20" s="163" t="s">
        <v>50</v>
      </c>
      <c r="J20" s="50"/>
      <c r="K20" s="152"/>
    </row>
    <row r="21" spans="1:12">
      <c r="A21" s="281" t="s">
        <v>444</v>
      </c>
      <c r="B21" s="386">
        <v>2161.94</v>
      </c>
      <c r="C21" s="286"/>
      <c r="D21" s="386"/>
      <c r="E21" s="286"/>
      <c r="F21" s="386"/>
      <c r="G21" s="286"/>
      <c r="H21" s="386"/>
      <c r="I21" s="286"/>
      <c r="J21" s="386"/>
      <c r="K21" s="152"/>
    </row>
    <row r="22" spans="1:12">
      <c r="A22" s="281" t="s">
        <v>446</v>
      </c>
      <c r="B22" s="386">
        <v>4590</v>
      </c>
      <c r="C22" s="286"/>
      <c r="D22" s="387"/>
      <c r="E22" s="286"/>
      <c r="F22" s="387"/>
      <c r="G22" s="286"/>
      <c r="H22" s="386"/>
      <c r="I22" s="286"/>
      <c r="J22" s="387"/>
      <c r="K22" s="152"/>
    </row>
    <row r="23" spans="1:12">
      <c r="A23" s="281" t="s">
        <v>531</v>
      </c>
      <c r="B23" s="386">
        <v>2501.2600000000002</v>
      </c>
      <c r="C23" s="288"/>
      <c r="D23" s="386"/>
      <c r="E23" s="288"/>
      <c r="F23" s="386"/>
      <c r="G23" s="288"/>
      <c r="H23" s="386"/>
      <c r="I23" s="285"/>
      <c r="J23" s="386"/>
      <c r="K23" s="152"/>
    </row>
    <row r="24" spans="1:12">
      <c r="A24" s="281" t="s">
        <v>184</v>
      </c>
      <c r="B24" s="387">
        <v>42986.28</v>
      </c>
      <c r="C24" s="286"/>
      <c r="D24" s="386"/>
      <c r="E24" s="286"/>
      <c r="F24" s="386"/>
      <c r="G24" s="286"/>
      <c r="H24" s="386"/>
      <c r="I24" s="286"/>
      <c r="J24" s="386"/>
      <c r="K24" s="152"/>
    </row>
    <row r="25" spans="1:12">
      <c r="A25" s="281"/>
      <c r="B25" s="386"/>
      <c r="C25" s="288"/>
      <c r="D25" s="387"/>
      <c r="E25" s="288"/>
      <c r="F25" s="387"/>
      <c r="G25" s="288"/>
      <c r="H25" s="387"/>
      <c r="I25" s="285"/>
      <c r="J25" s="387"/>
      <c r="K25" s="152"/>
    </row>
    <row r="26" spans="1:12">
      <c r="A26" s="281"/>
      <c r="B26" s="386"/>
      <c r="C26" s="286"/>
      <c r="D26" s="386"/>
      <c r="E26" s="286"/>
      <c r="F26" s="386"/>
      <c r="G26" s="286"/>
      <c r="H26" s="386"/>
      <c r="I26" s="286"/>
      <c r="J26" s="386"/>
      <c r="K26" s="152"/>
    </row>
    <row r="27" spans="1:12">
      <c r="A27" s="281"/>
      <c r="B27" s="388"/>
      <c r="C27" s="281"/>
      <c r="D27" s="388"/>
      <c r="E27" s="281"/>
      <c r="F27" s="388"/>
      <c r="G27" s="286"/>
      <c r="H27" s="388"/>
      <c r="I27" s="286"/>
      <c r="J27" s="388"/>
      <c r="K27" s="152"/>
    </row>
    <row r="28" spans="1:12">
      <c r="A28" s="163" t="s">
        <v>54</v>
      </c>
      <c r="B28" s="265">
        <f>SUM(B21:B27)</f>
        <v>52239.479999999996</v>
      </c>
      <c r="C28" s="163" t="s">
        <v>54</v>
      </c>
      <c r="D28" s="266">
        <f>SUM(D21:D27)</f>
        <v>0</v>
      </c>
      <c r="E28" s="163" t="s">
        <v>54</v>
      </c>
      <c r="F28" s="267">
        <f>SUM(F21:F27)</f>
        <v>0</v>
      </c>
      <c r="G28" s="163" t="s">
        <v>54</v>
      </c>
      <c r="H28" s="267">
        <f>SUM(H21:H27)</f>
        <v>0</v>
      </c>
      <c r="I28" s="163" t="s">
        <v>54</v>
      </c>
      <c r="J28" s="266">
        <f>SUM(J21:J27)</f>
        <v>0</v>
      </c>
      <c r="K28" s="265">
        <f>SUM(B28+D28+F28+H28+J28)</f>
        <v>52239.479999999996</v>
      </c>
    </row>
    <row r="29" spans="1:12">
      <c r="A29" s="163" t="s">
        <v>214</v>
      </c>
      <c r="B29" s="265">
        <f>SUM(B19-B28)</f>
        <v>22403.490000000005</v>
      </c>
      <c r="C29" s="163" t="s">
        <v>214</v>
      </c>
      <c r="D29" s="265">
        <f>SUM(D19-D28)</f>
        <v>0</v>
      </c>
      <c r="E29" s="163" t="s">
        <v>214</v>
      </c>
      <c r="F29" s="265">
        <f>SUM(F19-F28)</f>
        <v>0</v>
      </c>
      <c r="G29" s="163" t="s">
        <v>214</v>
      </c>
      <c r="H29" s="265">
        <f>SUM(H19-H28)</f>
        <v>0</v>
      </c>
      <c r="I29" s="163" t="s">
        <v>214</v>
      </c>
      <c r="J29" s="265">
        <f>SUM(J19-J28)</f>
        <v>0</v>
      </c>
      <c r="K29" s="268">
        <f>SUM(B29+D29+F29+H29+J29)</f>
        <v>22403.490000000005</v>
      </c>
      <c r="L29" s="2" t="s">
        <v>309</v>
      </c>
    </row>
    <row r="30" spans="1:12">
      <c r="A30" s="163"/>
      <c r="B30" s="369" t="str">
        <f>IF(B29&lt;0,"Neg Bal","")</f>
        <v/>
      </c>
      <c r="C30" s="163"/>
      <c r="D30" s="369" t="str">
        <f>IF(D29&lt;0,"Neg Bal","")</f>
        <v/>
      </c>
      <c r="E30" s="163"/>
      <c r="F30" s="369" t="str">
        <f>IF(F29&lt;0,"Neg Bal","")</f>
        <v/>
      </c>
      <c r="G30" s="50"/>
      <c r="H30" s="369" t="str">
        <f>IF(H29&lt;0,"Neg Bal","")</f>
        <v/>
      </c>
      <c r="I30" s="50"/>
      <c r="J30" s="369" t="str">
        <f>IF(J29&lt;0,"Neg Bal","")</f>
        <v/>
      </c>
      <c r="K30" s="268">
        <f>SUM(K7+K18-K28)</f>
        <v>22403.490000000005</v>
      </c>
      <c r="L30" s="2" t="s">
        <v>309</v>
      </c>
    </row>
    <row r="31" spans="1:12">
      <c r="A31" s="50"/>
      <c r="B31" s="55"/>
      <c r="C31" s="50"/>
      <c r="D31" s="152"/>
      <c r="E31" s="50"/>
      <c r="F31" s="50"/>
      <c r="G31" s="360" t="s">
        <v>311</v>
      </c>
      <c r="H31" s="360"/>
      <c r="I31" s="360"/>
      <c r="J31" s="360"/>
      <c r="K31" s="50"/>
    </row>
    <row r="32" spans="1:12">
      <c r="A32" s="50"/>
      <c r="B32" s="55"/>
      <c r="C32" s="50"/>
      <c r="D32" s="50"/>
      <c r="E32" s="50"/>
      <c r="F32" s="50"/>
      <c r="G32" s="269"/>
      <c r="H32" s="50"/>
      <c r="I32" s="50"/>
      <c r="J32" s="50"/>
      <c r="K32" s="50"/>
    </row>
    <row r="33" spans="1:11">
      <c r="A33" s="50"/>
      <c r="B33" s="55"/>
      <c r="C33" s="50"/>
      <c r="D33" s="50"/>
      <c r="E33" s="63" t="s">
        <v>58</v>
      </c>
      <c r="F33" s="100">
        <v>26</v>
      </c>
      <c r="G33" s="50"/>
      <c r="H33" s="50"/>
      <c r="I33" s="50"/>
      <c r="J33" s="50"/>
      <c r="K33" s="50"/>
    </row>
    <row r="34" spans="1:11">
      <c r="B34" s="166"/>
    </row>
    <row r="35" spans="1:11">
      <c r="B35" s="166"/>
    </row>
    <row r="36" spans="1:11">
      <c r="B36" s="166"/>
    </row>
    <row r="37" spans="1:11">
      <c r="B37" s="166"/>
    </row>
    <row r="38" spans="1:11">
      <c r="B38" s="166"/>
    </row>
    <row r="39" spans="1:11">
      <c r="B39" s="166"/>
    </row>
    <row r="40" spans="1:11">
      <c r="B40" s="166"/>
    </row>
    <row r="41" spans="1:11">
      <c r="B41" s="166"/>
    </row>
  </sheetData>
  <mergeCells count="5">
    <mergeCell ref="I5:J5"/>
    <mergeCell ref="A5:B5"/>
    <mergeCell ref="C5:D5"/>
    <mergeCell ref="E5:F5"/>
    <mergeCell ref="G5:H5"/>
  </mergeCells>
  <phoneticPr fontId="10" type="noConversion"/>
  <pageMargins left="0.75" right="0.75" top="1" bottom="1" header="0.5" footer="0.5"/>
  <pageSetup scale="87" orientation="landscape" blackAndWhite="1"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A1:I67"/>
  <sheetViews>
    <sheetView view="pageBreakPreview" zoomScaleNormal="75" workbookViewId="0">
      <selection activeCell="K25" sqref="K25"/>
    </sheetView>
  </sheetViews>
  <sheetFormatPr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77734375" style="2" customWidth="1"/>
    <col min="7" max="7" width="12.77734375" style="2" customWidth="1"/>
    <col min="8" max="8" width="10.77734375" style="2" customWidth="1"/>
    <col min="9" max="16384" width="8.88671875" style="2"/>
  </cols>
  <sheetData>
    <row r="1" spans="1:9">
      <c r="A1" s="452" t="s">
        <v>111</v>
      </c>
      <c r="B1" s="452"/>
      <c r="C1" s="452"/>
      <c r="D1" s="452"/>
      <c r="E1" s="452"/>
      <c r="F1" s="452"/>
      <c r="G1" s="452"/>
      <c r="H1" s="452"/>
      <c r="I1" s="13"/>
    </row>
    <row r="2" spans="1:9" ht="18" customHeight="1">
      <c r="A2" s="21"/>
      <c r="B2" s="21"/>
      <c r="C2" s="21"/>
      <c r="D2" s="21"/>
      <c r="E2" s="21"/>
      <c r="F2" s="21"/>
      <c r="G2" s="21"/>
      <c r="H2" s="21">
        <f>inputPrYr!$C$5</f>
        <v>2013</v>
      </c>
    </row>
    <row r="3" spans="1:9" ht="18" customHeight="1">
      <c r="A3" s="446" t="s">
        <v>60</v>
      </c>
      <c r="B3" s="446"/>
      <c r="C3" s="446"/>
      <c r="D3" s="446"/>
      <c r="E3" s="446"/>
      <c r="F3" s="446"/>
      <c r="G3" s="446"/>
      <c r="H3" s="446"/>
    </row>
    <row r="4" spans="1:9">
      <c r="A4" s="446" t="str">
        <f>inputPrYr!D2</f>
        <v>City of Coffeyville</v>
      </c>
      <c r="B4" s="446"/>
      <c r="C4" s="446"/>
      <c r="D4" s="446"/>
      <c r="E4" s="446"/>
      <c r="F4" s="446"/>
      <c r="G4" s="446"/>
      <c r="H4" s="446"/>
    </row>
    <row r="5" spans="1:9" ht="18" customHeight="1">
      <c r="A5" s="472" t="s">
        <v>691</v>
      </c>
      <c r="B5" s="472"/>
      <c r="C5" s="472"/>
      <c r="D5" s="472"/>
      <c r="E5" s="472"/>
      <c r="F5" s="472"/>
      <c r="G5" s="472"/>
      <c r="H5" s="472"/>
    </row>
    <row r="6" spans="1:9" ht="16.5" customHeight="1">
      <c r="A6" s="446" t="s">
        <v>123</v>
      </c>
      <c r="B6" s="446"/>
      <c r="C6" s="446"/>
      <c r="D6" s="446"/>
      <c r="E6" s="446"/>
      <c r="F6" s="446"/>
      <c r="G6" s="446"/>
      <c r="H6" s="446"/>
    </row>
    <row r="7" spans="1:9" ht="16.5" customHeight="1">
      <c r="A7" s="21"/>
      <c r="B7" s="21"/>
      <c r="C7" s="21"/>
      <c r="D7" s="21"/>
      <c r="E7" s="21"/>
      <c r="F7" s="21"/>
      <c r="G7" s="21"/>
      <c r="H7" s="21"/>
    </row>
    <row r="8" spans="1:9" ht="16.5" customHeight="1">
      <c r="A8" s="472" t="s">
        <v>606</v>
      </c>
      <c r="B8" s="472"/>
      <c r="C8" s="472"/>
      <c r="D8" s="472"/>
      <c r="E8" s="472"/>
      <c r="F8" s="472"/>
      <c r="G8" s="472"/>
      <c r="H8" s="472"/>
    </row>
    <row r="9" spans="1:9" ht="16.5" customHeight="1">
      <c r="A9" s="446" t="s">
        <v>61</v>
      </c>
      <c r="B9" s="446"/>
      <c r="C9" s="446"/>
      <c r="D9" s="446"/>
      <c r="E9" s="446"/>
      <c r="F9" s="446"/>
      <c r="G9" s="446"/>
      <c r="H9" s="446"/>
    </row>
    <row r="10" spans="1:9">
      <c r="A10" s="49"/>
      <c r="B10" s="49"/>
      <c r="C10" s="49"/>
      <c r="D10" s="49"/>
      <c r="E10" s="49"/>
      <c r="F10" s="49"/>
      <c r="G10" s="49"/>
      <c r="H10" s="49"/>
    </row>
    <row r="11" spans="1:9">
      <c r="A11" s="103" t="s">
        <v>112</v>
      </c>
      <c r="B11" s="27"/>
      <c r="C11" s="27"/>
      <c r="D11" s="27"/>
      <c r="E11" s="27"/>
      <c r="F11" s="27"/>
      <c r="G11" s="27"/>
      <c r="H11" s="27"/>
    </row>
    <row r="12" spans="1:9">
      <c r="A12" s="26" t="str">
        <f>CONCATENATE("Proposed Budget ",H2," Expenditures and Amount of ",H2-1," Ad Valorem Tax establish the maximum limits of the ",H2," budget.")</f>
        <v>Proposed Budget 2013 Expenditures and Amount of 2012 Ad Valorem Tax establish the maximum limits of the 2013 budget.</v>
      </c>
      <c r="B12" s="27"/>
      <c r="C12" s="27"/>
      <c r="D12" s="27"/>
      <c r="E12" s="27"/>
      <c r="F12" s="27"/>
      <c r="G12" s="27"/>
      <c r="H12" s="27"/>
    </row>
    <row r="13" spans="1:9">
      <c r="A13" s="26" t="s">
        <v>183</v>
      </c>
      <c r="B13" s="27"/>
      <c r="C13" s="27"/>
      <c r="D13" s="27"/>
      <c r="E13" s="27"/>
      <c r="F13" s="27"/>
      <c r="G13" s="27"/>
      <c r="H13" s="27"/>
    </row>
    <row r="14" spans="1:9">
      <c r="A14" s="21"/>
      <c r="B14" s="96"/>
      <c r="C14" s="96"/>
      <c r="D14" s="96"/>
      <c r="E14" s="96"/>
      <c r="F14" s="96"/>
      <c r="G14" s="96"/>
      <c r="H14" s="96"/>
    </row>
    <row r="15" spans="1:9">
      <c r="A15" s="21"/>
      <c r="B15" s="104" t="str">
        <f>CONCATENATE("Prior Year Actual for ",H2-2,"")</f>
        <v>Prior Year Actual for 2011</v>
      </c>
      <c r="C15" s="30"/>
      <c r="D15" s="104" t="str">
        <f>CONCATENATE("Current Year Estimate for ",H2-1,"")</f>
        <v>Current Year Estimate for 2012</v>
      </c>
      <c r="E15" s="30"/>
      <c r="F15" s="28" t="str">
        <f>CONCATENATE("Proposed Budget for ",H2,"")</f>
        <v>Proposed Budget for 2013</v>
      </c>
      <c r="G15" s="29"/>
      <c r="H15" s="30"/>
    </row>
    <row r="16" spans="1:9" ht="21" customHeight="1">
      <c r="A16" s="21"/>
      <c r="B16" s="93"/>
      <c r="C16" s="33" t="s">
        <v>63</v>
      </c>
      <c r="D16" s="33"/>
      <c r="E16" s="33" t="s">
        <v>63</v>
      </c>
      <c r="F16" s="33" t="s">
        <v>341</v>
      </c>
      <c r="G16" s="33" t="str">
        <f>CONCATENATE("Amount of ",H2-1,"")</f>
        <v>Amount of 2012</v>
      </c>
      <c r="H16" s="33" t="s">
        <v>263</v>
      </c>
    </row>
    <row r="17" spans="1:8">
      <c r="A17" s="44" t="s">
        <v>64</v>
      </c>
      <c r="B17" s="36" t="s">
        <v>65</v>
      </c>
      <c r="C17" s="36" t="s">
        <v>66</v>
      </c>
      <c r="D17" s="36" t="s">
        <v>65</v>
      </c>
      <c r="E17" s="36" t="s">
        <v>66</v>
      </c>
      <c r="F17" s="36" t="s">
        <v>669</v>
      </c>
      <c r="G17" s="192" t="s">
        <v>42</v>
      </c>
      <c r="H17" s="36" t="s">
        <v>66</v>
      </c>
    </row>
    <row r="18" spans="1:8">
      <c r="A18" s="40" t="str">
        <f>inputPrYr!B16</f>
        <v>General</v>
      </c>
      <c r="B18" s="40">
        <f>IF('010'!$C$110&lt;&gt;0,'010'!$C$110,"  ")</f>
        <v>13360249.75</v>
      </c>
      <c r="C18" s="105">
        <f>IF(inputPrYr!D90&gt;0,inputPrYr!D90,"  ")</f>
        <v>36.470999999999997</v>
      </c>
      <c r="D18" s="40">
        <f>IF('010'!$D$110&lt;&gt;0,'010'!$D$110,"  ")</f>
        <v>13660439.559999999</v>
      </c>
      <c r="E18" s="105">
        <f>IF(inputOth!D20&gt;0,inputOth!D20,"  ")</f>
        <v>35.844999999999999</v>
      </c>
      <c r="F18" s="40">
        <f>IF('010'!$E$110&lt;&gt;0,'010'!$E$110,"  ")</f>
        <v>13483637.229999999</v>
      </c>
      <c r="G18" s="40">
        <f>IF('010'!$E$116&lt;&gt;0,'010'!$E$116,"  ")</f>
        <v>3687385.0100000035</v>
      </c>
      <c r="H18" s="105">
        <f>IF('010'!E116&gt;0,ROUND(G18/$F$53*1000,3),"  ")</f>
        <v>34.593000000000004</v>
      </c>
    </row>
    <row r="19" spans="1:8">
      <c r="A19" s="40" t="str">
        <f>inputPrYr!B17</f>
        <v>Bond &amp; Interest</v>
      </c>
      <c r="B19" s="40">
        <f>IF('090'!$C$66&lt;&gt;0,'090'!$C$66,"  ")</f>
        <v>1470912.83</v>
      </c>
      <c r="C19" s="105" t="str">
        <f>IF(inputPrYr!D91&gt;0,inputPrYr!D91,"  ")</f>
        <v xml:space="preserve">  </v>
      </c>
      <c r="D19" s="40">
        <f>IF('090'!$D$66&lt;&gt;0,'090'!$D$66,"  ")</f>
        <v>272965</v>
      </c>
      <c r="E19" s="105" t="str">
        <f>IF(inputOth!D21&gt;0,inputOth!D21,"  ")</f>
        <v xml:space="preserve">  </v>
      </c>
      <c r="F19" s="40">
        <f>IF('090'!$E$66&lt;&gt;0,'090'!$E$66,"  ")</f>
        <v>287194.83</v>
      </c>
      <c r="G19" s="40" t="str">
        <f>IF('090'!$E$72&lt;&gt;0,'090'!$E$72,"  ")</f>
        <v xml:space="preserve">  </v>
      </c>
      <c r="H19" s="105" t="str">
        <f>IF('090'!E72&gt;0,ROUND(G19/$F$53*1000,3),"  ")</f>
        <v xml:space="preserve">  </v>
      </c>
    </row>
    <row r="20" spans="1:8">
      <c r="A20" s="40" t="str">
        <f>IF(inputPrYr!$B19&gt;"  ",(inputPrYr!$B19),"  ")</f>
        <v>Library</v>
      </c>
      <c r="B20" s="40">
        <f>IF('020-040'!$C$31&gt;0,'020-040'!$C$31,"  ")</f>
        <v>343237.70999999996</v>
      </c>
      <c r="C20" s="105">
        <f>IF(inputPrYr!D92&gt;0,inputPrYr!D92,"  ")</f>
        <v>3.085</v>
      </c>
      <c r="D20" s="40">
        <f>IF('020-040'!$D$31&gt;0,'020-040'!$D$31,"  ")</f>
        <v>380928</v>
      </c>
      <c r="E20" s="105">
        <f>IF(inputOth!D22&gt;0,inputOth!D22,"  ")</f>
        <v>3.2690000000000001</v>
      </c>
      <c r="F20" s="40">
        <f>IF('020-040'!$E$31&gt;0,'020-040'!$E$31,"  ")</f>
        <v>389296.87</v>
      </c>
      <c r="G20" s="40">
        <f>IF('020-040'!$E$37&lt;&gt;0,'020-040'!$E$37,"  ")</f>
        <v>341857.04</v>
      </c>
      <c r="H20" s="105">
        <f>IF('020-040'!E37&lt;&gt;0,ROUND(G20/$F$53*1000,3),"  ")</f>
        <v>3.2069999999999999</v>
      </c>
    </row>
    <row r="21" spans="1:8">
      <c r="A21" s="40" t="str">
        <f>IF(inputPrYr!$B20&gt;"  ",(inputPrYr!$B20),"  ")</f>
        <v>Employee Benefits</v>
      </c>
      <c r="B21" s="40" t="str">
        <f>IF('020-040'!$C$66&gt;0,'020-040'!$C$66,"  ")</f>
        <v xml:space="preserve">  </v>
      </c>
      <c r="C21" s="105" t="str">
        <f>IF(inputPrYr!D93&gt;0,inputPrYr!D93,"  ")</f>
        <v xml:space="preserve">  </v>
      </c>
      <c r="D21" s="40" t="str">
        <f>IF('020-040'!$D$66&gt;0,'020-040'!$D$66,"  ")</f>
        <v xml:space="preserve">  </v>
      </c>
      <c r="E21" s="105" t="str">
        <f>IF(inputOth!D23&gt;0,inputOth!D23,"  ")</f>
        <v xml:space="preserve">  </v>
      </c>
      <c r="F21" s="40" t="str">
        <f>IF('020-040'!$E$66&gt;0,'020-040'!$E$66,"  ")</f>
        <v xml:space="preserve">  </v>
      </c>
      <c r="G21" s="40" t="str">
        <f>IF('020-040'!$E$72&lt;&gt;0,'020-040'!$E$72,"  ")</f>
        <v xml:space="preserve">  </v>
      </c>
      <c r="H21" s="105" t="str">
        <f>IF('020-040'!E72&lt;&gt;0,ROUND(G21/$F$53*1000,3),"  ")</f>
        <v xml:space="preserve">  </v>
      </c>
    </row>
    <row r="22" spans="1:8">
      <c r="A22" s="40" t="str">
        <f>IF(inputPrYr!$B32&gt;"  ",(inputPrYr!$B32),"  ")</f>
        <v>Special Highway</v>
      </c>
      <c r="B22" s="40" t="str">
        <f>IF('110'!$C$33&gt;0,'110'!$C$33,"  ")</f>
        <v xml:space="preserve">  </v>
      </c>
      <c r="C22" s="42"/>
      <c r="D22" s="40" t="str">
        <f>IF('110'!$D$33&gt;0,'110'!$D$33,"  ")</f>
        <v xml:space="preserve">  </v>
      </c>
      <c r="E22" s="42"/>
      <c r="F22" s="40" t="str">
        <f>IF('110'!$E$33&gt;0,'110'!$E$33,"  ")</f>
        <v xml:space="preserve">  </v>
      </c>
      <c r="G22" s="40"/>
      <c r="H22" s="105"/>
    </row>
    <row r="23" spans="1:8">
      <c r="A23" s="40" t="str">
        <f>IF(inputPrYr!$B33&gt;"  ",(inputPrYr!$B33),"  ")</f>
        <v>Local Alcohol Liquor</v>
      </c>
      <c r="B23" s="40">
        <f>IF('110'!$C$70&gt;0,'110'!$C$70,"  ")</f>
        <v>38117.189999999995</v>
      </c>
      <c r="C23" s="42"/>
      <c r="D23" s="40">
        <f>IF('110'!$D$70&gt;0,'110'!$D$70,"  ")</f>
        <v>45308</v>
      </c>
      <c r="E23" s="42"/>
      <c r="F23" s="40">
        <f>IF('110'!$E$70&gt;0,'110'!$E$70,"  ")</f>
        <v>125727.06</v>
      </c>
      <c r="G23" s="40"/>
      <c r="H23" s="105"/>
    </row>
    <row r="24" spans="1:8">
      <c r="A24" s="40" t="str">
        <f>IF(inputPrYr!$B34&gt;"  ",(inputPrYr!$B34),"  ")</f>
        <v>Youth Activity Center</v>
      </c>
      <c r="B24" s="40">
        <f>IF('140-190'!$C$33&gt;0,'140-190'!$C$33,"  ")</f>
        <v>36754.49</v>
      </c>
      <c r="C24" s="42"/>
      <c r="D24" s="40">
        <f>IF('140-190'!$D$33&gt;0,'140-190'!$D$33,"  ")</f>
        <v>41986.880000000005</v>
      </c>
      <c r="E24" s="42"/>
      <c r="F24" s="40">
        <f>IF('140-190'!$E$33&gt;0,'140-190'!$E$33,"  ")</f>
        <v>40642.049999999996</v>
      </c>
      <c r="G24" s="40"/>
      <c r="H24" s="105"/>
    </row>
    <row r="25" spans="1:8">
      <c r="A25" s="40" t="str">
        <f>IF(inputPrYr!$B35&gt;"  ",(inputPrYr!$B35),"  ")</f>
        <v>Community Development</v>
      </c>
      <c r="B25" s="40">
        <f>IF('140-190'!$C$68&gt;0,'140-190'!$C$68,"  ")</f>
        <v>600</v>
      </c>
      <c r="C25" s="42"/>
      <c r="D25" s="40">
        <f>IF('140-190'!$D$68&gt;0,'140-190'!$D$68,"  ")</f>
        <v>100</v>
      </c>
      <c r="E25" s="42"/>
      <c r="F25" s="40">
        <f>IF('140-190'!$E$68&gt;0,'140-190'!$E$68,"  ")</f>
        <v>168467.13999999998</v>
      </c>
      <c r="G25" s="40"/>
      <c r="H25" s="105"/>
    </row>
    <row r="26" spans="1:8">
      <c r="A26" s="40" t="str">
        <f>IF(inputPrYr!$B36&gt;"  ",(inputPrYr!$B36),"  ")</f>
        <v>Police VIN</v>
      </c>
      <c r="B26" s="40">
        <f>IF('250-280'!$C$32&gt;0,'250-280'!$C$32,"  ")</f>
        <v>14554.5</v>
      </c>
      <c r="C26" s="42"/>
      <c r="D26" s="40">
        <f>IF('250-280'!$D$32&gt;0,'250-280'!$D$32,"  ")</f>
        <v>21101</v>
      </c>
      <c r="E26" s="42"/>
      <c r="F26" s="40">
        <f>IF('250-280'!$E$32&gt;0,'250-280'!$E$32,"  ")</f>
        <v>22440.5</v>
      </c>
      <c r="G26" s="42"/>
      <c r="H26" s="42"/>
    </row>
    <row r="27" spans="1:8">
      <c r="A27" s="40" t="str">
        <f>IF(inputPrYr!$B37&gt;"  ",(inputPrYr!$B37),"  ")</f>
        <v>Memorial Hall Building</v>
      </c>
      <c r="B27" s="40">
        <f>IF('250-280'!$C$68&gt;0,'250-280'!$C$68,"  ")</f>
        <v>12834</v>
      </c>
      <c r="C27" s="42"/>
      <c r="D27" s="40" t="str">
        <f>IF('250-280'!$D$68&gt;0,'250-280'!$D$68,"  ")</f>
        <v xml:space="preserve">  </v>
      </c>
      <c r="E27" s="42"/>
      <c r="F27" s="40" t="str">
        <f>IF('250-280'!$E$68&gt;0,'250-280'!$E$68,"  ")</f>
        <v xml:space="preserve">  </v>
      </c>
      <c r="G27" s="42"/>
      <c r="H27" s="42"/>
    </row>
    <row r="28" spans="1:8">
      <c r="A28" s="40" t="str">
        <f>IF(inputPrYr!$B38&gt;"  ",(inputPrYr!$B38),"  ")</f>
        <v>Airport</v>
      </c>
      <c r="B28" s="40">
        <f>IF('360-370'!$C$30&gt;0,'360-370'!$C$30,"  ")</f>
        <v>28883.03</v>
      </c>
      <c r="C28" s="42"/>
      <c r="D28" s="40">
        <f>IF('360-370'!$D$30&gt;0,'360-370'!$D$30,"  ")</f>
        <v>32210</v>
      </c>
      <c r="E28" s="42"/>
      <c r="F28" s="40">
        <f>IF('360-370'!$E$30&gt;0,'360-370'!$E$30,"  ")</f>
        <v>48057.86</v>
      </c>
      <c r="G28" s="42"/>
      <c r="H28" s="42"/>
    </row>
    <row r="29" spans="1:8">
      <c r="A29" s="40" t="str">
        <f>IF(inputPrYr!$B39&gt;"  ",(inputPrYr!$B39),"  ")</f>
        <v>Hillcrest Golf Course</v>
      </c>
      <c r="B29" s="40">
        <f>IF('360-370'!$C$69&gt;0,'360-370'!$C$69,"  ")</f>
        <v>381758.86000000004</v>
      </c>
      <c r="C29" s="42"/>
      <c r="D29" s="40">
        <f>IF('360-370'!$D$69&gt;0,'360-370'!$D$69,"  ")</f>
        <v>371279.61</v>
      </c>
      <c r="E29" s="42"/>
      <c r="F29" s="40">
        <f>IF('360-370'!$E$69&gt;0,'360-370'!$E$69,"  ")</f>
        <v>343829.66000000003</v>
      </c>
      <c r="G29" s="42"/>
      <c r="H29" s="42"/>
    </row>
    <row r="30" spans="1:8">
      <c r="A30" s="40" t="str">
        <f>IF(inputPrYr!$B40&gt;"  ",(inputPrYr!$B40),"  ")</f>
        <v>Aquatic Center</v>
      </c>
      <c r="B30" s="40">
        <f>IF('450-530'!$C$32&gt;0,'450-530'!$C$32,"  ")</f>
        <v>106972.76</v>
      </c>
      <c r="C30" s="42"/>
      <c r="D30" s="40">
        <f>IF('450-530'!$D$32&gt;0,'450-530'!$D$32,"  ")</f>
        <v>118420.66</v>
      </c>
      <c r="E30" s="42"/>
      <c r="F30" s="40">
        <f>IF('450-530'!$E$32&gt;0,'450-530'!$E$32,"  ")</f>
        <v>127360.63</v>
      </c>
      <c r="G30" s="42"/>
      <c r="H30" s="42"/>
    </row>
    <row r="31" spans="1:8">
      <c r="A31" s="40" t="str">
        <f>IF(inputPrYr!$B41&gt;"  ",(inputPrYr!$B41),"  ")</f>
        <v>Sales Tax Bond Debt Service</v>
      </c>
      <c r="B31" s="40">
        <f>IF('450-530'!$C$68&gt;0,'450-530'!$C$68,"  ")</f>
        <v>417912.5</v>
      </c>
      <c r="C31" s="42"/>
      <c r="D31" s="40">
        <f>IF('450-530'!$D$68&gt;0,'450-530'!$D$68,"  ")</f>
        <v>416977.5</v>
      </c>
      <c r="E31" s="42"/>
      <c r="F31" s="40">
        <f>IF('450-530'!$E$68&gt;0,'450-530'!$E$68,"  ")</f>
        <v>420852.5</v>
      </c>
      <c r="G31" s="42"/>
      <c r="H31" s="42"/>
    </row>
    <row r="32" spans="1:8">
      <c r="A32" s="40" t="str">
        <f>IF(inputPrYr!B42&gt;"  ",(inputPrYr!B42),"  ")</f>
        <v xml:space="preserve">USD 445 Sales Tax </v>
      </c>
      <c r="B32" s="40">
        <f>IF('550-560'!C32&gt;0,'550-560'!C32,"  ")</f>
        <v>851526</v>
      </c>
      <c r="C32" s="42"/>
      <c r="D32" s="40">
        <f>IF('550-560'!D32&gt;0,'550-560'!D32,"  ")</f>
        <v>710321</v>
      </c>
      <c r="E32" s="42"/>
      <c r="F32" s="40">
        <f>IF('550-560'!E32&gt;0,'550-560'!E32,"  ")</f>
        <v>1000000</v>
      </c>
      <c r="G32" s="42"/>
      <c r="H32" s="42"/>
    </row>
    <row r="33" spans="1:8">
      <c r="A33" s="40" t="str">
        <f>IF(inputPrYr!B43&gt;"  ",(inputPrYr!B43),"  ")</f>
        <v>CRMC Sales Tax</v>
      </c>
      <c r="B33" s="40">
        <f>IF('550-560'!C68&gt;0,'550-560'!C68,"  ")</f>
        <v>560280.18999999994</v>
      </c>
      <c r="C33" s="42"/>
      <c r="D33" s="40">
        <f>IF('550-560'!D68&gt;0,'550-560'!D68,"  ")</f>
        <v>2855921.61</v>
      </c>
      <c r="E33" s="42"/>
      <c r="F33" s="40">
        <f>IF('550-560'!E68&gt;0,'550-560'!E68,"  ")</f>
        <v>1000000</v>
      </c>
      <c r="G33" s="42"/>
      <c r="H33" s="42"/>
    </row>
    <row r="34" spans="1:8">
      <c r="A34" s="40" t="str">
        <f>IF(inputPrYr!B44&gt;"  ",(inputPrYr!B44),"  ")</f>
        <v>Business Dev. Training Center (BDTC)</v>
      </c>
      <c r="B34" s="40">
        <f>IF('650-670'!C29&gt;0,'650-670'!C29,"  ")</f>
        <v>26285.43</v>
      </c>
      <c r="C34" s="42"/>
      <c r="D34" s="40">
        <f>IF('650-670'!D29&gt;0,'650-670'!D29,"  ")</f>
        <v>26800</v>
      </c>
      <c r="E34" s="42"/>
      <c r="F34" s="40">
        <f>IF('650-670'!E29&gt;0,'650-670'!E29,"  ")</f>
        <v>189657.78</v>
      </c>
      <c r="G34" s="42"/>
      <c r="H34" s="42"/>
    </row>
    <row r="35" spans="1:8">
      <c r="A35" s="40" t="str">
        <f>IF(inputPrYr!B45&gt;"  ",(inputPrYr!B45),"  ")</f>
        <v>Veterans Memorial Stadium (VMS)</v>
      </c>
      <c r="B35" s="40">
        <f>IF('650-670'!C68&gt;0,'650-670'!C68,"  ")</f>
        <v>9158.99</v>
      </c>
      <c r="C35" s="42"/>
      <c r="D35" s="40">
        <f>IF('650-670'!D68&gt;0,'650-670'!D68,"  ")</f>
        <v>10600</v>
      </c>
      <c r="E35" s="42"/>
      <c r="F35" s="40">
        <f>IF('650-670'!E68&gt;0,'650-670'!E68,"  ")</f>
        <v>28009.02</v>
      </c>
      <c r="G35" s="42"/>
      <c r="H35" s="42"/>
    </row>
    <row r="36" spans="1:8">
      <c r="A36" s="40" t="str">
        <f>IF(inputPrYr!B46&gt;"  ",(inputPrYr!B46),"  ")</f>
        <v>Refuse Utility</v>
      </c>
      <c r="B36" s="40">
        <f>IF('700-720'!C32&gt;0,'700-720'!C32,"  ")</f>
        <v>541423.64</v>
      </c>
      <c r="C36" s="42"/>
      <c r="D36" s="40">
        <f>IF('700-720'!D32&gt;0,'700-720'!D32,"  ")</f>
        <v>602681.19999999995</v>
      </c>
      <c r="E36" s="42"/>
      <c r="F36" s="40">
        <f>IF('700-720'!E32&gt;0,'700-720'!E32,"  ")</f>
        <v>800321.8899999999</v>
      </c>
      <c r="G36" s="42"/>
      <c r="H36" s="42"/>
    </row>
    <row r="37" spans="1:8">
      <c r="A37" s="40" t="str">
        <f>IF(inputPrYr!B47&gt;"  ",(inputPrYr!B47),"  ")</f>
        <v>Internet Utility</v>
      </c>
      <c r="B37" s="40">
        <f>IF('700-720'!C68&gt;0,'700-720'!C68,"  ")</f>
        <v>220085.66</v>
      </c>
      <c r="C37" s="42"/>
      <c r="D37" s="40">
        <f>IF('700-720'!D68&gt;0,'700-720'!D68,"  ")</f>
        <v>244657.78</v>
      </c>
      <c r="E37" s="42"/>
      <c r="F37" s="40">
        <f>IF('700-720'!E68&gt;0,'700-720'!E68,"  ")</f>
        <v>358617.08</v>
      </c>
      <c r="G37" s="42"/>
      <c r="H37" s="42"/>
    </row>
    <row r="38" spans="1:8">
      <c r="A38" s="40" t="str">
        <f>IF(inputPrYr!B48&gt;"  ",(inputPrYr!B48),"  ")</f>
        <v>Stormwater Utility</v>
      </c>
      <c r="B38" s="40">
        <f>IF('760-820'!C33&gt;0,'760-820'!C33,"  ")</f>
        <v>159975.46</v>
      </c>
      <c r="C38" s="42"/>
      <c r="D38" s="40">
        <f>IF('760-820'!D33&gt;0,'760-820'!D33,"  ")</f>
        <v>176902.41999999998</v>
      </c>
      <c r="E38" s="42"/>
      <c r="F38" s="40">
        <f>IF('760-820'!E33&gt;0,'760-820'!E33,"  ")</f>
        <v>262683.37</v>
      </c>
      <c r="G38" s="42"/>
      <c r="H38" s="42"/>
    </row>
    <row r="39" spans="1:8">
      <c r="A39" s="40" t="str">
        <f>IF(inputPrYr!B49&gt;"  ",(inputPrYr!B49),"  ")</f>
        <v>Electric Debt Service</v>
      </c>
      <c r="B39" s="40">
        <f>IF('760-820'!C68&gt;0,'760-820'!C68,"  ")</f>
        <v>1060097.22</v>
      </c>
      <c r="C39" s="42"/>
      <c r="D39" s="40">
        <f>IF('760-820'!D68&gt;0,'760-820'!D68,"  ")</f>
        <v>1093907.72</v>
      </c>
      <c r="E39" s="42"/>
      <c r="F39" s="40">
        <f>IF('760-820'!E68&gt;0,'760-820'!E68,"  ")</f>
        <v>1097969.72</v>
      </c>
      <c r="G39" s="42"/>
      <c r="H39" s="42"/>
    </row>
    <row r="40" spans="1:8">
      <c r="A40" s="40" t="str">
        <f>IF(inputPrYr!B50&gt;"  ",(inputPrYr!B50),"  ")</f>
        <v>Water/Wastewater Debt Service</v>
      </c>
      <c r="B40" s="40">
        <f>IF('920'!C33&gt;0,'920'!C33,"  ")</f>
        <v>3459153.17</v>
      </c>
      <c r="C40" s="42"/>
      <c r="D40" s="40">
        <f>IF('920'!D33&gt;0,'920'!D33,"  ")</f>
        <v>1172726.8400000001</v>
      </c>
      <c r="E40" s="42"/>
      <c r="F40" s="40">
        <f>IF('920'!E33&gt;0,'920'!E33,"  ")</f>
        <v>1169389.3500000001</v>
      </c>
      <c r="G40" s="42"/>
      <c r="H40" s="42"/>
    </row>
    <row r="41" spans="1:8">
      <c r="A41" s="40" t="str">
        <f>IF(inputPrYr!B52&gt;"  ",(inputPrYr!B52),"  ")</f>
        <v>Electric Utility</v>
      </c>
      <c r="B41" s="40">
        <f>IF('800'!C68&gt;0,'800'!C68,"  ")</f>
        <v>48051942.420000002</v>
      </c>
      <c r="C41" s="42"/>
      <c r="D41" s="40">
        <f>IF('800'!D68&gt;0,'800'!D68,"  ")</f>
        <v>50808066.819999993</v>
      </c>
      <c r="E41" s="42"/>
      <c r="F41" s="40">
        <f>IF('800'!E68&gt;0,'800'!E68,"  ")</f>
        <v>57455481.490000002</v>
      </c>
      <c r="G41" s="42"/>
      <c r="H41" s="42"/>
    </row>
    <row r="42" spans="1:8">
      <c r="A42" s="40" t="str">
        <f>IF(inputPrYr!B53&gt;"  ",(inputPrYr!B53),"  ")</f>
        <v>Water/Wastewater Utility</v>
      </c>
      <c r="B42" s="40">
        <f>IF('900'!C68&gt;0,'900'!C68,"  ")</f>
        <v>5017787.0500000007</v>
      </c>
      <c r="C42" s="42"/>
      <c r="D42" s="40">
        <f>IF('900'!D68&gt;0,'900'!D68,"  ")</f>
        <v>5209672.83</v>
      </c>
      <c r="E42" s="42"/>
      <c r="F42" s="40">
        <f>IF('900'!E68&gt;0,'900'!E68,"  ")</f>
        <v>5851404.4900000002</v>
      </c>
      <c r="G42" s="42"/>
      <c r="H42" s="42"/>
    </row>
    <row r="43" spans="1:8">
      <c r="A43" s="40" t="str">
        <f>IF(inputPrYr!$B57&gt;"  ",(NonBudA!$A3),"  ")</f>
        <v>Non-Budgeted Funds-A</v>
      </c>
      <c r="B43" s="40">
        <f>IF(NonBudA!$K$28&gt;0,NonBudA!$K$28,"  ")</f>
        <v>2136132.21</v>
      </c>
      <c r="C43" s="42"/>
      <c r="D43" s="40"/>
      <c r="E43" s="42"/>
      <c r="F43" s="40"/>
      <c r="G43" s="42"/>
      <c r="H43" s="42"/>
    </row>
    <row r="44" spans="1:8">
      <c r="A44" s="40" t="str">
        <f>IF(inputPrYr!$B63&gt;"  ",(NonBudB!$A3),"  ")</f>
        <v>Non-Budgeted Funds-B</v>
      </c>
      <c r="B44" s="40">
        <f>IF(NonBudB!$K$28&gt;0,NonBudB!$K$28,"  ")</f>
        <v>749990.36</v>
      </c>
      <c r="C44" s="42"/>
      <c r="D44" s="40"/>
      <c r="E44" s="42"/>
      <c r="F44" s="40"/>
      <c r="G44" s="42"/>
      <c r="H44" s="42"/>
    </row>
    <row r="45" spans="1:8">
      <c r="A45" s="40" t="str">
        <f>IF(inputPrYr!$B69&gt;"  ",(NonBudC!$A3),"  ")</f>
        <v>Non-Budgeted Funds-C</v>
      </c>
      <c r="B45" s="40">
        <f>IF(NonBudC!$K$30&gt;0,NonBudC!$K$30,"  ")</f>
        <v>2464078.39</v>
      </c>
      <c r="C45" s="42"/>
      <c r="D45" s="40"/>
      <c r="E45" s="42"/>
      <c r="F45" s="40"/>
      <c r="G45" s="42"/>
      <c r="H45" s="42"/>
    </row>
    <row r="46" spans="1:8">
      <c r="A46" s="40" t="str">
        <f>IF(inputPrYr!$B75&gt;"  ",(NonBudD!$A3),"  ")</f>
        <v>Non-Budgeted Funds-D</v>
      </c>
      <c r="B46" s="40">
        <f>IF(NonBudD!$K$28&gt;0,NonBudD!$K$28,"  ")</f>
        <v>3420734.38</v>
      </c>
      <c r="C46" s="42"/>
      <c r="D46" s="40"/>
      <c r="E46" s="42"/>
      <c r="F46" s="40"/>
      <c r="G46" s="42"/>
      <c r="H46" s="42"/>
    </row>
    <row r="47" spans="1:8">
      <c r="A47" s="40" t="str">
        <f>IF(inputPrYr!$B81&gt;"  ",(NonBudE!$A3),"  ")</f>
        <v>Non-Budgeted Funds-E</v>
      </c>
      <c r="B47" s="40">
        <f>IF(NonBudE!$K$28&gt;0,NonBudE!$K$28,"  ")</f>
        <v>52239.479999999996</v>
      </c>
      <c r="C47" s="42"/>
      <c r="D47" s="40"/>
      <c r="E47" s="42"/>
      <c r="F47" s="40"/>
      <c r="G47" s="42"/>
      <c r="H47" s="42"/>
    </row>
    <row r="48" spans="1:8">
      <c r="A48" s="44" t="s">
        <v>29</v>
      </c>
      <c r="B48" s="40">
        <f>SUM(B18:B47)</f>
        <v>84993677.669999987</v>
      </c>
      <c r="C48" s="105">
        <f>SUM(C18:C21)</f>
        <v>39.555999999999997</v>
      </c>
      <c r="D48" s="40">
        <f>SUM(D18:D47)</f>
        <v>78273974.429999992</v>
      </c>
      <c r="E48" s="105">
        <f>SUM(E18:E21)</f>
        <v>39.113999999999997</v>
      </c>
      <c r="F48" s="40">
        <f>SUM(F18:F47)</f>
        <v>84671040.519999996</v>
      </c>
      <c r="G48" s="40">
        <f>SUM(G18:G46)</f>
        <v>4029242.0500000035</v>
      </c>
      <c r="H48" s="105">
        <f>SUM(H18:H21)</f>
        <v>37.800000000000004</v>
      </c>
    </row>
    <row r="49" spans="1:8">
      <c r="A49" s="25" t="s">
        <v>67</v>
      </c>
      <c r="B49" s="120">
        <f>+transfers!C50</f>
        <v>14715205.639999999</v>
      </c>
      <c r="C49" s="72"/>
      <c r="D49" s="120">
        <f>+transfers!D50</f>
        <v>15001709.280000001</v>
      </c>
      <c r="E49" s="72"/>
      <c r="F49" s="120">
        <f>+transfers!E50</f>
        <v>15679200.710000001</v>
      </c>
      <c r="G49" s="21"/>
      <c r="H49" s="21"/>
    </row>
    <row r="50" spans="1:8" ht="16.5" thickBot="1">
      <c r="A50" s="25" t="s">
        <v>68</v>
      </c>
      <c r="B50" s="73">
        <f>B48-B49</f>
        <v>70278472.029999986</v>
      </c>
      <c r="C50" s="21"/>
      <c r="D50" s="73">
        <f>D48-D49</f>
        <v>63272265.149999991</v>
      </c>
      <c r="E50" s="94"/>
      <c r="F50" s="73">
        <f>F48-F49</f>
        <v>68991839.810000002</v>
      </c>
      <c r="G50" s="21"/>
      <c r="H50" s="21"/>
    </row>
    <row r="51" spans="1:8" ht="16.5" thickTop="1">
      <c r="A51" s="25" t="s">
        <v>69</v>
      </c>
      <c r="B51" s="120">
        <f>inputPrYr!E104</f>
        <v>4236286</v>
      </c>
      <c r="C51" s="106"/>
      <c r="D51" s="120">
        <f>inputPrYr!D29</f>
        <v>4224168</v>
      </c>
      <c r="E51" s="106"/>
      <c r="F51" s="121" t="s">
        <v>30</v>
      </c>
      <c r="G51" s="21"/>
      <c r="H51" s="21"/>
    </row>
    <row r="52" spans="1:8">
      <c r="A52" s="25" t="s">
        <v>70</v>
      </c>
      <c r="B52" s="39"/>
      <c r="C52" s="21"/>
      <c r="D52" s="39"/>
      <c r="E52" s="21"/>
      <c r="F52" s="39"/>
      <c r="G52" s="21"/>
      <c r="H52" s="21"/>
    </row>
    <row r="53" spans="1:8">
      <c r="A53" s="25" t="s">
        <v>71</v>
      </c>
      <c r="B53" s="120">
        <f>inputPrYr!E105</f>
        <v>107095234</v>
      </c>
      <c r="C53" s="21"/>
      <c r="D53" s="120">
        <f>inputOth!E34</f>
        <v>107996549</v>
      </c>
      <c r="E53" s="21"/>
      <c r="F53" s="120">
        <f>inputOth!E6</f>
        <v>106592328</v>
      </c>
      <c r="G53" s="21"/>
      <c r="H53" s="21"/>
    </row>
    <row r="54" spans="1:8" ht="13.5" customHeight="1">
      <c r="A54" s="21"/>
      <c r="B54" s="21"/>
      <c r="C54" s="21"/>
      <c r="D54" s="21"/>
      <c r="E54" s="21"/>
      <c r="F54" s="21"/>
      <c r="G54" s="21"/>
      <c r="H54" s="21"/>
    </row>
    <row r="55" spans="1:8">
      <c r="A55" s="25" t="s">
        <v>72</v>
      </c>
      <c r="B55" s="21"/>
      <c r="C55" s="21"/>
      <c r="D55" s="21"/>
      <c r="E55" s="21"/>
      <c r="F55" s="21"/>
      <c r="G55" s="21"/>
      <c r="H55" s="21"/>
    </row>
    <row r="56" spans="1:8" ht="18.75" customHeight="1">
      <c r="A56" s="25" t="s">
        <v>73</v>
      </c>
      <c r="B56" s="107">
        <f>H2-3</f>
        <v>2010</v>
      </c>
      <c r="C56" s="21"/>
      <c r="D56" s="107">
        <f>H2-2</f>
        <v>2011</v>
      </c>
      <c r="E56" s="21"/>
      <c r="F56" s="107">
        <f>H2-1</f>
        <v>2012</v>
      </c>
      <c r="G56" s="21"/>
      <c r="H56" s="21"/>
    </row>
    <row r="57" spans="1:8" ht="18.75" customHeight="1">
      <c r="A57" s="25" t="s">
        <v>74</v>
      </c>
      <c r="B57" s="193">
        <f>inputPrYr!D109</f>
        <v>10215000</v>
      </c>
      <c r="C57" s="133"/>
      <c r="D57" s="193">
        <f>inputPrYr!E109</f>
        <v>9310000</v>
      </c>
      <c r="E57" s="133"/>
      <c r="F57" s="193">
        <f>debt!F19</f>
        <v>14265000</v>
      </c>
      <c r="G57" s="21"/>
      <c r="H57" s="21"/>
    </row>
    <row r="58" spans="1:8" ht="18.75" customHeight="1">
      <c r="A58" s="25" t="s">
        <v>75</v>
      </c>
      <c r="B58" s="193">
        <f>inputPrYr!D110</f>
        <v>0</v>
      </c>
      <c r="C58" s="133"/>
      <c r="D58" s="193">
        <f>inputPrYr!E110</f>
        <v>0</v>
      </c>
      <c r="E58" s="133"/>
      <c r="F58" s="194">
        <f>debt!F26</f>
        <v>1235000</v>
      </c>
      <c r="G58" s="21"/>
      <c r="H58" s="21"/>
    </row>
    <row r="59" spans="1:8" ht="18.75" customHeight="1">
      <c r="A59" s="21" t="s">
        <v>94</v>
      </c>
      <c r="B59" s="193">
        <f>inputPrYr!D111</f>
        <v>14559767</v>
      </c>
      <c r="C59" s="133"/>
      <c r="D59" s="193">
        <f>inputPrYr!E111</f>
        <v>14264168</v>
      </c>
      <c r="E59" s="133"/>
      <c r="F59" s="194">
        <f>debt!F37</f>
        <v>7909500.4800000004</v>
      </c>
      <c r="G59" s="21"/>
      <c r="H59" s="21"/>
    </row>
    <row r="60" spans="1:8" ht="18" customHeight="1">
      <c r="A60" s="25" t="s">
        <v>184</v>
      </c>
      <c r="B60" s="193">
        <f>inputPrYr!D112</f>
        <v>2028561</v>
      </c>
      <c r="C60" s="133"/>
      <c r="D60" s="193">
        <f>inputPrYr!E112</f>
        <v>1803242</v>
      </c>
      <c r="E60" s="133"/>
      <c r="F60" s="194">
        <f>lpform!F28</f>
        <v>1671294.78</v>
      </c>
      <c r="G60" s="21"/>
      <c r="H60" s="21"/>
    </row>
    <row r="61" spans="1:8" ht="19.5" customHeight="1" thickBot="1">
      <c r="A61" s="25" t="s">
        <v>76</v>
      </c>
      <c r="B61" s="195">
        <f>SUM(B57:B60)</f>
        <v>26803328</v>
      </c>
      <c r="C61" s="133"/>
      <c r="D61" s="195">
        <f>SUM(D57:D60)</f>
        <v>25377410</v>
      </c>
      <c r="E61" s="133"/>
      <c r="F61" s="195">
        <f>SUM(F57:F60)</f>
        <v>25080795.260000002</v>
      </c>
      <c r="G61" s="21"/>
      <c r="H61" s="21"/>
    </row>
    <row r="62" spans="1:8" ht="18.75" customHeight="1" thickTop="1">
      <c r="A62" s="25" t="s">
        <v>77</v>
      </c>
      <c r="B62" s="21"/>
      <c r="C62" s="21"/>
      <c r="D62" s="21"/>
      <c r="E62" s="21"/>
      <c r="F62" s="21"/>
      <c r="G62" s="21"/>
      <c r="H62" s="21"/>
    </row>
    <row r="63" spans="1:8">
      <c r="A63" s="21"/>
      <c r="B63" s="21"/>
      <c r="C63" s="21"/>
      <c r="D63" s="21"/>
      <c r="E63" s="21"/>
      <c r="F63" s="21"/>
      <c r="G63" s="21"/>
      <c r="H63" s="21"/>
    </row>
    <row r="64" spans="1:8">
      <c r="A64" s="31"/>
      <c r="B64" s="31"/>
      <c r="C64" s="20"/>
      <c r="D64" s="21"/>
      <c r="E64" s="21"/>
      <c r="F64" s="21"/>
      <c r="G64" s="21"/>
      <c r="H64" s="21"/>
    </row>
    <row r="65" spans="1:8">
      <c r="A65" s="24" t="s">
        <v>234</v>
      </c>
      <c r="B65" s="470" t="s">
        <v>506</v>
      </c>
      <c r="C65" s="471"/>
      <c r="D65" s="21"/>
      <c r="E65" s="21"/>
      <c r="F65" s="21"/>
      <c r="G65" s="21"/>
      <c r="H65" s="21"/>
    </row>
    <row r="66" spans="1:8">
      <c r="A66" s="21"/>
      <c r="B66" s="21"/>
      <c r="C66" s="21"/>
      <c r="D66" s="21"/>
      <c r="E66" s="21"/>
      <c r="F66" s="21"/>
      <c r="G66" s="21"/>
      <c r="H66" s="21"/>
    </row>
    <row r="67" spans="1:8">
      <c r="A67" s="21"/>
      <c r="B67" s="21"/>
      <c r="C67" s="23" t="s">
        <v>49</v>
      </c>
      <c r="D67" s="100">
        <v>27</v>
      </c>
      <c r="E67" s="21"/>
      <c r="F67" s="21"/>
      <c r="G67" s="21"/>
      <c r="H67" s="21"/>
    </row>
  </sheetData>
  <mergeCells count="8">
    <mergeCell ref="B65:C65"/>
    <mergeCell ref="A1:H1"/>
    <mergeCell ref="A4:H4"/>
    <mergeCell ref="A5:H5"/>
    <mergeCell ref="A6:H6"/>
    <mergeCell ref="A8:H8"/>
    <mergeCell ref="A9:H9"/>
    <mergeCell ref="A3:H3"/>
  </mergeCells>
  <phoneticPr fontId="0" type="noConversion"/>
  <pageMargins left="0.5" right="0.5" top="1" bottom="0.5" header="0.5" footer="0.5"/>
  <pageSetup scale="65" orientation="portrait" blackAndWhite="1"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F75"/>
  <sheetViews>
    <sheetView view="pageBreakPreview" zoomScaleNormal="100" workbookViewId="0">
      <selection activeCell="D25" sqref="D25"/>
    </sheetView>
  </sheetViews>
  <sheetFormatPr defaultRowHeight="15"/>
  <cols>
    <col min="1" max="1" width="10.109375" customWidth="1"/>
    <col min="2" max="2" width="16.33203125" customWidth="1"/>
    <col min="3" max="3" width="11.77734375" customWidth="1"/>
    <col min="4" max="4" width="12.77734375" customWidth="1"/>
    <col min="5" max="5" width="11.77734375" customWidth="1"/>
  </cols>
  <sheetData>
    <row r="1" spans="1:6" ht="15.75">
      <c r="A1" s="72" t="str">
        <f>inputPrYr!D2</f>
        <v>City of Coffeyville</v>
      </c>
      <c r="B1" s="21"/>
      <c r="C1" s="21"/>
      <c r="D1" s="21"/>
      <c r="E1" s="21"/>
      <c r="F1" s="21">
        <f>inputPrYr!C5</f>
        <v>2013</v>
      </c>
    </row>
    <row r="2" spans="1:6" ht="15.75">
      <c r="A2" s="21"/>
      <c r="B2" s="21"/>
      <c r="C2" s="21"/>
      <c r="D2" s="21"/>
      <c r="E2" s="21"/>
      <c r="F2" s="21"/>
    </row>
    <row r="3" spans="1:6" ht="15.75">
      <c r="A3" s="21"/>
      <c r="B3" s="456" t="str">
        <f>CONCATENATE("",F1," Neighborhood Revitalization Rebate")</f>
        <v>2013 Neighborhood Revitalization Rebate</v>
      </c>
      <c r="C3" s="474"/>
      <c r="D3" s="474"/>
      <c r="E3" s="474"/>
      <c r="F3" s="21"/>
    </row>
    <row r="4" spans="1:6" ht="15.75">
      <c r="A4" s="21"/>
      <c r="B4" s="21"/>
      <c r="C4" s="21"/>
      <c r="D4" s="21"/>
      <c r="E4" s="21"/>
      <c r="F4" s="21"/>
    </row>
    <row r="5" spans="1:6" ht="51" customHeight="1">
      <c r="A5" s="21"/>
      <c r="B5" s="363" t="str">
        <f>CONCATENATE("Budgeted Funds for ",F1-1,"")</f>
        <v>Budgeted Funds for 2012</v>
      </c>
      <c r="C5" s="340" t="str">
        <f>CONCATENATE("",F1-1," Ad Valorem before Rebate")</f>
        <v>2012 Ad Valorem before Rebate</v>
      </c>
      <c r="D5" s="341" t="str">
        <f>CONCATENATE("",F1-1," Mil Rate before Rebate")</f>
        <v>2012 Mil Rate before Rebate</v>
      </c>
      <c r="E5" s="342" t="str">
        <f>CONCATENATE("Estimate ",F1," NR Rebate")</f>
        <v>Estimate 2013 NR Rebate</v>
      </c>
      <c r="F5" s="136"/>
    </row>
    <row r="6" spans="1:6" ht="15.75">
      <c r="A6" s="21"/>
      <c r="B6" s="44" t="str">
        <f>inputPrYr!B16</f>
        <v>General</v>
      </c>
      <c r="C6" s="358"/>
      <c r="D6" s="343" t="str">
        <f>IF(C6&gt;0,C6/$D$23,"")</f>
        <v/>
      </c>
      <c r="E6" s="210" t="str">
        <f>IF(C6&gt;0,D6*$D$27,"")</f>
        <v/>
      </c>
      <c r="F6" s="136"/>
    </row>
    <row r="7" spans="1:6" ht="15.75">
      <c r="A7" s="21"/>
      <c r="B7" s="44" t="str">
        <f>inputPrYr!B17</f>
        <v>Bond &amp; Interest</v>
      </c>
      <c r="C7" s="358"/>
      <c r="D7" s="343" t="str">
        <f t="shared" ref="D7:D17" si="0">IF(C7&gt;0,C7/$D$23,"")</f>
        <v/>
      </c>
      <c r="E7" s="210" t="str">
        <f t="shared" ref="E7:E17" si="1">IF(C7&gt;0,D7*$D$27,"")</f>
        <v/>
      </c>
      <c r="F7" s="136"/>
    </row>
    <row r="8" spans="1:6" ht="15.75">
      <c r="A8" s="21"/>
      <c r="B8" s="40" t="str">
        <f>inputPrYr!B19</f>
        <v>Library</v>
      </c>
      <c r="C8" s="358"/>
      <c r="D8" s="343" t="str">
        <f t="shared" si="0"/>
        <v/>
      </c>
      <c r="E8" s="210" t="str">
        <f t="shared" si="1"/>
        <v/>
      </c>
      <c r="F8" s="136"/>
    </row>
    <row r="9" spans="1:6" ht="15.75">
      <c r="A9" s="21"/>
      <c r="B9" s="40" t="str">
        <f>inputPrYr!B20</f>
        <v>Employee Benefits</v>
      </c>
      <c r="C9" s="358"/>
      <c r="D9" s="343" t="str">
        <f t="shared" si="0"/>
        <v/>
      </c>
      <c r="E9" s="210" t="str">
        <f t="shared" si="1"/>
        <v/>
      </c>
      <c r="F9" s="136"/>
    </row>
    <row r="10" spans="1:6" ht="15.75">
      <c r="A10" s="21"/>
      <c r="B10" s="40">
        <f>inputPrYr!B21</f>
        <v>0</v>
      </c>
      <c r="C10" s="358"/>
      <c r="D10" s="343" t="str">
        <f t="shared" si="0"/>
        <v/>
      </c>
      <c r="E10" s="210" t="str">
        <f t="shared" si="1"/>
        <v/>
      </c>
      <c r="F10" s="136"/>
    </row>
    <row r="11" spans="1:6" ht="15.75">
      <c r="A11" s="21"/>
      <c r="B11" s="40">
        <f>inputPrYr!B22</f>
        <v>0</v>
      </c>
      <c r="C11" s="358"/>
      <c r="D11" s="343" t="str">
        <f t="shared" si="0"/>
        <v/>
      </c>
      <c r="E11" s="210" t="str">
        <f t="shared" si="1"/>
        <v/>
      </c>
      <c r="F11" s="136"/>
    </row>
    <row r="12" spans="1:6" ht="15.75">
      <c r="A12" s="21"/>
      <c r="B12" s="40">
        <f>inputPrYr!B23</f>
        <v>0</v>
      </c>
      <c r="C12" s="359"/>
      <c r="D12" s="343" t="str">
        <f t="shared" si="0"/>
        <v/>
      </c>
      <c r="E12" s="210" t="str">
        <f t="shared" si="1"/>
        <v/>
      </c>
      <c r="F12" s="136"/>
    </row>
    <row r="13" spans="1:6" ht="15.75">
      <c r="A13" s="21"/>
      <c r="B13" s="40">
        <f>inputPrYr!B24</f>
        <v>0</v>
      </c>
      <c r="C13" s="359"/>
      <c r="D13" s="343" t="str">
        <f t="shared" si="0"/>
        <v/>
      </c>
      <c r="E13" s="210" t="str">
        <f t="shared" si="1"/>
        <v/>
      </c>
      <c r="F13" s="136"/>
    </row>
    <row r="14" spans="1:6" ht="15.75">
      <c r="A14" s="21"/>
      <c r="B14" s="40">
        <f>inputPrYr!B25</f>
        <v>0</v>
      </c>
      <c r="C14" s="359"/>
      <c r="D14" s="343" t="str">
        <f t="shared" si="0"/>
        <v/>
      </c>
      <c r="E14" s="210" t="str">
        <f t="shared" si="1"/>
        <v/>
      </c>
      <c r="F14" s="136"/>
    </row>
    <row r="15" spans="1:6" ht="15.75">
      <c r="A15" s="21"/>
      <c r="B15" s="40">
        <f>inputPrYr!B26</f>
        <v>0</v>
      </c>
      <c r="C15" s="359"/>
      <c r="D15" s="343" t="str">
        <f t="shared" si="0"/>
        <v/>
      </c>
      <c r="E15" s="210" t="str">
        <f t="shared" si="1"/>
        <v/>
      </c>
      <c r="F15" s="136"/>
    </row>
    <row r="16" spans="1:6" ht="15.75">
      <c r="A16" s="21"/>
      <c r="B16" s="40">
        <f>inputPrYr!B27</f>
        <v>0</v>
      </c>
      <c r="C16" s="359"/>
      <c r="D16" s="343" t="str">
        <f t="shared" si="0"/>
        <v/>
      </c>
      <c r="E16" s="210" t="str">
        <f t="shared" si="1"/>
        <v/>
      </c>
      <c r="F16" s="136"/>
    </row>
    <row r="17" spans="1:6" ht="15.75">
      <c r="A17" s="21"/>
      <c r="B17" s="40">
        <f>inputPrYr!B28</f>
        <v>0</v>
      </c>
      <c r="C17" s="359"/>
      <c r="D17" s="343" t="str">
        <f t="shared" si="0"/>
        <v/>
      </c>
      <c r="E17" s="210" t="str">
        <f t="shared" si="1"/>
        <v/>
      </c>
      <c r="F17" s="136"/>
    </row>
    <row r="18" spans="1:6" ht="16.5" thickBot="1">
      <c r="A18" s="21"/>
      <c r="B18" s="42" t="s">
        <v>36</v>
      </c>
      <c r="C18" s="344">
        <f>SUM(C6:C17)</f>
        <v>0</v>
      </c>
      <c r="D18" s="345">
        <f>SUM(D6:D17)</f>
        <v>0</v>
      </c>
      <c r="E18" s="344">
        <f>SUM(E6:E17)</f>
        <v>0</v>
      </c>
      <c r="F18" s="136"/>
    </row>
    <row r="19" spans="1:6" ht="16.5" thickTop="1">
      <c r="A19" s="21"/>
      <c r="B19" s="21"/>
      <c r="C19" s="21"/>
      <c r="D19" s="21"/>
      <c r="E19" s="21"/>
      <c r="F19" s="136"/>
    </row>
    <row r="20" spans="1:6" ht="15.75">
      <c r="A20" s="21"/>
      <c r="B20" s="21"/>
      <c r="C20" s="21"/>
      <c r="D20" s="21"/>
      <c r="E20" s="21"/>
      <c r="F20" s="136"/>
    </row>
    <row r="21" spans="1:6" ht="15.75">
      <c r="A21" s="475" t="str">
        <f>CONCATENATE("",F1-1," Net Valuation (July 1 less NR Valuation)")</f>
        <v>2012 Net Valuation (July 1 less NR Valuation)</v>
      </c>
      <c r="B21" s="465"/>
      <c r="C21" s="475"/>
      <c r="D21" s="193">
        <f>inputOth!E6-inputOth!E16</f>
        <v>106592328</v>
      </c>
      <c r="E21" s="21"/>
      <c r="F21" s="136"/>
    </row>
    <row r="22" spans="1:6" ht="15.75">
      <c r="A22" s="21"/>
      <c r="B22" s="21"/>
      <c r="C22" s="21"/>
      <c r="D22" s="21"/>
      <c r="E22" s="21"/>
      <c r="F22" s="136"/>
    </row>
    <row r="23" spans="1:6" ht="15.75">
      <c r="A23" s="21"/>
      <c r="B23" s="475" t="s">
        <v>347</v>
      </c>
      <c r="C23" s="475"/>
      <c r="D23" s="346">
        <f>IF(D21&gt;0,(D21*0.001),"")</f>
        <v>106592.32800000001</v>
      </c>
      <c r="E23" s="21"/>
      <c r="F23" s="136"/>
    </row>
    <row r="24" spans="1:6" ht="15.75">
      <c r="A24" s="21"/>
      <c r="B24" s="23"/>
      <c r="C24" s="23"/>
      <c r="D24" s="347"/>
      <c r="E24" s="21"/>
      <c r="F24" s="136"/>
    </row>
    <row r="25" spans="1:6" ht="15.75">
      <c r="A25" s="473" t="s">
        <v>348</v>
      </c>
      <c r="B25" s="476"/>
      <c r="C25" s="476"/>
      <c r="D25" s="348">
        <f>inputOth!E16</f>
        <v>0</v>
      </c>
      <c r="E25" s="168"/>
      <c r="F25" s="168"/>
    </row>
    <row r="26" spans="1:6">
      <c r="A26" s="168"/>
      <c r="B26" s="168"/>
      <c r="C26" s="168"/>
      <c r="D26" s="349"/>
      <c r="E26" s="168"/>
      <c r="F26" s="168"/>
    </row>
    <row r="27" spans="1:6" ht="15.75">
      <c r="A27" s="168"/>
      <c r="B27" s="473" t="s">
        <v>349</v>
      </c>
      <c r="C27" s="465"/>
      <c r="D27" s="357" t="str">
        <f>IF(D25&gt;0,(D25*0.001),"")</f>
        <v/>
      </c>
      <c r="E27" s="168"/>
      <c r="F27" s="168"/>
    </row>
    <row r="28" spans="1:6">
      <c r="A28" s="168"/>
      <c r="B28" s="168"/>
      <c r="C28" s="168"/>
      <c r="D28" s="168"/>
      <c r="E28" s="168"/>
      <c r="F28" s="168"/>
    </row>
    <row r="29" spans="1:6">
      <c r="A29" s="168"/>
      <c r="B29" s="168"/>
      <c r="C29" s="168"/>
      <c r="D29" s="168"/>
      <c r="E29" s="168"/>
      <c r="F29" s="168"/>
    </row>
    <row r="30" spans="1:6">
      <c r="A30" s="168"/>
      <c r="B30" s="168"/>
      <c r="C30" s="168"/>
      <c r="D30" s="168"/>
      <c r="E30" s="168"/>
      <c r="F30" s="168"/>
    </row>
    <row r="31" spans="1:6">
      <c r="A31" s="168"/>
      <c r="B31" s="168"/>
      <c r="C31" s="168"/>
      <c r="D31" s="168"/>
      <c r="E31" s="168"/>
      <c r="F31" s="168"/>
    </row>
    <row r="32" spans="1:6">
      <c r="A32" s="168"/>
      <c r="B32" s="168"/>
      <c r="C32" s="168"/>
      <c r="D32" s="168"/>
      <c r="E32" s="168"/>
      <c r="F32" s="168"/>
    </row>
    <row r="33" spans="1:6">
      <c r="A33" s="168"/>
      <c r="B33" s="168"/>
      <c r="C33" s="168"/>
      <c r="D33" s="168"/>
      <c r="E33" s="168"/>
      <c r="F33" s="168"/>
    </row>
    <row r="34" spans="1:6">
      <c r="A34" s="168"/>
      <c r="B34" s="168"/>
      <c r="C34" s="168"/>
      <c r="D34" s="168"/>
      <c r="E34" s="168"/>
      <c r="F34" s="168"/>
    </row>
    <row r="35" spans="1:6">
      <c r="A35" s="168"/>
      <c r="B35" s="168"/>
      <c r="C35" s="168"/>
      <c r="D35" s="168"/>
      <c r="E35" s="168"/>
      <c r="F35" s="168"/>
    </row>
    <row r="36" spans="1:6">
      <c r="A36" s="168"/>
      <c r="B36" s="168"/>
      <c r="C36" s="168"/>
      <c r="D36" s="168"/>
      <c r="E36" s="168"/>
      <c r="F36" s="168"/>
    </row>
    <row r="37" spans="1:6">
      <c r="A37" s="168"/>
      <c r="B37" s="168"/>
      <c r="C37" s="168"/>
      <c r="D37" s="168"/>
      <c r="E37" s="168"/>
      <c r="F37" s="168"/>
    </row>
    <row r="38" spans="1:6">
      <c r="A38" s="168"/>
      <c r="B38" s="168"/>
      <c r="C38" s="168"/>
      <c r="D38" s="168"/>
      <c r="E38" s="168"/>
      <c r="F38" s="168"/>
    </row>
    <row r="39" spans="1:6">
      <c r="A39" s="168"/>
      <c r="B39" s="168"/>
      <c r="C39" s="168"/>
      <c r="D39" s="168"/>
      <c r="E39" s="168"/>
      <c r="F39" s="168"/>
    </row>
    <row r="40" spans="1:6">
      <c r="A40" s="168"/>
      <c r="B40" s="168"/>
      <c r="C40" s="168"/>
      <c r="D40" s="168"/>
      <c r="E40" s="168"/>
      <c r="F40" s="168"/>
    </row>
    <row r="41" spans="1:6">
      <c r="A41" s="168"/>
      <c r="B41" s="168"/>
      <c r="C41" s="168"/>
      <c r="D41" s="168"/>
      <c r="E41" s="168"/>
      <c r="F41" s="168"/>
    </row>
    <row r="42" spans="1:6">
      <c r="A42" s="168"/>
      <c r="B42" s="168"/>
      <c r="C42" s="168"/>
      <c r="D42" s="168"/>
      <c r="E42" s="168"/>
      <c r="F42" s="168"/>
    </row>
    <row r="43" spans="1:6">
      <c r="A43" s="168"/>
      <c r="B43" s="168"/>
      <c r="C43" s="168"/>
      <c r="D43" s="168"/>
      <c r="E43" s="168"/>
      <c r="F43" s="168"/>
    </row>
    <row r="44" spans="1:6">
      <c r="A44" s="168"/>
      <c r="B44" s="168"/>
      <c r="C44" s="168"/>
      <c r="D44" s="168"/>
      <c r="E44" s="168"/>
      <c r="F44" s="168"/>
    </row>
    <row r="45" spans="1:6">
      <c r="A45" s="168"/>
      <c r="B45" s="168"/>
      <c r="C45" s="168"/>
      <c r="D45" s="168"/>
      <c r="E45" s="168"/>
      <c r="F45" s="168"/>
    </row>
    <row r="46" spans="1:6">
      <c r="A46" s="168"/>
      <c r="B46" s="168"/>
      <c r="C46" s="168"/>
      <c r="D46" s="168"/>
      <c r="E46" s="168"/>
      <c r="F46" s="168"/>
    </row>
    <row r="47" spans="1:6">
      <c r="A47" s="168"/>
      <c r="B47" s="168"/>
      <c r="C47" s="168"/>
      <c r="D47" s="168"/>
      <c r="E47" s="168"/>
      <c r="F47" s="168"/>
    </row>
    <row r="48" spans="1:6">
      <c r="A48" s="168"/>
      <c r="B48" s="168"/>
      <c r="C48" s="168"/>
      <c r="D48" s="168"/>
      <c r="E48" s="168"/>
      <c r="F48" s="168"/>
    </row>
    <row r="49" spans="1:6">
      <c r="A49" s="168"/>
      <c r="B49" s="168"/>
      <c r="C49" s="168"/>
      <c r="D49" s="168"/>
      <c r="E49" s="168"/>
      <c r="F49" s="168"/>
    </row>
    <row r="50" spans="1:6">
      <c r="A50" s="168"/>
      <c r="B50" s="168"/>
      <c r="C50" s="168"/>
      <c r="D50" s="168"/>
      <c r="E50" s="168"/>
      <c r="F50" s="168"/>
    </row>
    <row r="51" spans="1:6">
      <c r="A51" s="168"/>
      <c r="B51" s="168"/>
      <c r="C51" s="168"/>
      <c r="D51" s="168"/>
      <c r="E51" s="168"/>
      <c r="F51" s="168"/>
    </row>
    <row r="52" spans="1:6">
      <c r="A52" s="168"/>
      <c r="B52" s="168"/>
      <c r="C52" s="168"/>
      <c r="D52" s="168"/>
      <c r="E52" s="168"/>
      <c r="F52" s="168"/>
    </row>
    <row r="53" spans="1:6">
      <c r="A53" s="168"/>
      <c r="B53" s="168"/>
      <c r="C53" s="168"/>
      <c r="D53" s="168"/>
      <c r="E53" s="168"/>
      <c r="F53" s="168"/>
    </row>
    <row r="54" spans="1:6">
      <c r="A54" s="168"/>
      <c r="B54" s="168"/>
      <c r="C54" s="168"/>
      <c r="D54" s="168"/>
      <c r="E54" s="168"/>
      <c r="F54" s="168"/>
    </row>
    <row r="55" spans="1:6">
      <c r="A55" s="168"/>
      <c r="B55" s="168"/>
      <c r="C55" s="168"/>
      <c r="D55" s="168"/>
      <c r="E55" s="168"/>
      <c r="F55" s="168"/>
    </row>
    <row r="56" spans="1:6">
      <c r="A56" s="168"/>
      <c r="B56" s="168"/>
      <c r="C56" s="168"/>
      <c r="D56" s="168"/>
      <c r="E56" s="168"/>
      <c r="F56" s="168"/>
    </row>
    <row r="57" spans="1:6">
      <c r="A57" s="168"/>
      <c r="B57" s="168"/>
      <c r="C57" s="168"/>
      <c r="D57" s="168"/>
      <c r="E57" s="168"/>
      <c r="F57" s="168"/>
    </row>
    <row r="58" spans="1:6">
      <c r="A58" s="168"/>
      <c r="B58" s="168"/>
      <c r="C58" s="168"/>
      <c r="D58" s="168"/>
      <c r="E58" s="168"/>
      <c r="F58" s="168"/>
    </row>
    <row r="59" spans="1:6">
      <c r="A59" s="168"/>
      <c r="B59" s="168"/>
      <c r="C59" s="168"/>
      <c r="D59" s="168"/>
      <c r="E59" s="168"/>
      <c r="F59" s="168"/>
    </row>
    <row r="60" spans="1:6">
      <c r="A60" s="168"/>
      <c r="B60" s="168"/>
      <c r="C60" s="168"/>
      <c r="D60" s="168"/>
      <c r="E60" s="168"/>
      <c r="F60" s="168"/>
    </row>
    <row r="61" spans="1:6">
      <c r="A61" s="168"/>
      <c r="B61" s="168"/>
      <c r="C61" s="168"/>
      <c r="D61" s="168"/>
      <c r="E61" s="168"/>
      <c r="F61" s="168"/>
    </row>
    <row r="62" spans="1:6">
      <c r="A62" s="168"/>
      <c r="B62" s="168"/>
      <c r="C62" s="168"/>
      <c r="D62" s="168"/>
      <c r="E62" s="168"/>
      <c r="F62" s="168"/>
    </row>
    <row r="63" spans="1:6">
      <c r="A63" s="168"/>
      <c r="B63" s="168"/>
      <c r="C63" s="168"/>
      <c r="D63" s="168"/>
      <c r="E63" s="168"/>
      <c r="F63" s="168"/>
    </row>
    <row r="64" spans="1:6">
      <c r="A64" s="168"/>
      <c r="B64" s="168"/>
      <c r="C64" s="168"/>
      <c r="D64" s="168"/>
      <c r="E64" s="168"/>
      <c r="F64" s="168"/>
    </row>
    <row r="65" spans="1:6">
      <c r="A65" s="168"/>
      <c r="B65" s="168"/>
      <c r="C65" s="168"/>
      <c r="D65" s="168"/>
      <c r="E65" s="168"/>
      <c r="F65" s="168"/>
    </row>
    <row r="66" spans="1:6">
      <c r="A66" s="168"/>
      <c r="B66" s="168"/>
      <c r="C66" s="168"/>
      <c r="D66" s="168"/>
      <c r="E66" s="168"/>
      <c r="F66" s="168"/>
    </row>
    <row r="67" spans="1:6">
      <c r="A67" s="168"/>
      <c r="B67" s="168"/>
      <c r="C67" s="168"/>
      <c r="D67" s="168"/>
      <c r="E67" s="168"/>
      <c r="F67" s="168"/>
    </row>
    <row r="68" spans="1:6">
      <c r="A68" s="168"/>
      <c r="B68" s="168"/>
      <c r="C68" s="168"/>
      <c r="D68" s="168"/>
      <c r="E68" s="168"/>
      <c r="F68" s="168"/>
    </row>
    <row r="69" spans="1:6">
      <c r="A69" s="168"/>
      <c r="B69" s="168"/>
      <c r="C69" s="168"/>
      <c r="D69" s="168"/>
      <c r="E69" s="168"/>
      <c r="F69" s="168"/>
    </row>
    <row r="70" spans="1:6">
      <c r="A70" s="168"/>
      <c r="B70" s="168"/>
      <c r="C70" s="168"/>
      <c r="D70" s="168"/>
      <c r="E70" s="168"/>
      <c r="F70" s="168"/>
    </row>
    <row r="71" spans="1:6">
      <c r="A71" s="168"/>
      <c r="B71" s="168"/>
      <c r="C71" s="168"/>
      <c r="D71" s="168"/>
      <c r="E71" s="168"/>
      <c r="F71" s="168"/>
    </row>
    <row r="72" spans="1:6">
      <c r="A72" s="168"/>
      <c r="B72" s="168"/>
      <c r="C72" s="168"/>
      <c r="D72" s="168"/>
      <c r="E72" s="168"/>
      <c r="F72" s="168"/>
    </row>
    <row r="73" spans="1:6">
      <c r="A73" s="168"/>
      <c r="B73" s="168"/>
      <c r="C73" s="168"/>
      <c r="D73" s="168"/>
      <c r="E73" s="168"/>
      <c r="F73" s="168"/>
    </row>
    <row r="74" spans="1:6" ht="15.75">
      <c r="A74" s="168"/>
      <c r="B74" s="63" t="s">
        <v>58</v>
      </c>
      <c r="C74" s="100">
        <v>28</v>
      </c>
      <c r="D74" s="168"/>
      <c r="E74" s="168"/>
      <c r="F74" s="168"/>
    </row>
    <row r="75" spans="1:6" ht="15.75">
      <c r="A75" s="136"/>
      <c r="B75" s="21"/>
      <c r="C75" s="21"/>
      <c r="D75" s="350"/>
      <c r="E75" s="136"/>
      <c r="F75" s="136"/>
    </row>
  </sheetData>
  <mergeCells count="5">
    <mergeCell ref="B27:C27"/>
    <mergeCell ref="B3:E3"/>
    <mergeCell ref="A21:C21"/>
    <mergeCell ref="B23:C23"/>
    <mergeCell ref="A25:C25"/>
  </mergeCells>
  <phoneticPr fontId="10" type="noConversion"/>
  <pageMargins left="0.5" right="0.5" top="1" bottom="0.5" header="0.5" footer="0.5"/>
  <pageSetup scale="66" orientation="portrait" blackAndWhite="1" r:id="rId1"/>
  <headerFooter alignWithMargins="0">
    <oddHeader>&amp;RState of  Kansas
Coffeyville</oddHeader>
    <oddFooter>&amp;Lrevised 8/06/07</oddFooter>
  </headerFooter>
</worksheet>
</file>

<file path=xl/worksheets/sheet36.xml><?xml version="1.0" encoding="utf-8"?>
<worksheet xmlns="http://schemas.openxmlformats.org/spreadsheetml/2006/main" xmlns:r="http://schemas.openxmlformats.org/officeDocument/2006/relationships">
  <dimension ref="A1:N39"/>
  <sheetViews>
    <sheetView view="pageBreakPreview" zoomScaleNormal="100" workbookViewId="0">
      <selection sqref="A1:H1"/>
    </sheetView>
  </sheetViews>
  <sheetFormatPr defaultRowHeight="15.75"/>
  <cols>
    <col min="1" max="16384" width="8.88671875" style="2"/>
  </cols>
  <sheetData>
    <row r="1" spans="1:14" ht="16.5" customHeight="1">
      <c r="A1" s="480" t="s">
        <v>187</v>
      </c>
      <c r="B1" s="480"/>
      <c r="C1" s="480"/>
      <c r="D1" s="480"/>
      <c r="E1" s="480"/>
      <c r="F1" s="480"/>
      <c r="G1" s="480"/>
    </row>
    <row r="2" spans="1:14" ht="16.5" customHeight="1">
      <c r="A2" s="480"/>
      <c r="B2" s="480"/>
      <c r="C2" s="480"/>
      <c r="D2" s="480"/>
      <c r="E2" s="480"/>
      <c r="F2" s="480"/>
      <c r="G2" s="480"/>
    </row>
    <row r="3" spans="1:14" ht="16.5" customHeight="1">
      <c r="A3" s="481"/>
      <c r="B3" s="481"/>
      <c r="C3" s="481"/>
      <c r="D3" s="481"/>
      <c r="E3" s="481"/>
      <c r="F3" s="481"/>
      <c r="G3" s="481"/>
    </row>
    <row r="4" spans="1:14" ht="16.5" customHeight="1">
      <c r="A4" s="478" t="str">
        <f>CONCATENATE("AN ORDINANCE ATTESTING TO AN INCREASE IN TAX REVENUES FOR BUDGET YEAR ",inputPrYr!C5," FOR THE ",(inputPrYr!$D$2))</f>
        <v>AN ORDINANCE ATTESTING TO AN INCREASE IN TAX REVENUES FOR BUDGET YEAR 2013 FOR THE City of Coffeyville</v>
      </c>
      <c r="B4" s="478"/>
      <c r="C4" s="478"/>
      <c r="D4" s="478"/>
      <c r="E4" s="478"/>
      <c r="F4" s="478"/>
      <c r="G4" s="478"/>
    </row>
    <row r="5" spans="1:14" ht="16.5" customHeight="1">
      <c r="A5" s="478"/>
      <c r="B5" s="478"/>
      <c r="C5" s="478"/>
      <c r="D5" s="478"/>
      <c r="E5" s="478"/>
      <c r="F5" s="478"/>
      <c r="G5" s="478"/>
    </row>
    <row r="6" spans="1:14" ht="16.5" customHeight="1">
      <c r="A6" s="480"/>
      <c r="B6" s="480"/>
      <c r="C6" s="480"/>
      <c r="D6" s="480"/>
      <c r="E6" s="480"/>
      <c r="F6" s="480"/>
      <c r="G6" s="480"/>
    </row>
    <row r="7" spans="1:14" ht="16.5" customHeight="1">
      <c r="A7" s="478" t="str">
        <f>CONCATENATE("WHEREAS, the ",(inputPrYr!$D$2)," must continue to provide services to protect the health, safety, and welfare of the citizens of this community; and")</f>
        <v>WHEREAS, the City of Coffeyville must continue to provide services to protect the health, safety, and welfare of the citizens of this community; and</v>
      </c>
      <c r="B7" s="478"/>
      <c r="C7" s="478"/>
      <c r="D7" s="478"/>
      <c r="E7" s="478"/>
      <c r="F7" s="478"/>
      <c r="G7" s="478"/>
      <c r="H7" s="230"/>
      <c r="I7" s="230"/>
      <c r="J7" s="230"/>
      <c r="K7" s="230"/>
      <c r="L7" s="230"/>
      <c r="M7" s="230"/>
      <c r="N7" s="230"/>
    </row>
    <row r="8" spans="1:14" ht="16.5" customHeight="1">
      <c r="A8" s="478"/>
      <c r="B8" s="478"/>
      <c r="C8" s="478"/>
      <c r="D8" s="478"/>
      <c r="E8" s="478"/>
      <c r="F8" s="478"/>
      <c r="G8" s="478"/>
      <c r="H8" s="230"/>
      <c r="I8" s="230"/>
      <c r="J8" s="230"/>
      <c r="K8" s="230"/>
      <c r="L8" s="230"/>
      <c r="M8" s="230"/>
      <c r="N8" s="230"/>
    </row>
    <row r="9" spans="1:14" ht="16.5" customHeight="1">
      <c r="A9" s="231"/>
      <c r="B9" s="231"/>
      <c r="C9" s="231"/>
      <c r="D9" s="231"/>
      <c r="E9" s="231"/>
      <c r="F9" s="231"/>
      <c r="G9" s="231"/>
    </row>
    <row r="10" spans="1:14" ht="16.5" customHeight="1">
      <c r="A10" s="478" t="s">
        <v>188</v>
      </c>
      <c r="B10" s="478"/>
      <c r="C10" s="478"/>
      <c r="D10" s="478"/>
      <c r="E10" s="478"/>
      <c r="F10" s="478"/>
      <c r="G10" s="478"/>
    </row>
    <row r="11" spans="1:14" ht="16.5" customHeight="1">
      <c r="A11" s="478"/>
      <c r="B11" s="478"/>
      <c r="C11" s="478"/>
      <c r="D11" s="478"/>
      <c r="E11" s="478"/>
      <c r="F11" s="478"/>
      <c r="G11" s="478"/>
    </row>
    <row r="12" spans="1:14" ht="16.5" customHeight="1">
      <c r="A12" s="231"/>
      <c r="B12" s="231"/>
      <c r="C12" s="231"/>
      <c r="D12" s="231"/>
      <c r="E12" s="231"/>
      <c r="F12" s="231"/>
      <c r="G12" s="231"/>
    </row>
    <row r="13" spans="1:14" ht="16.5" customHeight="1">
      <c r="A13" s="478" t="str">
        <f>CONCATENATE("NOW THEREFORE, be it ordained by the Governing Body of the ",(inputPrYr!$D$2),":")</f>
        <v>NOW THEREFORE, be it ordained by the Governing Body of the City of Coffeyville:</v>
      </c>
      <c r="B13" s="478"/>
      <c r="C13" s="478"/>
      <c r="D13" s="478"/>
      <c r="E13" s="478"/>
      <c r="F13" s="478"/>
      <c r="G13" s="478"/>
      <c r="H13" s="230"/>
      <c r="I13" s="230"/>
      <c r="J13" s="230"/>
      <c r="K13" s="230"/>
      <c r="L13" s="230"/>
      <c r="M13" s="230"/>
      <c r="N13" s="230"/>
    </row>
    <row r="14" spans="1:14" ht="16.5" customHeight="1">
      <c r="A14" s="478"/>
      <c r="B14" s="478"/>
      <c r="C14" s="478"/>
      <c r="D14" s="478"/>
      <c r="E14" s="478"/>
      <c r="F14" s="478"/>
      <c r="G14" s="478"/>
      <c r="H14" s="230"/>
      <c r="I14" s="230"/>
      <c r="J14" s="230"/>
      <c r="K14" s="230"/>
      <c r="L14" s="230"/>
      <c r="M14" s="230"/>
      <c r="N14" s="230"/>
    </row>
    <row r="15" spans="1:14" ht="16.5" customHeight="1">
      <c r="A15" s="478"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Coffeyville  has scheduled a public hearing and has prepared the proposed budget necessary to fund city services from January 1, 2013 until December 31, 2013.</v>
      </c>
      <c r="B15" s="478"/>
      <c r="C15" s="478"/>
      <c r="D15" s="478"/>
      <c r="E15" s="478"/>
      <c r="F15" s="478"/>
      <c r="G15" s="478"/>
      <c r="H15" s="230"/>
      <c r="I15" s="230"/>
      <c r="J15" s="230"/>
      <c r="K15" s="230"/>
      <c r="L15" s="230"/>
      <c r="M15" s="230"/>
      <c r="N15" s="230"/>
    </row>
    <row r="16" spans="1:14" ht="16.5" customHeight="1">
      <c r="A16" s="478"/>
      <c r="B16" s="478"/>
      <c r="C16" s="478"/>
      <c r="D16" s="478"/>
      <c r="E16" s="478"/>
      <c r="F16" s="478"/>
      <c r="G16" s="478"/>
      <c r="H16" s="230"/>
      <c r="I16" s="230"/>
      <c r="J16" s="230"/>
      <c r="K16" s="230"/>
      <c r="L16" s="230"/>
      <c r="M16" s="230"/>
      <c r="N16" s="230"/>
    </row>
    <row r="17" spans="1:14" ht="16.5" customHeight="1">
      <c r="A17" s="478"/>
      <c r="B17" s="478"/>
      <c r="C17" s="478"/>
      <c r="D17" s="478"/>
      <c r="E17" s="478"/>
      <c r="F17" s="478"/>
      <c r="G17" s="478"/>
      <c r="H17" s="230"/>
      <c r="I17" s="230"/>
      <c r="J17" s="230"/>
      <c r="K17" s="230"/>
      <c r="L17" s="230"/>
      <c r="M17" s="230"/>
      <c r="N17" s="230"/>
    </row>
    <row r="18" spans="1:14" ht="16.5" customHeight="1">
      <c r="A18" s="230"/>
      <c r="B18" s="230"/>
      <c r="C18" s="230"/>
      <c r="D18" s="230"/>
      <c r="E18" s="230"/>
      <c r="F18" s="230"/>
      <c r="G18" s="230"/>
    </row>
    <row r="19" spans="1:14" ht="16.5" customHeight="1">
      <c r="A19" s="479" t="s">
        <v>265</v>
      </c>
      <c r="B19" s="479"/>
      <c r="C19" s="479"/>
      <c r="D19" s="479"/>
      <c r="E19" s="479"/>
      <c r="F19" s="479"/>
      <c r="G19" s="479"/>
    </row>
    <row r="20" spans="1:14" ht="16.5" customHeight="1">
      <c r="A20" s="479" t="s">
        <v>266</v>
      </c>
      <c r="B20" s="479"/>
      <c r="C20" s="479"/>
      <c r="D20" s="479"/>
      <c r="E20" s="479"/>
      <c r="F20" s="479"/>
      <c r="G20" s="479"/>
    </row>
    <row r="21" spans="1:14" ht="16.5" customHeight="1">
      <c r="A21" s="479" t="str">
        <f>CONCATENATE("necessary to budget property tax revenues in an amount exceeding the levy in the ",inputPrYr!C5-1,"")</f>
        <v>necessary to budget property tax revenues in an amount exceeding the levy in the 2012</v>
      </c>
      <c r="B21" s="479"/>
      <c r="C21" s="479"/>
      <c r="D21" s="479"/>
      <c r="E21" s="479"/>
      <c r="F21" s="479"/>
      <c r="G21" s="479"/>
    </row>
    <row r="22" spans="1:14" ht="16.5" customHeight="1">
      <c r="A22" s="232" t="s">
        <v>267</v>
      </c>
      <c r="B22" s="232"/>
      <c r="C22" s="232"/>
      <c r="D22" s="232"/>
      <c r="E22" s="232"/>
      <c r="F22" s="232"/>
      <c r="G22" s="232"/>
    </row>
    <row r="23" spans="1:14" ht="16.5" customHeight="1">
      <c r="A23" s="230"/>
      <c r="B23" s="230"/>
      <c r="C23" s="230"/>
      <c r="D23" s="230"/>
      <c r="E23" s="230"/>
      <c r="F23" s="230"/>
      <c r="G23" s="230"/>
    </row>
    <row r="24" spans="1:14" ht="16.5" customHeight="1">
      <c r="A24" s="478" t="s">
        <v>189</v>
      </c>
      <c r="B24" s="478"/>
      <c r="C24" s="478"/>
      <c r="D24" s="478"/>
      <c r="E24" s="478"/>
      <c r="F24" s="478"/>
      <c r="G24" s="478"/>
    </row>
    <row r="25" spans="1:14" ht="16.5" customHeight="1">
      <c r="A25" s="478"/>
      <c r="B25" s="478"/>
      <c r="C25" s="478"/>
      <c r="D25" s="478"/>
      <c r="E25" s="478"/>
      <c r="F25" s="478"/>
      <c r="G25" s="478"/>
    </row>
    <row r="26" spans="1:14" ht="16.5" customHeight="1">
      <c r="A26" s="230"/>
      <c r="B26" s="230"/>
      <c r="C26" s="230"/>
      <c r="D26" s="230"/>
      <c r="E26" s="230"/>
      <c r="F26" s="230"/>
      <c r="G26" s="230"/>
    </row>
    <row r="27" spans="1:14" ht="16.5" customHeight="1">
      <c r="A27" s="478" t="str">
        <f>CONCATENATE("Passed and approved by the Governing Body on this ______ day of __________, ",inputPrYr!C5-1,".")</f>
        <v>Passed and approved by the Governing Body on this ______ day of __________, 2012.</v>
      </c>
      <c r="B27" s="478"/>
      <c r="C27" s="478"/>
      <c r="D27" s="478"/>
      <c r="E27" s="478"/>
      <c r="F27" s="478"/>
      <c r="G27" s="478"/>
    </row>
    <row r="28" spans="1:14" ht="16.5" customHeight="1">
      <c r="A28" s="478"/>
      <c r="B28" s="478"/>
      <c r="C28" s="478"/>
      <c r="D28" s="478"/>
      <c r="E28" s="478"/>
      <c r="F28" s="478"/>
      <c r="G28" s="478"/>
    </row>
    <row r="29" spans="1:14" ht="16.5" customHeight="1"/>
    <row r="30" spans="1:14" ht="16.5" customHeight="1">
      <c r="A30" s="477" t="s">
        <v>190</v>
      </c>
      <c r="B30" s="477"/>
      <c r="C30" s="477"/>
      <c r="D30" s="477"/>
      <c r="E30" s="477"/>
      <c r="F30" s="477"/>
      <c r="G30" s="477"/>
    </row>
    <row r="31" spans="1:14" ht="16.5" customHeight="1">
      <c r="A31" s="477" t="s">
        <v>195</v>
      </c>
      <c r="B31" s="477"/>
      <c r="C31" s="477"/>
      <c r="D31" s="477"/>
      <c r="E31" s="477"/>
      <c r="F31" s="477"/>
      <c r="G31" s="477"/>
    </row>
    <row r="32" spans="1:14" ht="16.5" customHeight="1">
      <c r="A32" s="2" t="s">
        <v>191</v>
      </c>
    </row>
    <row r="33" spans="1:2" ht="16.5" customHeight="1">
      <c r="B33" s="2" t="s">
        <v>192</v>
      </c>
    </row>
    <row r="34" spans="1:2" ht="16.5" customHeight="1"/>
    <row r="35" spans="1:2" ht="16.5" customHeight="1"/>
    <row r="36" spans="1:2" ht="16.5" customHeight="1">
      <c r="A36" s="2" t="s">
        <v>193</v>
      </c>
    </row>
    <row r="37" spans="1:2" ht="16.5" customHeight="1"/>
    <row r="38" spans="1:2" ht="16.5" customHeight="1"/>
    <row r="39" spans="1:2" ht="16.5" customHeight="1">
      <c r="A39" s="2" t="s">
        <v>194</v>
      </c>
    </row>
  </sheetData>
  <mergeCells count="16">
    <mergeCell ref="A1:G1"/>
    <mergeCell ref="A2:G2"/>
    <mergeCell ref="A3:G3"/>
    <mergeCell ref="A7:G8"/>
    <mergeCell ref="A4:G5"/>
    <mergeCell ref="A6:G6"/>
    <mergeCell ref="A30:G30"/>
    <mergeCell ref="A31:G31"/>
    <mergeCell ref="A27:G28"/>
    <mergeCell ref="A10:G11"/>
    <mergeCell ref="A13:G14"/>
    <mergeCell ref="A24:G25"/>
    <mergeCell ref="A15:G17"/>
    <mergeCell ref="A19:G19"/>
    <mergeCell ref="A20:G20"/>
    <mergeCell ref="A21:G21"/>
  </mergeCells>
  <phoneticPr fontId="10" type="noConversion"/>
  <pageMargins left="1" right="1" top="1" bottom="1" header="0.5" footer="0.5"/>
  <pageSetup orientation="portrait" blackAndWhite="1" r:id="rId1"/>
  <headerFooter alignWithMargins="0">
    <oddFooter>&amp;Lrevised 8/06/07</oddFooter>
  </headerFooter>
</worksheet>
</file>

<file path=xl/worksheets/sheet37.xml><?xml version="1.0" encoding="utf-8"?>
<worksheet xmlns="http://schemas.openxmlformats.org/spreadsheetml/2006/main" xmlns:r="http://schemas.openxmlformats.org/officeDocument/2006/relationships">
  <dimension ref="A1:A52"/>
  <sheetViews>
    <sheetView view="pageBreakPreview" zoomScaleNormal="100" workbookViewId="0">
      <selection sqref="A1:H1"/>
    </sheetView>
  </sheetViews>
  <sheetFormatPr defaultRowHeight="15.75"/>
  <cols>
    <col min="1" max="1" width="80.109375" style="2" customWidth="1"/>
    <col min="2" max="16384" width="8.88671875" style="2"/>
  </cols>
  <sheetData>
    <row r="1" spans="1:1">
      <c r="A1" s="368" t="s">
        <v>1</v>
      </c>
    </row>
    <row r="2" spans="1:1">
      <c r="A2" s="2" t="s">
        <v>3</v>
      </c>
    </row>
    <row r="3" spans="1:1">
      <c r="A3" s="2" t="s">
        <v>4</v>
      </c>
    </row>
    <row r="4" spans="1:1">
      <c r="A4" s="2" t="s">
        <v>5</v>
      </c>
    </row>
    <row r="5" spans="1:1">
      <c r="A5" s="2" t="s">
        <v>2</v>
      </c>
    </row>
    <row r="8" spans="1:1">
      <c r="A8" s="368" t="s">
        <v>527</v>
      </c>
    </row>
    <row r="9" spans="1:1">
      <c r="A9" s="2" t="s">
        <v>528</v>
      </c>
    </row>
    <row r="11" spans="1:1">
      <c r="A11" s="368" t="s">
        <v>520</v>
      </c>
    </row>
    <row r="12" spans="1:1">
      <c r="A12" s="2" t="s">
        <v>521</v>
      </c>
    </row>
    <row r="13" spans="1:1">
      <c r="A13" s="2" t="s">
        <v>522</v>
      </c>
    </row>
    <row r="14" spans="1:1" ht="31.5">
      <c r="A14" s="5" t="s">
        <v>523</v>
      </c>
    </row>
    <row r="15" spans="1:1">
      <c r="A15" s="2" t="s">
        <v>524</v>
      </c>
    </row>
    <row r="16" spans="1:1">
      <c r="A16" s="2" t="s">
        <v>525</v>
      </c>
    </row>
    <row r="17" spans="1:1">
      <c r="A17" s="2" t="s">
        <v>526</v>
      </c>
    </row>
    <row r="19" spans="1:1" ht="18" customHeight="1">
      <c r="A19" s="368" t="s">
        <v>273</v>
      </c>
    </row>
    <row r="20" spans="1:1" ht="48.75" customHeight="1">
      <c r="A20" s="5" t="s">
        <v>317</v>
      </c>
    </row>
    <row r="21" spans="1:1">
      <c r="A21" s="2" t="s">
        <v>274</v>
      </c>
    </row>
    <row r="22" spans="1:1">
      <c r="A22" s="2" t="s">
        <v>275</v>
      </c>
    </row>
    <row r="23" spans="1:1">
      <c r="A23" s="2" t="s">
        <v>318</v>
      </c>
    </row>
    <row r="24" spans="1:1">
      <c r="A24" s="2" t="s">
        <v>276</v>
      </c>
    </row>
    <row r="25" spans="1:1">
      <c r="A25" s="2" t="s">
        <v>277</v>
      </c>
    </row>
    <row r="26" spans="1:1">
      <c r="A26" s="2" t="s">
        <v>333</v>
      </c>
    </row>
    <row r="27" spans="1:1">
      <c r="A27" s="2" t="s">
        <v>278</v>
      </c>
    </row>
    <row r="28" spans="1:1">
      <c r="A28" s="2" t="s">
        <v>279</v>
      </c>
    </row>
    <row r="29" spans="1:1" ht="31.5">
      <c r="A29" s="5" t="s">
        <v>280</v>
      </c>
    </row>
    <row r="30" spans="1:1" ht="31.5">
      <c r="A30" s="5" t="s">
        <v>356</v>
      </c>
    </row>
    <row r="31" spans="1:1">
      <c r="A31" s="2" t="s">
        <v>281</v>
      </c>
    </row>
    <row r="32" spans="1:1">
      <c r="A32" s="2" t="s">
        <v>282</v>
      </c>
    </row>
    <row r="33" spans="1:1">
      <c r="A33" s="2" t="s">
        <v>319</v>
      </c>
    </row>
    <row r="34" spans="1:1">
      <c r="A34" s="2" t="s">
        <v>283</v>
      </c>
    </row>
    <row r="35" spans="1:1">
      <c r="A35" s="2" t="s">
        <v>320</v>
      </c>
    </row>
    <row r="36" spans="1:1" ht="31.5">
      <c r="A36" s="5" t="s">
        <v>321</v>
      </c>
    </row>
    <row r="37" spans="1:1">
      <c r="A37" s="2" t="s">
        <v>297</v>
      </c>
    </row>
    <row r="38" spans="1:1">
      <c r="A38" s="2" t="s">
        <v>298</v>
      </c>
    </row>
    <row r="39" spans="1:1" ht="31.5">
      <c r="A39" s="5" t="s">
        <v>299</v>
      </c>
    </row>
    <row r="40" spans="1:1">
      <c r="A40" s="2" t="s">
        <v>419</v>
      </c>
    </row>
    <row r="41" spans="1:1">
      <c r="A41" s="2" t="s">
        <v>420</v>
      </c>
    </row>
    <row r="42" spans="1:1">
      <c r="A42" s="2" t="s">
        <v>421</v>
      </c>
    </row>
    <row r="43" spans="1:1">
      <c r="A43" s="2" t="s">
        <v>509</v>
      </c>
    </row>
    <row r="44" spans="1:1">
      <c r="A44" s="2" t="s">
        <v>510</v>
      </c>
    </row>
    <row r="45" spans="1:1">
      <c r="A45" s="2" t="s">
        <v>511</v>
      </c>
    </row>
    <row r="46" spans="1:1">
      <c r="A46" s="2" t="s">
        <v>512</v>
      </c>
    </row>
    <row r="47" spans="1:1">
      <c r="A47" s="2" t="s">
        <v>513</v>
      </c>
    </row>
    <row r="48" spans="1:1">
      <c r="A48" s="2" t="s">
        <v>514</v>
      </c>
    </row>
    <row r="49" spans="1:1">
      <c r="A49" s="2" t="s">
        <v>516</v>
      </c>
    </row>
    <row r="50" spans="1:1">
      <c r="A50" s="2" t="s">
        <v>517</v>
      </c>
    </row>
    <row r="51" spans="1:1">
      <c r="A51" s="2" t="s">
        <v>519</v>
      </c>
    </row>
    <row r="52" spans="1:1">
      <c r="A52" s="2" t="s">
        <v>515</v>
      </c>
    </row>
  </sheetData>
  <sheetProtection sheet="1" objects="1" scenarios="1"/>
  <phoneticPr fontId="0" type="noConversion"/>
  <pageMargins left="0.75" right="0.75" top="1" bottom="1" header="0.5" footer="0.5"/>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92"/>
  <sheetViews>
    <sheetView tabSelected="1" view="pageBreakPreview" zoomScaleNormal="100" workbookViewId="0">
      <selection activeCell="M15" sqref="M15"/>
    </sheetView>
  </sheetViews>
  <sheetFormatPr defaultRowHeight="15.75"/>
  <cols>
    <col min="1" max="1" width="28" style="7" customWidth="1"/>
    <col min="2" max="2" width="10.77734375" style="7" customWidth="1"/>
    <col min="3" max="3" width="5.77734375" style="7" customWidth="1"/>
    <col min="4" max="4" width="14" style="7" customWidth="1"/>
    <col min="5" max="5" width="13.33203125" style="7" customWidth="1"/>
    <col min="6" max="6" width="12.33203125" style="7" customWidth="1"/>
  </cols>
  <sheetData>
    <row r="1" spans="1:6">
      <c r="A1" s="21"/>
      <c r="B1" s="21"/>
      <c r="C1" s="22" t="s">
        <v>109</v>
      </c>
      <c r="D1" s="21"/>
      <c r="E1" s="21"/>
      <c r="F1">
        <f>inputPrYr!C5</f>
        <v>2013</v>
      </c>
    </row>
    <row r="2" spans="1:6">
      <c r="A2" s="446" t="str">
        <f>CONCATENATE("To the Clerk of ",(inputPrYr!D3),", State of Kansas")</f>
        <v>To the Clerk of Montgomery, State of Kansas</v>
      </c>
      <c r="B2" s="439"/>
      <c r="C2" s="439"/>
      <c r="D2" s="439"/>
      <c r="E2" s="439"/>
      <c r="F2" s="439"/>
    </row>
    <row r="3" spans="1:6">
      <c r="A3" s="26" t="s">
        <v>105</v>
      </c>
      <c r="B3" s="27"/>
      <c r="C3" s="27"/>
      <c r="D3" s="27"/>
      <c r="E3" s="27"/>
      <c r="F3" s="27"/>
    </row>
    <row r="4" spans="1:6">
      <c r="A4" s="444" t="str">
        <f>(inputPrYr!D2)</f>
        <v>City of Coffeyville</v>
      </c>
      <c r="B4" s="445"/>
      <c r="C4" s="445"/>
      <c r="D4" s="445"/>
      <c r="E4" s="445"/>
      <c r="F4" s="445"/>
    </row>
    <row r="5" spans="1:6">
      <c r="A5" s="26" t="s">
        <v>16</v>
      </c>
      <c r="B5" s="27"/>
      <c r="C5" s="27"/>
      <c r="D5" s="27"/>
      <c r="E5" s="27"/>
      <c r="F5" s="27"/>
    </row>
    <row r="6" spans="1:6">
      <c r="A6" s="26" t="s">
        <v>17</v>
      </c>
      <c r="B6" s="27"/>
      <c r="C6" s="27"/>
      <c r="D6" s="27"/>
      <c r="E6" s="27"/>
      <c r="F6" s="27"/>
    </row>
    <row r="7" spans="1:6">
      <c r="A7" s="26" t="str">
        <f>CONCATENATE("maximum expenditures for the various funds for the year ",F1,"; and")</f>
        <v>maximum expenditures for the various funds for the year 2013; and</v>
      </c>
      <c r="B7" s="27"/>
      <c r="C7" s="27"/>
      <c r="D7" s="27"/>
      <c r="E7" s="27"/>
      <c r="F7" s="27"/>
    </row>
    <row r="8" spans="1:6">
      <c r="A8" s="26" t="str">
        <f>CONCATENATE("(3) the Amounts(s) of ",F1-1," Ad Valorem Tax are within statutory limitations.")</f>
        <v>(3) the Amounts(s) of 2012 Ad Valorem Tax are within statutory limitations.</v>
      </c>
      <c r="B8" s="27"/>
      <c r="C8" s="27"/>
      <c r="D8" s="27"/>
      <c r="E8" s="27"/>
      <c r="F8" s="27"/>
    </row>
    <row r="9" spans="1:6">
      <c r="A9" s="21"/>
      <c r="B9" s="21"/>
      <c r="C9" s="21"/>
      <c r="D9" s="28" t="str">
        <f>CONCATENATE("",F1," Adopted Budget")</f>
        <v>2013 Adopted Budget</v>
      </c>
      <c r="E9" s="29"/>
      <c r="F9" s="30"/>
    </row>
    <row r="10" spans="1:6" ht="21" customHeight="1">
      <c r="A10" s="21"/>
      <c r="B10" s="21"/>
      <c r="C10" s="31"/>
      <c r="D10" s="32" t="s">
        <v>18</v>
      </c>
      <c r="E10" s="33" t="str">
        <f>CONCATENATE("Amount of ",F1-1,"")</f>
        <v>Amount of 2012</v>
      </c>
      <c r="F10" s="33" t="s">
        <v>19</v>
      </c>
    </row>
    <row r="11" spans="1:6">
      <c r="A11" s="25"/>
      <c r="B11" s="21"/>
      <c r="C11" s="33" t="s">
        <v>20</v>
      </c>
      <c r="D11" s="34" t="s">
        <v>341</v>
      </c>
      <c r="E11" s="198" t="s">
        <v>237</v>
      </c>
      <c r="F11" s="34" t="s">
        <v>21</v>
      </c>
    </row>
    <row r="12" spans="1:6">
      <c r="A12" s="35" t="s">
        <v>22</v>
      </c>
      <c r="B12" s="20"/>
      <c r="C12" s="36" t="s">
        <v>23</v>
      </c>
      <c r="D12" s="36" t="s">
        <v>669</v>
      </c>
      <c r="E12" s="192" t="s">
        <v>238</v>
      </c>
      <c r="F12" s="36" t="s">
        <v>24</v>
      </c>
    </row>
    <row r="13" spans="1:6">
      <c r="A13" s="37" t="str">
        <f>CONCATENATE("Computation to Determine Limit for ",F1,"")</f>
        <v>Computation to Determine Limit for 2013</v>
      </c>
      <c r="B13" s="38"/>
      <c r="C13" s="139">
        <v>2</v>
      </c>
      <c r="D13" s="39"/>
      <c r="E13" s="39"/>
      <c r="F13" s="39"/>
    </row>
    <row r="14" spans="1:6">
      <c r="A14" s="37" t="s">
        <v>337</v>
      </c>
      <c r="B14" s="20"/>
      <c r="C14" s="36">
        <v>3</v>
      </c>
      <c r="D14" s="34"/>
      <c r="E14" s="34"/>
      <c r="F14" s="34"/>
    </row>
    <row r="15" spans="1:6">
      <c r="A15" s="37" t="s">
        <v>181</v>
      </c>
      <c r="B15" s="20"/>
      <c r="C15" s="36">
        <v>4</v>
      </c>
      <c r="D15" s="34"/>
      <c r="E15" s="34"/>
      <c r="F15" s="34"/>
    </row>
    <row r="16" spans="1:6">
      <c r="A16" s="37" t="s">
        <v>25</v>
      </c>
      <c r="B16" s="38"/>
      <c r="C16" s="139">
        <v>5</v>
      </c>
      <c r="D16" s="41"/>
      <c r="E16" s="41"/>
      <c r="F16" s="41"/>
    </row>
    <row r="17" spans="1:6">
      <c r="A17" s="37" t="s">
        <v>26</v>
      </c>
      <c r="B17" s="38"/>
      <c r="C17" s="139">
        <v>6</v>
      </c>
      <c r="D17" s="41"/>
      <c r="E17" s="41"/>
      <c r="F17" s="41"/>
    </row>
    <row r="18" spans="1:6">
      <c r="A18" s="298" t="s">
        <v>27</v>
      </c>
      <c r="B18" s="299" t="s">
        <v>28</v>
      </c>
      <c r="C18" s="82"/>
      <c r="D18" s="43"/>
      <c r="E18" s="43"/>
      <c r="F18" s="43"/>
    </row>
    <row r="19" spans="1:6">
      <c r="A19" s="44" t="s">
        <v>11</v>
      </c>
      <c r="B19" s="139" t="str">
        <f>IF(inputPrYr!C16&gt;0,(inputPrYr!C16),"  ")</f>
        <v>12-101a</v>
      </c>
      <c r="C19" s="139">
        <v>7</v>
      </c>
      <c r="D19" s="40">
        <f>IF('010'!$E$110&lt;&gt;0,'010'!$E$110,"  ")</f>
        <v>13483637.229999999</v>
      </c>
      <c r="E19" s="40">
        <f>IF('010'!$E$116&lt;&gt;0,'010'!$E$116,"  ")</f>
        <v>3687385.0100000035</v>
      </c>
      <c r="F19" s="131" t="str">
        <f>IF(AND('010'!E116=0,$D$54&gt;=0)," ",IF(AND(E19&gt;0,$D$54=0)," ",IF(AND(E19&gt;0,$D$54&gt;0),ROUND(E19/$D$54*1000,3))))</f>
        <v xml:space="preserve"> </v>
      </c>
    </row>
    <row r="20" spans="1:6">
      <c r="A20" s="44" t="s">
        <v>220</v>
      </c>
      <c r="B20" s="139" t="str">
        <f>IF(inputPrYr!C17&gt;0,(inputPrYr!C17),"  ")</f>
        <v>10-113</v>
      </c>
      <c r="C20" s="139">
        <f>IF('090'!C74&gt;0,'090'!C74,"  ")</f>
        <v>8</v>
      </c>
      <c r="D20" s="40">
        <f>IF('090'!$E$66&lt;&gt;0,'090'!$E$66,"  ")</f>
        <v>287194.83</v>
      </c>
      <c r="E20" s="40" t="str">
        <f>IF('090'!$E$72&lt;&gt;0,'090'!$E$72,"  ")</f>
        <v xml:space="preserve">  </v>
      </c>
      <c r="F20" s="131" t="str">
        <f>IF(AND('090'!E72=0,$D$54&gt;=0)," ",IF(AND(E20&gt;0,$D$54=0)," ",IF(AND(E20&gt;0,$D$54&gt;0),ROUND(E20/$D$54*1000,3))))</f>
        <v xml:space="preserve"> </v>
      </c>
    </row>
    <row r="21" spans="1:6">
      <c r="A21" s="40" t="str">
        <f>IF(inputPrYr!$B19&gt;"  ",(inputPrYr!$B19),"  ")</f>
        <v>Library</v>
      </c>
      <c r="B21" s="139" t="s">
        <v>495</v>
      </c>
      <c r="C21" s="139">
        <f>IF('020-040'!C74&gt;0,'020-040'!C74,"  ")</f>
        <v>9</v>
      </c>
      <c r="D21" s="40">
        <f>IF('020-040'!$E$31&gt;0,'020-040'!$E$31,"  ")</f>
        <v>389296.87</v>
      </c>
      <c r="E21" s="40">
        <f>IF('020-040'!$E$37&lt;&gt;0,'020-040'!$E$37,"  ")</f>
        <v>341857.04</v>
      </c>
      <c r="F21" s="131" t="str">
        <f>IF(AND('020-040'!$E$37=0,$D$54&gt;=0)," ",IF(AND(E21&gt;0,$D$54=0)," ",IF(AND(E21&gt;0,$D$54&gt;0),ROUND(E21/$D$54*1000,3))))</f>
        <v xml:space="preserve"> </v>
      </c>
    </row>
    <row r="22" spans="1:6">
      <c r="A22" s="40" t="str">
        <f>IF(inputPrYr!$B20&gt;"  ",(inputPrYr!$B20),"  ")</f>
        <v>Employee Benefits</v>
      </c>
      <c r="B22" s="139" t="str">
        <f>IF(inputPrYr!C20&gt;0,(inputPrYr!C20),"  ")</f>
        <v xml:space="preserve">  </v>
      </c>
      <c r="C22" s="139">
        <f>IF('020-040'!C74&gt;0,'020-040'!C74,"  ")</f>
        <v>9</v>
      </c>
      <c r="D22" s="40" t="str">
        <f>IF('020-040'!$E$66&gt;0,'020-040'!$E$66,"  ")</f>
        <v xml:space="preserve">  </v>
      </c>
      <c r="E22" s="40" t="str">
        <f>IF('020-040'!$E$72&lt;&gt;0,'020-040'!$E$72,"  ")</f>
        <v xml:space="preserve">  </v>
      </c>
      <c r="F22" s="131" t="str">
        <f>IF(AND('020-040'!$E$72=0,$D$54&gt;=0)," ",IF(AND(E22&gt;0,$D$54=0)," ",IF(AND(E22&gt;0,$D$54&gt;0),ROUND(E22/$D$54*1000,3))))</f>
        <v xml:space="preserve"> </v>
      </c>
    </row>
    <row r="23" spans="1:6">
      <c r="A23" s="40" t="str">
        <f>IF(inputPrYr!$B32&gt;"  ",(inputPrYr!$B32),"  ")</f>
        <v>Special Highway</v>
      </c>
      <c r="B23" s="82"/>
      <c r="C23" s="139">
        <f>IF('110'!C76&gt;0,'110'!C76,"  ")</f>
        <v>10</v>
      </c>
      <c r="D23" s="40" t="str">
        <f>IF('110'!$E$33&gt;0,'110'!$E$33,"  ")</f>
        <v xml:space="preserve">  </v>
      </c>
      <c r="E23" s="42"/>
      <c r="F23" s="42"/>
    </row>
    <row r="24" spans="1:6">
      <c r="A24" s="40" t="str">
        <f>IF(inputPrYr!$B33&gt;"  ",(inputPrYr!$B33),"  ")</f>
        <v>Local Alcohol Liquor</v>
      </c>
      <c r="B24" s="82"/>
      <c r="C24" s="139">
        <f>IF('110'!C76&gt;0,'110'!C76,"  ")</f>
        <v>10</v>
      </c>
      <c r="D24" s="40">
        <f>IF('110'!$E$70&gt;0,'110'!$E$70,"  ")</f>
        <v>125727.06</v>
      </c>
      <c r="E24" s="42"/>
      <c r="F24" s="42"/>
    </row>
    <row r="25" spans="1:6">
      <c r="A25" s="40" t="str">
        <f>IF(inputPrYr!$B34&gt;"  ",(inputPrYr!$B34),"  ")</f>
        <v>Youth Activity Center</v>
      </c>
      <c r="B25" s="82"/>
      <c r="C25" s="139">
        <f>IF('140-190'!C74&gt;0,'140-190'!C74,"  ")</f>
        <v>11</v>
      </c>
      <c r="D25" s="40">
        <f>IF('140-190'!$E$33&gt;0,'140-190'!$E$33,"  ")</f>
        <v>40642.049999999996</v>
      </c>
      <c r="E25" s="42"/>
      <c r="F25" s="42"/>
    </row>
    <row r="26" spans="1:6">
      <c r="A26" s="40" t="str">
        <f>IF(inputPrYr!$B35&gt;"  ",(inputPrYr!$B35),"  ")</f>
        <v>Community Development</v>
      </c>
      <c r="B26" s="82"/>
      <c r="C26" s="139">
        <f>IF('140-190'!C74&gt;0,'140-190'!C74,"  ")</f>
        <v>11</v>
      </c>
      <c r="D26" s="40">
        <f>IF('140-190'!$E$68&gt;0,'140-190'!$E$68,"  ")</f>
        <v>168467.13999999998</v>
      </c>
      <c r="E26" s="42"/>
      <c r="F26" s="42"/>
    </row>
    <row r="27" spans="1:6">
      <c r="A27" s="40" t="str">
        <f>IF(inputPrYr!$B36&gt;"  ",(inputPrYr!$B36),"  ")</f>
        <v>Police VIN</v>
      </c>
      <c r="B27" s="82"/>
      <c r="C27" s="139">
        <f>IF('250-280'!C74&gt;0,'250-280'!C74,"  ")</f>
        <v>12</v>
      </c>
      <c r="D27" s="40">
        <f>IF('250-280'!$E$32&gt;0,'250-280'!$E$32,"  ")</f>
        <v>22440.5</v>
      </c>
      <c r="E27" s="42"/>
      <c r="F27" s="42"/>
    </row>
    <row r="28" spans="1:6">
      <c r="A28" s="40" t="str">
        <f>IF(inputPrYr!$B37&gt;"  ",(inputPrYr!$B37),"  ")</f>
        <v>Memorial Hall Building</v>
      </c>
      <c r="B28" s="82"/>
      <c r="C28" s="139">
        <f>IF('250-280'!C74&gt;0,'250-280'!C74,"  ")</f>
        <v>12</v>
      </c>
      <c r="D28" s="40" t="str">
        <f>IF('250-280'!$E$68&gt;0,'250-280'!$E$68,"  ")</f>
        <v xml:space="preserve">  </v>
      </c>
      <c r="E28" s="42"/>
      <c r="F28" s="42"/>
    </row>
    <row r="29" spans="1:6">
      <c r="A29" s="40" t="str">
        <f>IF(inputPrYr!$B38&gt;"  ",(inputPrYr!$B38),"  ")</f>
        <v>Airport</v>
      </c>
      <c r="B29" s="82"/>
      <c r="C29" s="139">
        <f>IF('360-370'!C74&gt;0,'360-370'!C74,"  ")</f>
        <v>13</v>
      </c>
      <c r="D29" s="40">
        <f>IF('360-370'!$E$30&gt;0,'360-370'!$E$30,"  ")</f>
        <v>48057.86</v>
      </c>
      <c r="E29" s="42"/>
      <c r="F29" s="42"/>
    </row>
    <row r="30" spans="1:6">
      <c r="A30" s="40" t="str">
        <f>IF(inputPrYr!$B39&gt;"  ",(inputPrYr!$B39),"  ")</f>
        <v>Hillcrest Golf Course</v>
      </c>
      <c r="B30" s="82"/>
      <c r="C30" s="139">
        <f>IF('360-370'!C74&gt;0,'360-370'!C74,"  ")</f>
        <v>13</v>
      </c>
      <c r="D30" s="40">
        <f>IF('360-370'!$E$69&gt;0,'360-370'!$E$69,"  ")</f>
        <v>343829.66000000003</v>
      </c>
      <c r="E30" s="42"/>
      <c r="F30" s="42"/>
    </row>
    <row r="31" spans="1:6">
      <c r="A31" s="40" t="str">
        <f>IF(inputPrYr!$B40&gt;"  ",(inputPrYr!$B40),"  ")</f>
        <v>Aquatic Center</v>
      </c>
      <c r="B31" s="82"/>
      <c r="C31" s="139">
        <f>IF('450-530'!C74&gt;0,'450-530'!C74,"  ")</f>
        <v>14</v>
      </c>
      <c r="D31" s="40">
        <f>IF('450-530'!$E$32&gt;0,'450-530'!$E$32,"  ")</f>
        <v>127360.63</v>
      </c>
      <c r="E31" s="42"/>
      <c r="F31" s="42"/>
    </row>
    <row r="32" spans="1:6">
      <c r="A32" s="40" t="str">
        <f>IF(inputPrYr!$B41&gt;"  ",(inputPrYr!$B41),"  ")</f>
        <v>Sales Tax Bond Debt Service</v>
      </c>
      <c r="B32" s="82"/>
      <c r="C32" s="139">
        <f>IF('450-530'!C74&gt;0,'450-530'!C74,"  ")</f>
        <v>14</v>
      </c>
      <c r="D32" s="40">
        <f>IF('450-530'!$E$68&gt;0,'450-530'!$E$68,"  ")</f>
        <v>420852.5</v>
      </c>
      <c r="E32" s="42"/>
      <c r="F32" s="42"/>
    </row>
    <row r="33" spans="1:6">
      <c r="A33" s="40" t="str">
        <f>IF(inputPrYr!$B42&gt;"  ",(inputPrYr!$B42),"  ")</f>
        <v xml:space="preserve">USD 445 Sales Tax </v>
      </c>
      <c r="B33" s="82"/>
      <c r="C33" s="139">
        <f>IF('550-560'!C74&gt;0,'550-560'!C74,"  ")</f>
        <v>15</v>
      </c>
      <c r="D33" s="40">
        <f>IF('550-560'!$E$32&gt;0,'550-560'!$E$32,"  ")</f>
        <v>1000000</v>
      </c>
      <c r="E33" s="42"/>
      <c r="F33" s="42"/>
    </row>
    <row r="34" spans="1:6">
      <c r="A34" s="40" t="str">
        <f>IF(inputPrYr!B43&gt;"  ",(inputPrYr!B43),"  ")</f>
        <v>CRMC Sales Tax</v>
      </c>
      <c r="B34" s="82"/>
      <c r="C34" s="139">
        <f>IF('550-560'!C74&gt;0,'550-560'!C74,"  ")</f>
        <v>15</v>
      </c>
      <c r="D34" s="40">
        <f>IF('550-560'!$E$68&gt;0,'550-560'!$E$68,"  ")</f>
        <v>1000000</v>
      </c>
      <c r="E34" s="42"/>
      <c r="F34" s="42"/>
    </row>
    <row r="35" spans="1:6">
      <c r="A35" s="40" t="str">
        <f>IF(inputPrYr!B44&gt;"  ",(inputPrYr!B44),"  ")</f>
        <v>Business Dev. Training Center (BDTC)</v>
      </c>
      <c r="B35" s="82"/>
      <c r="C35" s="139">
        <f>IF('650-670'!$C$74&gt;0,'650-670'!$C$74,"  ")</f>
        <v>16</v>
      </c>
      <c r="D35" s="40">
        <f>IF('650-670'!$E$29&gt;0,'650-670'!$E$29,"  ")</f>
        <v>189657.78</v>
      </c>
      <c r="E35" s="42"/>
      <c r="F35" s="42"/>
    </row>
    <row r="36" spans="1:6">
      <c r="A36" s="40" t="str">
        <f>IF(inputPrYr!B45&gt;"  ",(inputPrYr!B45),"  ")</f>
        <v>Veterans Memorial Stadium (VMS)</v>
      </c>
      <c r="B36" s="82"/>
      <c r="C36" s="139">
        <f>IF('650-670'!$C$74&gt;0,'650-670'!$C$74,"  ")</f>
        <v>16</v>
      </c>
      <c r="D36" s="40">
        <f>IF('650-670'!$E$68&gt;0,'650-670'!$E$68,"  ")</f>
        <v>28009.02</v>
      </c>
      <c r="E36" s="42"/>
      <c r="F36" s="42"/>
    </row>
    <row r="37" spans="1:6">
      <c r="A37" s="40" t="str">
        <f>IF(inputPrYr!B46&gt;"  ",(inputPrYr!B46),"  ")</f>
        <v>Refuse Utility</v>
      </c>
      <c r="B37" s="82"/>
      <c r="C37" s="139">
        <f>IF('700-720'!$C$74&gt;0,'700-720'!$C$74,"  ")</f>
        <v>17</v>
      </c>
      <c r="D37" s="40">
        <f>IF('700-720'!$E$32&gt;0,'700-720'!$E$32,"  ")</f>
        <v>800321.8899999999</v>
      </c>
      <c r="E37" s="42"/>
      <c r="F37" s="42"/>
    </row>
    <row r="38" spans="1:6">
      <c r="A38" s="40" t="str">
        <f>IF(inputPrYr!B47&gt;"  ",(inputPrYr!B47),"  ")</f>
        <v>Internet Utility</v>
      </c>
      <c r="B38" s="82"/>
      <c r="C38" s="139">
        <f>IF('700-720'!$C$74&gt;0,'700-720'!$C$74,"  ")</f>
        <v>17</v>
      </c>
      <c r="D38" s="40">
        <f>IF('700-720'!$E$68&gt;0,'700-720'!$E$68,"  ")</f>
        <v>358617.08</v>
      </c>
      <c r="E38" s="42"/>
      <c r="F38" s="42"/>
    </row>
    <row r="39" spans="1:6">
      <c r="A39" s="40" t="str">
        <f>IF(inputPrYr!B48&gt;"  ",(inputPrYr!B48),"  ")</f>
        <v>Stormwater Utility</v>
      </c>
      <c r="B39" s="82"/>
      <c r="C39" s="139">
        <f>IF('760-820'!$C$74&gt;0,'760-820'!$C$74,"  ")</f>
        <v>18</v>
      </c>
      <c r="D39" s="40">
        <f>IF('760-820'!$E$33&gt;0,'760-820'!$E$33,"  ")</f>
        <v>262683.37</v>
      </c>
      <c r="E39" s="42"/>
      <c r="F39" s="42"/>
    </row>
    <row r="40" spans="1:6">
      <c r="A40" s="40" t="str">
        <f>IF(inputPrYr!B49&gt;"  ",(inputPrYr!B49),"  ")</f>
        <v>Electric Debt Service</v>
      </c>
      <c r="B40" s="82"/>
      <c r="C40" s="139">
        <f>IF('760-820'!$C$74&gt;0,'760-820'!$C$74,"  ")</f>
        <v>18</v>
      </c>
      <c r="D40" s="40">
        <f>IF('760-820'!$E$68&gt;0,'760-820'!$E$68,"  ")</f>
        <v>1097969.72</v>
      </c>
      <c r="E40" s="42"/>
      <c r="F40" s="42"/>
    </row>
    <row r="41" spans="1:6">
      <c r="A41" s="40" t="str">
        <f>IF(inputPrYr!B50&gt;"  ",(inputPrYr!B50),"  ")</f>
        <v>Water/Wastewater Debt Service</v>
      </c>
      <c r="B41" s="82"/>
      <c r="C41" s="139">
        <f>IF('920'!$C$74&gt;0,'920'!$C$74,"  ")</f>
        <v>19</v>
      </c>
      <c r="D41" s="40">
        <f>IF('920'!$E$33&gt;0,'920'!$E$33,"  ")</f>
        <v>1169389.3500000001</v>
      </c>
      <c r="E41" s="42"/>
      <c r="F41" s="42"/>
    </row>
    <row r="42" spans="1:6">
      <c r="A42" s="40" t="str">
        <f>IF(inputPrYr!B52&gt;"  ",(inputPrYr!B52),"  ")</f>
        <v>Electric Utility</v>
      </c>
      <c r="B42" s="82"/>
      <c r="C42" s="139">
        <f>IF('800'!$C$74&gt;0,'800'!$C$74,"  ")</f>
        <v>20</v>
      </c>
      <c r="D42" s="40">
        <f>IF('800'!$E$68&gt;0,'800'!$E$68,"  ")</f>
        <v>57455481.490000002</v>
      </c>
      <c r="E42" s="42"/>
      <c r="F42" s="42"/>
    </row>
    <row r="43" spans="1:6">
      <c r="A43" s="40" t="str">
        <f>IF(inputPrYr!B53&gt;"  ",(inputPrYr!B53),"  ")</f>
        <v>Water/Wastewater Utility</v>
      </c>
      <c r="B43" s="82"/>
      <c r="C43" s="139">
        <f>IF('900'!$C$74&gt;0,'900'!$C$74,"  ")</f>
        <v>21</v>
      </c>
      <c r="D43" s="40">
        <f>IF('900'!$E$68&gt;0,'900'!$E$68,"  ")</f>
        <v>5851404.4900000002</v>
      </c>
      <c r="E43" s="42"/>
      <c r="F43" s="42"/>
    </row>
    <row r="44" spans="1:6">
      <c r="A44" s="40" t="str">
        <f>IF(inputPrYr!$B57&gt;"  ",(NonBudA!$A3),"  ")</f>
        <v>Non-Budgeted Funds-A</v>
      </c>
      <c r="B44" s="82"/>
      <c r="C44" s="139">
        <f>IF(NonBudA!F33&gt;0,NonBudA!F33,"  ")</f>
        <v>22</v>
      </c>
      <c r="D44" s="40"/>
      <c r="E44" s="42"/>
      <c r="F44" s="42"/>
    </row>
    <row r="45" spans="1:6">
      <c r="A45" s="40" t="str">
        <f>IF(inputPrYr!$B63&gt;"  ",(NonBudB!$A3),"  ")</f>
        <v>Non-Budgeted Funds-B</v>
      </c>
      <c r="B45" s="82"/>
      <c r="C45" s="139">
        <f>IF(NonBudB!F33&gt;0,NonBudB!F33,"  ")</f>
        <v>23</v>
      </c>
      <c r="D45" s="40"/>
      <c r="E45" s="42"/>
      <c r="F45" s="42"/>
    </row>
    <row r="46" spans="1:6">
      <c r="A46" s="40" t="str">
        <f>IF(inputPrYr!$B69&gt;"  ",(NonBudC!$A3),"  ")</f>
        <v>Non-Budgeted Funds-C</v>
      </c>
      <c r="B46" s="82"/>
      <c r="C46" s="139">
        <f>IF(NonBudC!F35&gt;0,NonBudC!F35,"  ")</f>
        <v>24</v>
      </c>
      <c r="D46" s="40"/>
      <c r="E46" s="42"/>
      <c r="F46" s="42"/>
    </row>
    <row r="47" spans="1:6">
      <c r="A47" s="40" t="str">
        <f>IF(inputPrYr!$B75&gt;"  ",(NonBudD!$A3),"  ")</f>
        <v>Non-Budgeted Funds-D</v>
      </c>
      <c r="B47" s="82"/>
      <c r="C47" s="139">
        <f>IF(NonBudD!F33&gt;0,NonBudD!F33,"  ")</f>
        <v>25</v>
      </c>
      <c r="D47" s="40"/>
      <c r="E47" s="42"/>
      <c r="F47" s="42"/>
    </row>
    <row r="48" spans="1:6">
      <c r="A48" s="40" t="str">
        <f>IF(inputPrYr!$B81&gt;"  ",(NonBudE!$A3),"  ")</f>
        <v>Non-Budgeted Funds-E</v>
      </c>
      <c r="B48" s="82"/>
      <c r="C48" s="139">
        <f>IF(NonBudE!F33&gt;0,NonBudE!F33,"  ")</f>
        <v>26</v>
      </c>
      <c r="D48" s="40"/>
      <c r="E48" s="42"/>
      <c r="F48" s="42"/>
    </row>
    <row r="49" spans="1:6">
      <c r="A49" s="37" t="s">
        <v>29</v>
      </c>
      <c r="B49" s="38"/>
      <c r="C49" s="139" t="s">
        <v>30</v>
      </c>
      <c r="D49" s="40">
        <f>SUM(D19:D48)</f>
        <v>84671040.519999996</v>
      </c>
      <c r="E49" s="40">
        <f>SUM(E19:E48)</f>
        <v>4029242.0500000035</v>
      </c>
      <c r="F49" s="132" t="str">
        <f>IF(SUM(F19:F47)=0,"",SUM(F19:F47))</f>
        <v/>
      </c>
    </row>
    <row r="50" spans="1:6">
      <c r="A50" s="37" t="s">
        <v>302</v>
      </c>
      <c r="B50" s="38"/>
      <c r="C50" s="139">
        <f>summ!D67</f>
        <v>27</v>
      </c>
      <c r="D50" s="21"/>
      <c r="E50" s="21"/>
      <c r="F50" s="21"/>
    </row>
    <row r="51" spans="1:6">
      <c r="A51" s="37" t="s">
        <v>350</v>
      </c>
      <c r="B51" s="38"/>
      <c r="C51" s="139">
        <f>IF(nhood!C74&gt;0,nhood!C74,"")</f>
        <v>28</v>
      </c>
      <c r="D51" s="21"/>
      <c r="E51" s="21"/>
      <c r="F51" s="21"/>
    </row>
    <row r="52" spans="1:6">
      <c r="A52" s="247" t="s">
        <v>303</v>
      </c>
      <c r="B52" s="248"/>
      <c r="C52" s="249"/>
      <c r="D52" s="251"/>
      <c r="E52" s="250" t="str">
        <f>IF(E49&gt;computation!J40,"Yes","No")</f>
        <v>No</v>
      </c>
      <c r="F52" s="106"/>
    </row>
    <row r="53" spans="1:6">
      <c r="A53" s="130"/>
      <c r="B53" s="106"/>
      <c r="C53" s="21"/>
      <c r="D53" s="227" t="s">
        <v>185</v>
      </c>
      <c r="E53" s="106"/>
      <c r="F53" s="106"/>
    </row>
    <row r="54" spans="1:6">
      <c r="A54" s="130"/>
      <c r="B54" s="106"/>
      <c r="C54" s="21"/>
      <c r="D54" s="408"/>
      <c r="E54" s="20"/>
      <c r="F54" s="20"/>
    </row>
    <row r="55" spans="1:6">
      <c r="A55" s="21"/>
      <c r="B55" s="21"/>
      <c r="C55" s="25"/>
      <c r="D55" s="447" t="s">
        <v>304</v>
      </c>
      <c r="E55" s="383" t="s">
        <v>671</v>
      </c>
      <c r="F55" s="21"/>
    </row>
    <row r="56" spans="1:6">
      <c r="A56" s="32" t="s">
        <v>32</v>
      </c>
      <c r="B56" s="46"/>
      <c r="C56" s="21"/>
      <c r="D56" s="448"/>
      <c r="E56" s="31"/>
      <c r="F56" s="31"/>
    </row>
    <row r="57" spans="1:6">
      <c r="A57" s="47" t="s">
        <v>106</v>
      </c>
      <c r="B57" s="24"/>
      <c r="C57" s="106"/>
      <c r="D57" s="106"/>
      <c r="E57" s="384" t="s">
        <v>672</v>
      </c>
      <c r="F57" s="136"/>
    </row>
    <row r="58" spans="1:6">
      <c r="A58" s="47" t="s">
        <v>107</v>
      </c>
      <c r="B58" s="24" t="s">
        <v>31</v>
      </c>
      <c r="C58" s="12"/>
      <c r="D58" s="12"/>
      <c r="E58" s="140"/>
      <c r="F58" s="140"/>
    </row>
    <row r="59" spans="1:6">
      <c r="A59" s="48" t="s">
        <v>108</v>
      </c>
      <c r="B59" s="246"/>
      <c r="C59" s="245" t="s">
        <v>506</v>
      </c>
      <c r="D59" s="245"/>
      <c r="E59" s="385" t="s">
        <v>668</v>
      </c>
      <c r="F59" s="136"/>
    </row>
    <row r="60" spans="1:6">
      <c r="A60" s="106"/>
      <c r="B60" s="297" t="s">
        <v>203</v>
      </c>
      <c r="C60" s="16" t="s">
        <v>507</v>
      </c>
      <c r="D60" s="16"/>
      <c r="E60" s="140"/>
      <c r="F60" s="140"/>
    </row>
    <row r="61" spans="1:6">
      <c r="A61" s="25" t="s">
        <v>332</v>
      </c>
      <c r="B61" s="92">
        <f>F1-1</f>
        <v>2012</v>
      </c>
      <c r="C61" s="16" t="s">
        <v>508</v>
      </c>
      <c r="D61" s="16"/>
      <c r="E61" s="385" t="s">
        <v>673</v>
      </c>
      <c r="F61" s="21"/>
    </row>
    <row r="62" spans="1:6">
      <c r="A62" s="31"/>
      <c r="B62" s="21"/>
      <c r="C62" s="21"/>
      <c r="D62" s="21"/>
      <c r="E62" s="20"/>
      <c r="F62" s="20"/>
    </row>
    <row r="63" spans="1:6">
      <c r="A63" s="49" t="s">
        <v>33</v>
      </c>
      <c r="B63" s="21"/>
      <c r="C63" s="21"/>
      <c r="D63" s="21"/>
      <c r="E63" s="385" t="s">
        <v>674</v>
      </c>
      <c r="F63" s="385"/>
    </row>
    <row r="64" spans="1:6">
      <c r="A64" s="2"/>
    </row>
    <row r="74" spans="1:6" ht="15">
      <c r="A74"/>
      <c r="B74"/>
      <c r="C74"/>
      <c r="D74"/>
      <c r="E74"/>
      <c r="F74"/>
    </row>
    <row r="75" spans="1:6" ht="15">
      <c r="A75"/>
      <c r="B75"/>
      <c r="C75"/>
      <c r="D75"/>
      <c r="E75"/>
      <c r="F75"/>
    </row>
    <row r="76" spans="1:6" ht="15">
      <c r="A76"/>
      <c r="B76"/>
      <c r="C76"/>
      <c r="D76"/>
      <c r="E76"/>
      <c r="F76"/>
    </row>
    <row r="77" spans="1:6" ht="15">
      <c r="A77"/>
      <c r="B77"/>
      <c r="C77"/>
      <c r="D77"/>
      <c r="E77"/>
      <c r="F77"/>
    </row>
    <row r="78" spans="1:6" ht="15">
      <c r="A78"/>
      <c r="B78"/>
      <c r="C78"/>
      <c r="D78"/>
      <c r="E78"/>
      <c r="F78"/>
    </row>
    <row r="79" spans="1:6" ht="15">
      <c r="A79"/>
      <c r="B79"/>
      <c r="C79"/>
      <c r="D79"/>
      <c r="E79"/>
      <c r="F79"/>
    </row>
    <row r="80" spans="1:6" ht="15">
      <c r="A80"/>
      <c r="B80"/>
      <c r="C80"/>
      <c r="D80"/>
      <c r="E80"/>
      <c r="F80"/>
    </row>
    <row r="81" spans="1:6" ht="15">
      <c r="A81"/>
      <c r="B81"/>
      <c r="C81"/>
      <c r="D81"/>
      <c r="E81"/>
      <c r="F81"/>
    </row>
    <row r="82" spans="1:6" ht="15">
      <c r="A82"/>
      <c r="B82"/>
      <c r="C82"/>
      <c r="D82"/>
      <c r="E82"/>
      <c r="F82"/>
    </row>
    <row r="83" spans="1:6" ht="15">
      <c r="A83"/>
      <c r="B83"/>
      <c r="C83"/>
      <c r="D83"/>
      <c r="E83"/>
      <c r="F83"/>
    </row>
    <row r="84" spans="1:6" ht="15">
      <c r="A84"/>
      <c r="B84"/>
      <c r="C84"/>
      <c r="D84"/>
      <c r="E84"/>
      <c r="F84"/>
    </row>
    <row r="85" spans="1:6" ht="15">
      <c r="A85"/>
      <c r="B85"/>
      <c r="C85"/>
      <c r="D85"/>
      <c r="E85"/>
      <c r="F85"/>
    </row>
    <row r="86" spans="1:6" ht="15">
      <c r="A86"/>
      <c r="B86"/>
      <c r="C86"/>
      <c r="D86"/>
      <c r="E86"/>
      <c r="F86"/>
    </row>
    <row r="87" spans="1:6" ht="15">
      <c r="A87"/>
      <c r="B87"/>
      <c r="C87"/>
      <c r="D87"/>
      <c r="E87"/>
      <c r="F87"/>
    </row>
    <row r="88" spans="1:6" ht="15">
      <c r="A88"/>
      <c r="B88"/>
      <c r="C88"/>
      <c r="D88"/>
      <c r="E88"/>
      <c r="F88"/>
    </row>
    <row r="89" spans="1:6" ht="15">
      <c r="A89"/>
      <c r="B89"/>
      <c r="C89"/>
      <c r="D89"/>
      <c r="E89"/>
      <c r="F89"/>
    </row>
    <row r="92" spans="1:6">
      <c r="A92" s="2"/>
      <c r="B92" s="2"/>
      <c r="C92" s="2"/>
      <c r="D92" s="2"/>
      <c r="E92" s="2"/>
      <c r="F92" s="2"/>
    </row>
  </sheetData>
  <mergeCells count="3">
    <mergeCell ref="A4:F4"/>
    <mergeCell ref="A2:F2"/>
    <mergeCell ref="D55:D56"/>
  </mergeCells>
  <phoneticPr fontId="0" type="noConversion"/>
  <pageMargins left="0.5" right="0.5" top="1" bottom="0.5" header="0.5" footer="0.25"/>
  <pageSetup scale="77" orientation="portrait" blackAndWhite="1" horizontalDpi="120" verticalDpi="144" r:id="rId1"/>
  <headerFooter alignWithMargins="0">
    <oddHeader xml:space="preserve">&amp;RState of Kansas
Coffeyville
</oddHeader>
    <oddFooter>&amp;Lrevised 8/06/07&amp;C   Page No. 1</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44"/>
  <sheetViews>
    <sheetView view="pageBreakPreview" topLeftCell="A16" zoomScaleNormal="85" workbookViewId="0">
      <selection activeCell="C30" sqref="C30"/>
    </sheetView>
  </sheetViews>
  <sheetFormatPr defaultRowHeight="15.95" customHeight="1"/>
  <cols>
    <col min="1" max="2" width="3.33203125" style="2" customWidth="1"/>
    <col min="3" max="3" width="31.33203125" style="2" customWidth="1"/>
    <col min="4" max="4" width="2.33203125" style="2" customWidth="1"/>
    <col min="5" max="5" width="15.77734375" style="2" customWidth="1"/>
    <col min="6" max="6" width="2" style="2" customWidth="1"/>
    <col min="7" max="7" width="15.77734375" style="2" customWidth="1"/>
    <col min="8" max="8" width="1.88671875" style="2" customWidth="1"/>
    <col min="9" max="9" width="1.77734375" style="2" customWidth="1"/>
    <col min="10" max="10" width="15.77734375" style="2" customWidth="1"/>
    <col min="11" max="16384" width="8.88671875" style="2"/>
  </cols>
  <sheetData>
    <row r="1" spans="1:10" ht="15.95" customHeight="1">
      <c r="A1" s="50"/>
      <c r="B1" s="50"/>
      <c r="C1" s="51" t="str">
        <f>inputPrYr!D2</f>
        <v>City of Coffeyville</v>
      </c>
      <c r="D1" s="50"/>
      <c r="E1" s="50"/>
      <c r="F1" s="50"/>
      <c r="G1" s="50"/>
      <c r="H1" s="50"/>
      <c r="I1" s="50"/>
      <c r="J1" s="50">
        <f>inputPrYr!C5</f>
        <v>2013</v>
      </c>
    </row>
    <row r="2" spans="1:10" ht="15.95" customHeight="1">
      <c r="A2" s="50"/>
      <c r="B2" s="50"/>
      <c r="C2" s="50"/>
      <c r="D2" s="50"/>
      <c r="E2" s="50"/>
      <c r="F2" s="50"/>
      <c r="G2" s="50"/>
      <c r="H2" s="50"/>
      <c r="I2" s="50"/>
      <c r="J2" s="50"/>
    </row>
    <row r="3" spans="1:10" ht="15.75">
      <c r="A3" s="450" t="str">
        <f>CONCATENATE("Computation to Determine Limit for ",J1,"")</f>
        <v>Computation to Determine Limit for 2013</v>
      </c>
      <c r="B3" s="451"/>
      <c r="C3" s="451"/>
      <c r="D3" s="451"/>
      <c r="E3" s="451"/>
      <c r="F3" s="451"/>
      <c r="G3" s="451"/>
      <c r="H3" s="451"/>
      <c r="I3" s="451"/>
      <c r="J3" s="451"/>
    </row>
    <row r="4" spans="1:10" ht="15.75">
      <c r="A4" s="50"/>
      <c r="B4" s="50"/>
      <c r="C4" s="50"/>
      <c r="D4" s="50"/>
      <c r="E4" s="451"/>
      <c r="F4" s="451"/>
      <c r="G4" s="451"/>
      <c r="H4" s="52"/>
      <c r="I4" s="50"/>
      <c r="J4" s="53" t="s">
        <v>124</v>
      </c>
    </row>
    <row r="5" spans="1:10" ht="15.75">
      <c r="A5" s="54" t="s">
        <v>125</v>
      </c>
      <c r="B5" s="50" t="str">
        <f>CONCATENATE("Total Tax Levy Amount in ",J1-1," Budget")</f>
        <v>Total Tax Levy Amount in 2012 Budget</v>
      </c>
      <c r="C5" s="50"/>
      <c r="D5" s="50"/>
      <c r="E5" s="55"/>
      <c r="F5" s="55"/>
      <c r="G5" s="55"/>
      <c r="H5" s="56" t="s">
        <v>126</v>
      </c>
      <c r="I5" s="55" t="s">
        <v>127</v>
      </c>
      <c r="J5" s="57">
        <f>inputPrYr!D29</f>
        <v>4224168</v>
      </c>
    </row>
    <row r="6" spans="1:10" ht="15.75">
      <c r="A6" s="54" t="s">
        <v>128</v>
      </c>
      <c r="B6" s="50" t="str">
        <f>CONCATENATE("Debt Service Levy in ",J1-1," Budget")</f>
        <v>Debt Service Levy in 2012 Budget</v>
      </c>
      <c r="C6" s="50"/>
      <c r="D6" s="50"/>
      <c r="E6" s="55"/>
      <c r="F6" s="55"/>
      <c r="G6" s="55"/>
      <c r="H6" s="56" t="s">
        <v>129</v>
      </c>
      <c r="I6" s="55" t="s">
        <v>127</v>
      </c>
      <c r="J6" s="206">
        <f>inputPrYr!D17</f>
        <v>0</v>
      </c>
    </row>
    <row r="7" spans="1:10" ht="15.75">
      <c r="A7" s="54" t="s">
        <v>161</v>
      </c>
      <c r="B7" s="58" t="s">
        <v>158</v>
      </c>
      <c r="C7" s="50"/>
      <c r="D7" s="50"/>
      <c r="E7" s="55"/>
      <c r="F7" s="55"/>
      <c r="G7" s="55"/>
      <c r="H7" s="55"/>
      <c r="I7" s="55" t="s">
        <v>127</v>
      </c>
      <c r="J7" s="59">
        <f>J5-J6</f>
        <v>4224168</v>
      </c>
    </row>
    <row r="8" spans="1:10" ht="15.75">
      <c r="A8" s="50"/>
      <c r="B8" s="50"/>
      <c r="C8" s="50"/>
      <c r="D8" s="50"/>
      <c r="E8" s="55"/>
      <c r="F8" s="55"/>
      <c r="G8" s="55"/>
      <c r="H8" s="55"/>
      <c r="I8" s="55"/>
      <c r="J8" s="55"/>
    </row>
    <row r="9" spans="1:10" ht="15.75">
      <c r="A9" s="50"/>
      <c r="B9" s="58" t="str">
        <f>CONCATENATE("",J1-1," Valuation Information for Valuation Adjustments:")</f>
        <v>2012 Valuation Information for Valuation Adjustments:</v>
      </c>
      <c r="C9" s="50"/>
      <c r="D9" s="50"/>
      <c r="E9" s="55"/>
      <c r="F9" s="55"/>
      <c r="G9" s="55"/>
      <c r="H9" s="55"/>
      <c r="I9" s="55"/>
      <c r="J9" s="55"/>
    </row>
    <row r="10" spans="1:10" ht="15.75">
      <c r="A10" s="50"/>
      <c r="B10" s="50"/>
      <c r="C10" s="58"/>
      <c r="D10" s="50"/>
      <c r="E10" s="55"/>
      <c r="F10" s="55"/>
      <c r="G10" s="55"/>
      <c r="H10" s="55"/>
      <c r="I10" s="55"/>
      <c r="J10" s="55"/>
    </row>
    <row r="11" spans="1:10" ht="15.75">
      <c r="A11" s="54" t="s">
        <v>130</v>
      </c>
      <c r="B11" s="58" t="str">
        <f>CONCATENATE("New Improvements for ",J1-1,":")</f>
        <v>New Improvements for 2012:</v>
      </c>
      <c r="C11" s="50"/>
      <c r="D11" s="50"/>
      <c r="E11" s="56"/>
      <c r="F11" s="56" t="s">
        <v>126</v>
      </c>
      <c r="G11" s="60">
        <f>inputOth!E7</f>
        <v>284170</v>
      </c>
      <c r="H11" s="61"/>
      <c r="I11" s="55"/>
      <c r="J11" s="55"/>
    </row>
    <row r="12" spans="1:10" ht="15.75">
      <c r="A12" s="54"/>
      <c r="B12" s="62"/>
      <c r="C12" s="50"/>
      <c r="D12" s="50"/>
      <c r="E12" s="56"/>
      <c r="F12" s="56"/>
      <c r="G12" s="61"/>
      <c r="H12" s="61"/>
      <c r="I12" s="55"/>
      <c r="J12" s="55"/>
    </row>
    <row r="13" spans="1:10" ht="15.75">
      <c r="A13" s="54" t="s">
        <v>131</v>
      </c>
      <c r="B13" s="58" t="str">
        <f>CONCATENATE("Increase in Personal Property for ",J1-1,":")</f>
        <v>Increase in Personal Property for 2012:</v>
      </c>
      <c r="C13" s="50"/>
      <c r="D13" s="50"/>
      <c r="E13" s="56"/>
      <c r="F13" s="56"/>
      <c r="G13" s="61"/>
      <c r="H13" s="61"/>
      <c r="I13" s="55"/>
      <c r="J13" s="55"/>
    </row>
    <row r="14" spans="1:10" ht="15.75">
      <c r="A14" s="63"/>
      <c r="B14" s="50" t="s">
        <v>132</v>
      </c>
      <c r="C14" s="50" t="str">
        <f>CONCATENATE("Personal Property ",J1-1,"")</f>
        <v>Personal Property 2012</v>
      </c>
      <c r="D14" s="62" t="s">
        <v>126</v>
      </c>
      <c r="E14" s="60">
        <f>inputOth!E8</f>
        <v>2915651</v>
      </c>
      <c r="F14" s="56"/>
      <c r="G14" s="55"/>
      <c r="H14" s="55"/>
      <c r="I14" s="61"/>
      <c r="J14" s="55"/>
    </row>
    <row r="15" spans="1:10" ht="15.75">
      <c r="A15" s="62"/>
      <c r="B15" s="50" t="s">
        <v>138</v>
      </c>
      <c r="C15" s="50" t="str">
        <f>CONCATENATE("Personal Property ",J1-2,"")</f>
        <v>Personal Property 2011</v>
      </c>
      <c r="D15" s="62" t="s">
        <v>129</v>
      </c>
      <c r="E15" s="64">
        <f>inputOth!E14</f>
        <v>2779916</v>
      </c>
      <c r="F15" s="56"/>
      <c r="G15" s="61"/>
      <c r="H15" s="61"/>
      <c r="I15" s="55"/>
      <c r="J15" s="55"/>
    </row>
    <row r="16" spans="1:10" ht="15.75">
      <c r="A16" s="62"/>
      <c r="B16" s="50" t="s">
        <v>139</v>
      </c>
      <c r="C16" s="50" t="s">
        <v>160</v>
      </c>
      <c r="D16" s="50"/>
      <c r="E16" s="55"/>
      <c r="F16" s="55" t="s">
        <v>126</v>
      </c>
      <c r="G16" s="57">
        <f>IF(E14&gt;E15,E14-E15,0)</f>
        <v>135735</v>
      </c>
      <c r="H16" s="61"/>
      <c r="I16" s="55"/>
      <c r="J16" s="55"/>
    </row>
    <row r="17" spans="1:10" ht="15.75">
      <c r="A17" s="62"/>
      <c r="B17" s="62"/>
      <c r="C17" s="50"/>
      <c r="D17" s="50"/>
      <c r="E17" s="55"/>
      <c r="F17" s="55"/>
      <c r="G17" s="61" t="s">
        <v>152</v>
      </c>
      <c r="H17" s="61"/>
      <c r="I17" s="55"/>
      <c r="J17" s="55"/>
    </row>
    <row r="18" spans="1:10" ht="15.75">
      <c r="A18" s="62" t="s">
        <v>140</v>
      </c>
      <c r="B18" s="58" t="str">
        <f>CONCATENATE("Valuation of annexed territory for ",J1-1,"")</f>
        <v>Valuation of annexed territory for 2012</v>
      </c>
      <c r="C18" s="50"/>
      <c r="D18" s="50"/>
      <c r="E18" s="61"/>
      <c r="F18" s="55"/>
      <c r="G18" s="55"/>
      <c r="H18" s="55"/>
      <c r="I18" s="55"/>
      <c r="J18" s="55"/>
    </row>
    <row r="19" spans="1:10" ht="15.75">
      <c r="A19" s="62"/>
      <c r="B19" s="50" t="s">
        <v>141</v>
      </c>
      <c r="C19" s="50" t="s">
        <v>162</v>
      </c>
      <c r="D19" s="62" t="s">
        <v>126</v>
      </c>
      <c r="E19" s="60">
        <f>inputOth!E10</f>
        <v>0</v>
      </c>
      <c r="F19" s="55"/>
      <c r="G19" s="55"/>
      <c r="H19" s="55"/>
      <c r="I19" s="55"/>
      <c r="J19" s="55"/>
    </row>
    <row r="20" spans="1:10" ht="15.75">
      <c r="A20" s="62"/>
      <c r="B20" s="50" t="s">
        <v>142</v>
      </c>
      <c r="C20" s="50" t="s">
        <v>163</v>
      </c>
      <c r="D20" s="62" t="s">
        <v>126</v>
      </c>
      <c r="E20" s="60">
        <f>inputOth!E11</f>
        <v>0</v>
      </c>
      <c r="F20" s="55"/>
      <c r="G20" s="61"/>
      <c r="H20" s="61"/>
      <c r="I20" s="55"/>
      <c r="J20" s="55"/>
    </row>
    <row r="21" spans="1:10" ht="15.75">
      <c r="A21" s="62"/>
      <c r="B21" s="50" t="s">
        <v>143</v>
      </c>
      <c r="C21" s="50" t="s">
        <v>159</v>
      </c>
      <c r="D21" s="62" t="s">
        <v>129</v>
      </c>
      <c r="E21" s="60">
        <f>inputOth!E12</f>
        <v>0</v>
      </c>
      <c r="F21" s="55"/>
      <c r="G21" s="61"/>
      <c r="H21" s="61"/>
      <c r="I21" s="55"/>
      <c r="J21" s="55"/>
    </row>
    <row r="22" spans="1:10" ht="15.75">
      <c r="A22" s="62"/>
      <c r="B22" s="50" t="s">
        <v>144</v>
      </c>
      <c r="C22" s="50" t="s">
        <v>164</v>
      </c>
      <c r="D22" s="62"/>
      <c r="E22" s="61"/>
      <c r="F22" s="55" t="s">
        <v>126</v>
      </c>
      <c r="G22" s="57">
        <f>E19+E20-E21</f>
        <v>0</v>
      </c>
      <c r="H22" s="61"/>
      <c r="I22" s="55"/>
      <c r="J22" s="55"/>
    </row>
    <row r="23" spans="1:10" ht="15.75">
      <c r="A23" s="62"/>
      <c r="B23" s="62"/>
      <c r="C23" s="50"/>
      <c r="D23" s="62"/>
      <c r="E23" s="61"/>
      <c r="F23" s="55"/>
      <c r="G23" s="61"/>
      <c r="H23" s="61"/>
      <c r="I23" s="55"/>
      <c r="J23" s="55"/>
    </row>
    <row r="24" spans="1:10" ht="15.75">
      <c r="A24" s="62" t="s">
        <v>145</v>
      </c>
      <c r="B24" s="58" t="str">
        <f>CONCATENATE("Valuation of Property that has Changed in Use during ",J1-1,"")</f>
        <v>Valuation of Property that has Changed in Use during 2012</v>
      </c>
      <c r="C24" s="50"/>
      <c r="D24" s="50"/>
      <c r="E24" s="55"/>
      <c r="F24" s="55"/>
      <c r="G24" s="65">
        <f>inputOth!E13</f>
        <v>0</v>
      </c>
      <c r="H24" s="55"/>
      <c r="I24" s="55"/>
      <c r="J24" s="55"/>
    </row>
    <row r="25" spans="1:10" ht="15.75">
      <c r="A25" s="50" t="s">
        <v>18</v>
      </c>
      <c r="B25" s="50"/>
      <c r="C25" s="50"/>
      <c r="D25" s="62"/>
      <c r="E25" s="61"/>
      <c r="F25" s="55"/>
      <c r="G25" s="66"/>
      <c r="H25" s="61"/>
      <c r="I25" s="55"/>
      <c r="J25" s="55"/>
    </row>
    <row r="26" spans="1:10" ht="15.75">
      <c r="A26" s="62" t="s">
        <v>146</v>
      </c>
      <c r="B26" s="58" t="s">
        <v>165</v>
      </c>
      <c r="C26" s="50"/>
      <c r="D26" s="50"/>
      <c r="E26" s="55"/>
      <c r="F26" s="55"/>
      <c r="G26" s="57">
        <f>G11+G16+G22+G24</f>
        <v>419905</v>
      </c>
      <c r="H26" s="61"/>
      <c r="I26" s="55"/>
      <c r="J26" s="55"/>
    </row>
    <row r="27" spans="1:10" ht="15.75">
      <c r="A27" s="62"/>
      <c r="B27" s="62"/>
      <c r="C27" s="58"/>
      <c r="D27" s="50"/>
      <c r="E27" s="55"/>
      <c r="F27" s="55"/>
      <c r="G27" s="61"/>
      <c r="H27" s="61"/>
      <c r="I27" s="55"/>
      <c r="J27" s="55"/>
    </row>
    <row r="28" spans="1:10" ht="15.75">
      <c r="A28" s="62" t="s">
        <v>147</v>
      </c>
      <c r="B28" s="50" t="str">
        <f>CONCATENATE("Total Estimated Valuation July 1,",J1-1,"")</f>
        <v>Total Estimated Valuation July 1,2012</v>
      </c>
      <c r="C28" s="50"/>
      <c r="D28" s="50"/>
      <c r="E28" s="57">
        <f>inputOth!E6</f>
        <v>106592328</v>
      </c>
      <c r="F28" s="55"/>
      <c r="G28" s="55"/>
      <c r="H28" s="55"/>
      <c r="I28" s="56"/>
      <c r="J28" s="55"/>
    </row>
    <row r="29" spans="1:10" ht="15.75">
      <c r="A29" s="62"/>
      <c r="B29" s="62"/>
      <c r="C29" s="50"/>
      <c r="D29" s="50"/>
      <c r="E29" s="61"/>
      <c r="F29" s="55"/>
      <c r="G29" s="55"/>
      <c r="H29" s="55"/>
      <c r="I29" s="56"/>
      <c r="J29" s="55"/>
    </row>
    <row r="30" spans="1:10" ht="15.75">
      <c r="A30" s="62" t="s">
        <v>148</v>
      </c>
      <c r="B30" s="58" t="s">
        <v>166</v>
      </c>
      <c r="C30" s="50"/>
      <c r="D30" s="50"/>
      <c r="E30" s="55"/>
      <c r="F30" s="55"/>
      <c r="G30" s="57">
        <f>E28-G26</f>
        <v>106172423</v>
      </c>
      <c r="H30" s="61"/>
      <c r="I30" s="56"/>
      <c r="J30" s="55"/>
    </row>
    <row r="31" spans="1:10" ht="15.75">
      <c r="A31" s="62"/>
      <c r="B31" s="62"/>
      <c r="C31" s="58"/>
      <c r="D31" s="50"/>
      <c r="E31" s="50"/>
      <c r="F31" s="50"/>
      <c r="G31" s="67"/>
      <c r="H31" s="68"/>
      <c r="I31" s="62"/>
      <c r="J31" s="50"/>
    </row>
    <row r="32" spans="1:10" ht="15.75">
      <c r="A32" s="62" t="s">
        <v>149</v>
      </c>
      <c r="B32" s="50" t="s">
        <v>167</v>
      </c>
      <c r="C32" s="50"/>
      <c r="D32" s="50"/>
      <c r="E32" s="50"/>
      <c r="F32" s="50"/>
      <c r="G32" s="69">
        <f>IF(G30&gt;0,G26/G30,0)</f>
        <v>3.9549347008874421E-3</v>
      </c>
      <c r="H32" s="68"/>
      <c r="I32" s="50"/>
      <c r="J32" s="50"/>
    </row>
    <row r="33" spans="1:10" ht="15.75">
      <c r="A33" s="62"/>
      <c r="B33" s="62"/>
      <c r="C33" s="50"/>
      <c r="D33" s="50"/>
      <c r="E33" s="50"/>
      <c r="F33" s="50"/>
      <c r="G33" s="68"/>
      <c r="H33" s="68"/>
      <c r="I33" s="50"/>
      <c r="J33" s="50"/>
    </row>
    <row r="34" spans="1:10" ht="15.75">
      <c r="A34" s="62" t="s">
        <v>150</v>
      </c>
      <c r="B34" s="50" t="s">
        <v>168</v>
      </c>
      <c r="C34" s="50"/>
      <c r="D34" s="50"/>
      <c r="E34" s="50"/>
      <c r="F34" s="50"/>
      <c r="G34" s="68"/>
      <c r="H34" s="70" t="s">
        <v>126</v>
      </c>
      <c r="I34" s="50" t="s">
        <v>127</v>
      </c>
      <c r="J34" s="57">
        <f>ROUND(G32*J7,0)</f>
        <v>16706</v>
      </c>
    </row>
    <row r="35" spans="1:10" ht="15.75">
      <c r="A35" s="62"/>
      <c r="B35" s="62"/>
      <c r="C35" s="50"/>
      <c r="D35" s="50"/>
      <c r="E35" s="50"/>
      <c r="F35" s="50"/>
      <c r="G35" s="68"/>
      <c r="H35" s="70"/>
      <c r="I35" s="50"/>
      <c r="J35" s="61"/>
    </row>
    <row r="36" spans="1:10" ht="16.5" thickBot="1">
      <c r="A36" s="62" t="s">
        <v>151</v>
      </c>
      <c r="B36" s="58" t="s">
        <v>174</v>
      </c>
      <c r="C36" s="50"/>
      <c r="D36" s="50"/>
      <c r="E36" s="50"/>
      <c r="F36" s="50"/>
      <c r="G36" s="50"/>
      <c r="H36" s="50"/>
      <c r="I36" s="50" t="s">
        <v>127</v>
      </c>
      <c r="J36" s="71">
        <f>J7+J34</f>
        <v>4240874</v>
      </c>
    </row>
    <row r="37" spans="1:10" ht="16.5" thickTop="1">
      <c r="A37" s="50"/>
      <c r="B37" s="50"/>
      <c r="C37" s="50"/>
      <c r="D37" s="50"/>
      <c r="E37" s="50"/>
      <c r="F37" s="50"/>
      <c r="G37" s="50"/>
      <c r="H37" s="50"/>
      <c r="I37" s="50"/>
      <c r="J37" s="50"/>
    </row>
    <row r="38" spans="1:10" ht="15.75">
      <c r="A38" s="62" t="s">
        <v>172</v>
      </c>
      <c r="B38" s="58" t="str">
        <f>CONCATENATE("Debt Service in this ",J1," Budget")</f>
        <v>Debt Service in this 2013 Budget</v>
      </c>
      <c r="C38" s="50"/>
      <c r="D38" s="50"/>
      <c r="E38" s="50"/>
      <c r="F38" s="50"/>
      <c r="G38" s="50"/>
      <c r="H38" s="50"/>
      <c r="I38" s="50"/>
      <c r="J38" s="207">
        <f>'090'!E72</f>
        <v>0</v>
      </c>
    </row>
    <row r="39" spans="1:10" ht="15.75">
      <c r="A39" s="62"/>
      <c r="B39" s="58"/>
      <c r="C39" s="50"/>
      <c r="D39" s="50"/>
      <c r="E39" s="50"/>
      <c r="F39" s="50"/>
      <c r="G39" s="50"/>
      <c r="H39" s="50"/>
      <c r="I39" s="50"/>
      <c r="J39" s="68"/>
    </row>
    <row r="40" spans="1:10" ht="16.5" thickBot="1">
      <c r="A40" s="62" t="s">
        <v>173</v>
      </c>
      <c r="B40" s="58" t="s">
        <v>175</v>
      </c>
      <c r="C40" s="50"/>
      <c r="D40" s="50"/>
      <c r="E40" s="50"/>
      <c r="F40" s="50"/>
      <c r="G40" s="50"/>
      <c r="H40" s="50"/>
      <c r="I40" s="50"/>
      <c r="J40" s="71">
        <f>J36+J38</f>
        <v>4240874</v>
      </c>
    </row>
    <row r="41" spans="1:10" ht="16.5" thickTop="1">
      <c r="A41" s="50"/>
      <c r="B41" s="50"/>
      <c r="C41" s="50"/>
      <c r="D41" s="50"/>
      <c r="E41" s="50"/>
      <c r="F41" s="50"/>
      <c r="G41" s="50"/>
      <c r="H41" s="50"/>
      <c r="I41" s="50"/>
      <c r="J41" s="50"/>
    </row>
    <row r="42" spans="1:10" s="19" customFormat="1" ht="18.75">
      <c r="A42" s="449" t="str">
        <f>CONCATENATE("If the ",J1," budget includes tax levies exceeding the total on line 15, you must")</f>
        <v>If the 2013 budget includes tax levies exceeding the total on line 15, you must</v>
      </c>
      <c r="B42" s="449"/>
      <c r="C42" s="449"/>
      <c r="D42" s="449"/>
      <c r="E42" s="449"/>
      <c r="F42" s="449"/>
      <c r="G42" s="449"/>
      <c r="H42" s="449"/>
      <c r="I42" s="449"/>
      <c r="J42" s="449"/>
    </row>
    <row r="43" spans="1:10" s="19" customFormat="1" ht="18.75">
      <c r="A43" s="449" t="s">
        <v>256</v>
      </c>
      <c r="B43" s="449"/>
      <c r="C43" s="449"/>
      <c r="D43" s="449"/>
      <c r="E43" s="449"/>
      <c r="F43" s="449"/>
      <c r="G43" s="449"/>
      <c r="H43" s="449"/>
      <c r="I43" s="449"/>
      <c r="J43" s="449"/>
    </row>
    <row r="44" spans="1:10" s="19" customFormat="1" ht="18.75">
      <c r="A44" s="449" t="s">
        <v>257</v>
      </c>
      <c r="B44" s="449"/>
      <c r="C44" s="449"/>
      <c r="D44" s="449"/>
      <c r="E44" s="449"/>
      <c r="F44" s="449"/>
      <c r="G44" s="449"/>
      <c r="H44" s="449"/>
      <c r="I44" s="449"/>
      <c r="J44" s="449"/>
    </row>
  </sheetData>
  <sheetProtection sheet="1" objects="1" scenarios="1"/>
  <mergeCells count="5">
    <mergeCell ref="A42:J42"/>
    <mergeCell ref="A44:J44"/>
    <mergeCell ref="A3:J3"/>
    <mergeCell ref="E4:G4"/>
    <mergeCell ref="A43:J43"/>
  </mergeCells>
  <phoneticPr fontId="0" type="noConversion"/>
  <pageMargins left="0.5" right="0.5" top="1" bottom="0.5" header="0.5" footer="0.5"/>
  <pageSetup scale="80" orientation="portrait" blackAndWhite="1" r:id="rId1"/>
  <headerFooter alignWithMargins="0">
    <oddHeader xml:space="preserve">&amp;RState of Kansas
Coffeyville
</oddHeader>
    <oddFooter>&amp;Lrevised 8/06/07&amp;CPage No. 2</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29"/>
  <sheetViews>
    <sheetView view="pageBreakPreview" zoomScaleNormal="100" workbookViewId="0">
      <selection activeCell="C30" sqref="C30"/>
    </sheetView>
  </sheetViews>
  <sheetFormatPr defaultRowHeight="15.75"/>
  <cols>
    <col min="1" max="1" width="17.88671875" style="7" customWidth="1"/>
    <col min="2" max="2" width="16.109375" style="7" customWidth="1"/>
    <col min="3" max="5" width="12.77734375" style="7" customWidth="1"/>
    <col min="6" max="6" width="10.21875" style="7" customWidth="1"/>
    <col min="7" max="16384" width="8.88671875" style="7"/>
  </cols>
  <sheetData>
    <row r="1" spans="1:6">
      <c r="A1" s="72" t="str">
        <f>inputPrYr!D2</f>
        <v>City of Coffeyville</v>
      </c>
      <c r="B1" s="72"/>
      <c r="C1" s="21"/>
      <c r="D1" s="21"/>
      <c r="E1" s="21"/>
      <c r="F1" s="21">
        <f>inputPrYr!C5</f>
        <v>2013</v>
      </c>
    </row>
    <row r="2" spans="1:6">
      <c r="A2" s="21"/>
      <c r="B2" s="21"/>
      <c r="C2" s="21"/>
      <c r="D2" s="21"/>
      <c r="E2" s="21"/>
      <c r="F2" s="21"/>
    </row>
    <row r="3" spans="1:6">
      <c r="A3" s="452" t="s">
        <v>338</v>
      </c>
      <c r="B3" s="452"/>
      <c r="C3" s="452"/>
      <c r="D3" s="452"/>
      <c r="E3" s="452"/>
      <c r="F3" s="21"/>
    </row>
    <row r="4" spans="1:6">
      <c r="A4" s="21"/>
      <c r="B4" s="129"/>
      <c r="C4" s="129"/>
      <c r="D4" s="129"/>
      <c r="E4" s="21"/>
      <c r="F4" s="21"/>
    </row>
    <row r="5" spans="1:6" ht="21" customHeight="1">
      <c r="A5" s="76" t="s">
        <v>255</v>
      </c>
      <c r="B5" s="205" t="s">
        <v>254</v>
      </c>
      <c r="C5" s="453" t="str">
        <f>CONCATENATE("Allocation for Year ",F1,"")</f>
        <v>Allocation for Year 2013</v>
      </c>
      <c r="D5" s="454"/>
      <c r="E5" s="454"/>
      <c r="F5" s="455"/>
    </row>
    <row r="6" spans="1:6">
      <c r="A6" s="80" t="str">
        <f>CONCATENATE("for ",F1-1,"")</f>
        <v>for 2012</v>
      </c>
      <c r="B6" s="80" t="str">
        <f>CONCATENATE("for ",F1-1,"")</f>
        <v>for 2012</v>
      </c>
      <c r="C6" s="36" t="s">
        <v>119</v>
      </c>
      <c r="D6" s="36" t="s">
        <v>120</v>
      </c>
      <c r="E6" s="36" t="s">
        <v>118</v>
      </c>
      <c r="F6" s="82" t="s">
        <v>224</v>
      </c>
    </row>
    <row r="7" spans="1:6">
      <c r="A7" s="40" t="str">
        <f>(inputPrYr!B16)</f>
        <v>General</v>
      </c>
      <c r="B7" s="139">
        <f>(inputPrYr!D16)</f>
        <v>3871122</v>
      </c>
      <c r="C7" s="139">
        <f>IF(inputPrYr!D16=0,0,C21-SUM(C8:C18))</f>
        <v>218689.6</v>
      </c>
      <c r="D7" s="139">
        <f>IF(inputPrYr!D16=0,0,D22-SUM(D8:D18))</f>
        <v>1738.32</v>
      </c>
      <c r="E7" s="139">
        <f>IF(inputPrYr!D16=0,0,E23-SUM(E8:E18))</f>
        <v>2096.7800000000002</v>
      </c>
      <c r="F7" s="139">
        <f>IF(inputPrYr!D16=0,0,F24-SUM(F8:F18))</f>
        <v>0</v>
      </c>
    </row>
    <row r="8" spans="1:6">
      <c r="A8" s="40" t="str">
        <f>IF(inputPrYr!$B17&gt;"  ",(inputPrYr!$B17),"  ")</f>
        <v>Bond &amp; Interest</v>
      </c>
      <c r="B8" s="139" t="str">
        <f>IF(inputPrYr!$D17&gt;0,(inputPrYr!$D17),"  ")</f>
        <v xml:space="preserve">  </v>
      </c>
      <c r="C8" s="139" t="str">
        <f>IF(inputPrYr!D17&gt;0,ROUND(B8*$C$25,0),"  ")</f>
        <v xml:space="preserve">  </v>
      </c>
      <c r="D8" s="139" t="str">
        <f>IF(inputPrYr!D17&gt;0,ROUND(+B8*D$26,0)," ")</f>
        <v xml:space="preserve"> </v>
      </c>
      <c r="E8" s="139" t="str">
        <f>IF(inputPrYr!D17&gt;0,ROUND(B8*E$27,0)," ")</f>
        <v xml:space="preserve"> </v>
      </c>
      <c r="F8" s="139" t="str">
        <f>IF(inputPrYr!D17&gt;0,ROUND(B8*F$28,0)," ")</f>
        <v xml:space="preserve"> </v>
      </c>
    </row>
    <row r="9" spans="1:6">
      <c r="A9" s="40" t="str">
        <f>IF(inputPrYr!$B19&gt;"  ",(inputPrYr!$B19),"  ")</f>
        <v>Library</v>
      </c>
      <c r="B9" s="139">
        <f>IF(inputPrYr!$D19&gt;0,(inputPrYr!$D19),"  ")</f>
        <v>353046</v>
      </c>
      <c r="C9" s="139">
        <f>IF(inputPrYr!D19&gt;0,ROUND(B9*$C$25,0),"  ")</f>
        <v>19945</v>
      </c>
      <c r="D9" s="139">
        <f>IF(inputPrYr!D19&gt;0,ROUND(+B9*D$26,0)," ")</f>
        <v>159</v>
      </c>
      <c r="E9" s="139">
        <f>IF(inputPrYr!D19&gt;0,ROUND(+B9*E$27,0)," ")</f>
        <v>191</v>
      </c>
      <c r="F9" s="139">
        <f>IF(inputPrYr!D19&gt;0,ROUND(+B9*F$28,0)," ")</f>
        <v>0</v>
      </c>
    </row>
    <row r="10" spans="1:6">
      <c r="A10" s="40" t="str">
        <f>IF(inputPrYr!$B20&gt;"  ",(inputPrYr!$B20),"  ")</f>
        <v>Employee Benefits</v>
      </c>
      <c r="B10" s="139" t="str">
        <f>IF(inputPrYr!$D20&gt;0,(inputPrYr!$D20),"  ")</f>
        <v xml:space="preserve">  </v>
      </c>
      <c r="C10" s="139" t="str">
        <f>IF(inputPrYr!D20&gt;0,ROUND(B10*$C$25,0),"  ")</f>
        <v xml:space="preserve">  </v>
      </c>
      <c r="D10" s="139" t="str">
        <f>IF(inputPrYr!D20&gt;0,ROUND(+B10*D$26,0)," ")</f>
        <v xml:space="preserve"> </v>
      </c>
      <c r="E10" s="139" t="str">
        <f>IF(inputPrYr!D20&gt;0,ROUND(+B10*E$27,0)," ")</f>
        <v xml:space="preserve"> </v>
      </c>
      <c r="F10" s="139" t="str">
        <f>IF(inputPrYr!D20&gt;0,ROUND(+B10*F$28,0)," ")</f>
        <v xml:space="preserve"> </v>
      </c>
    </row>
    <row r="11" spans="1:6">
      <c r="A11" s="40" t="str">
        <f>IF(inputPrYr!$B21&gt;"  ",(inputPrYr!$B21),"  ")</f>
        <v xml:space="preserve">  </v>
      </c>
      <c r="B11" s="139" t="str">
        <f>IF(inputPrYr!$D21&gt;0,(inputPrYr!$D21),"  ")</f>
        <v xml:space="preserve">  </v>
      </c>
      <c r="C11" s="139" t="str">
        <f>IF(inputPrYr!D21&gt;0,ROUND(B11*$C$25,0),"  ")</f>
        <v xml:space="preserve">  </v>
      </c>
      <c r="D11" s="139" t="str">
        <f>IF(inputPrYr!D21&gt;0,ROUND(+B11*D$26,0)," ")</f>
        <v xml:space="preserve"> </v>
      </c>
      <c r="E11" s="139" t="str">
        <f>IF(inputPrYr!D21&gt;0,ROUND(+B11*E$27,0)," ")</f>
        <v xml:space="preserve"> </v>
      </c>
      <c r="F11" s="139" t="str">
        <f>IF(inputPrYr!D21&gt;0,ROUND(+B11*F$28,0)," ")</f>
        <v xml:space="preserve"> </v>
      </c>
    </row>
    <row r="12" spans="1:6">
      <c r="A12" s="40" t="str">
        <f>IF(inputPrYr!$B22&gt;"  ",(inputPrYr!$B22),"  ")</f>
        <v xml:space="preserve">  </v>
      </c>
      <c r="B12" s="139" t="str">
        <f>IF(inputPrYr!$D22&gt;0,(inputPrYr!$D22),"  ")</f>
        <v xml:space="preserve">  </v>
      </c>
      <c r="C12" s="139" t="str">
        <f>IF(inputPrYr!D22&gt;0,ROUND(B12*$C$25,0),"  ")</f>
        <v xml:space="preserve">  </v>
      </c>
      <c r="D12" s="139" t="str">
        <f>IF(inputPrYr!D22&gt;0,ROUND(+B12*D$26,0)," ")</f>
        <v xml:space="preserve"> </v>
      </c>
      <c r="E12" s="139" t="str">
        <f>IF(inputPrYr!D22&gt;0,ROUND(+B12*E$27,0)," ")</f>
        <v xml:space="preserve"> </v>
      </c>
      <c r="F12" s="139" t="str">
        <f>IF(inputPrYr!D22&gt;0,ROUND(+B12*F$28,0)," ")</f>
        <v xml:space="preserve"> </v>
      </c>
    </row>
    <row r="13" spans="1:6">
      <c r="A13" s="40" t="str">
        <f>IF(inputPrYr!$B23&gt;"  ",(inputPrYr!$B23),"  ")</f>
        <v xml:space="preserve">  </v>
      </c>
      <c r="B13" s="139" t="str">
        <f>IF(inputPrYr!$D23&gt;0,(inputPrYr!$D23),"  ")</f>
        <v xml:space="preserve">  </v>
      </c>
      <c r="C13" s="139" t="str">
        <f>IF(inputPrYr!D23&gt;0,ROUND(B13*$C$25,0),"  ")</f>
        <v xml:space="preserve">  </v>
      </c>
      <c r="D13" s="139" t="str">
        <f>IF(inputPrYr!D23&gt;0,ROUND(+B13*D$26,0)," ")</f>
        <v xml:space="preserve"> </v>
      </c>
      <c r="E13" s="139" t="str">
        <f>IF(inputPrYr!D23&gt;0,ROUND(+B13*E$27,0)," ")</f>
        <v xml:space="preserve"> </v>
      </c>
      <c r="F13" s="139" t="str">
        <f>IF(inputPrYr!D23&gt;0,ROUND(+B13*F$28,0)," ")</f>
        <v xml:space="preserve"> </v>
      </c>
    </row>
    <row r="14" spans="1:6">
      <c r="A14" s="40" t="str">
        <f>IF(inputPrYr!$B24&gt;"  ",(inputPrYr!$B24),"  ")</f>
        <v xml:space="preserve">  </v>
      </c>
      <c r="B14" s="139" t="str">
        <f>IF(inputPrYr!$D24&gt;0,(inputPrYr!$D24),"  ")</f>
        <v xml:space="preserve">  </v>
      </c>
      <c r="C14" s="139" t="str">
        <f>IF(inputPrYr!D24&gt;0,ROUND(B14*$C$25,0),"  ")</f>
        <v xml:space="preserve">  </v>
      </c>
      <c r="D14" s="139" t="str">
        <f>IF(inputPrYr!D24&gt;0,ROUND(+B14*D$26,0)," ")</f>
        <v xml:space="preserve"> </v>
      </c>
      <c r="E14" s="139" t="str">
        <f>IF(inputPrYr!D24&gt;0,ROUND(+B14*E$27,0)," ")</f>
        <v xml:space="preserve"> </v>
      </c>
      <c r="F14" s="139" t="str">
        <f>IF(inputPrYr!D24&gt;0,ROUND(+B14*F$28,0)," ")</f>
        <v xml:space="preserve"> </v>
      </c>
    </row>
    <row r="15" spans="1:6">
      <c r="A15" s="40" t="str">
        <f>IF(inputPrYr!$B25&gt;"  ",(inputPrYr!$B25),"  ")</f>
        <v xml:space="preserve">  </v>
      </c>
      <c r="B15" s="139" t="str">
        <f>IF(inputPrYr!$D25&gt;0,(inputPrYr!$D25),"  ")</f>
        <v xml:space="preserve">  </v>
      </c>
      <c r="C15" s="139" t="str">
        <f>IF(inputPrYr!D25&gt;0,ROUND(B15*$C$25,0),"  ")</f>
        <v xml:space="preserve">  </v>
      </c>
      <c r="D15" s="139" t="str">
        <f>IF(inputPrYr!D25&gt;0,ROUND(+B15*D$26,0)," ")</f>
        <v xml:space="preserve"> </v>
      </c>
      <c r="E15" s="139" t="str">
        <f>IF(inputPrYr!D25&gt;0,ROUND(+B15*E$27,0)," ")</f>
        <v xml:space="preserve"> </v>
      </c>
      <c r="F15" s="139" t="str">
        <f>IF(inputPrYr!D25&gt;0,ROUND(+B15*F$28,0)," ")</f>
        <v xml:space="preserve"> </v>
      </c>
    </row>
    <row r="16" spans="1:6">
      <c r="A16" s="40" t="str">
        <f>IF(inputPrYr!$B26&gt;"  ",(inputPrYr!$B26),"  ")</f>
        <v xml:space="preserve">  </v>
      </c>
      <c r="B16" s="139" t="str">
        <f>IF(inputPrYr!$D26&gt;0,(inputPrYr!$D26),"  ")</f>
        <v xml:space="preserve">  </v>
      </c>
      <c r="C16" s="139" t="str">
        <f>IF(inputPrYr!D26&gt;0,ROUND(B16*$C$25,0),"  ")</f>
        <v xml:space="preserve">  </v>
      </c>
      <c r="D16" s="139" t="str">
        <f>IF(inputPrYr!D26&gt;0,ROUND(+B16*D$26,0)," ")</f>
        <v xml:space="preserve"> </v>
      </c>
      <c r="E16" s="139" t="str">
        <f>IF(inputPrYr!D26&gt;0,ROUND(+B16*E$27,0)," ")</f>
        <v xml:space="preserve"> </v>
      </c>
      <c r="F16" s="139" t="str">
        <f>IF(inputPrYr!D26&gt;0,ROUND(+B16*F$28,0)," ")</f>
        <v xml:space="preserve"> </v>
      </c>
    </row>
    <row r="17" spans="1:6">
      <c r="A17" s="40" t="str">
        <f>IF(inputPrYr!$B27&gt;"  ",(inputPrYr!$B27),"  ")</f>
        <v xml:space="preserve">  </v>
      </c>
      <c r="B17" s="139" t="str">
        <f>IF(inputPrYr!$D27&gt;0,(inputPrYr!$D27),"  ")</f>
        <v xml:space="preserve">  </v>
      </c>
      <c r="C17" s="139" t="str">
        <f>IF(inputPrYr!D27&gt;0,ROUND(B17*$C$25,0),"  ")</f>
        <v xml:space="preserve">  </v>
      </c>
      <c r="D17" s="139" t="str">
        <f>IF(inputPrYr!D27&gt;0,ROUND(+B17*D$26,0)," ")</f>
        <v xml:space="preserve"> </v>
      </c>
      <c r="E17" s="139" t="str">
        <f>IF(inputPrYr!D27&gt;0,ROUND(+B17*E$27,0)," ")</f>
        <v xml:space="preserve"> </v>
      </c>
      <c r="F17" s="139" t="str">
        <f>IF(inputPrYr!D27&gt;0,ROUND(+B17*F$28,0)," ")</f>
        <v xml:space="preserve"> </v>
      </c>
    </row>
    <row r="18" spans="1:6">
      <c r="A18" s="40" t="str">
        <f>IF(inputPrYr!$B28&gt;"  ",(inputPrYr!$B28),"  ")</f>
        <v xml:space="preserve">  </v>
      </c>
      <c r="B18" s="139" t="str">
        <f>IF(inputPrYr!$D28&gt;0,(inputPrYr!$D28),"  ")</f>
        <v xml:space="preserve">  </v>
      </c>
      <c r="C18" s="139" t="str">
        <f>IF(inputPrYr!D28&gt;0,ROUND(B18*$C$25,0),"  ")</f>
        <v xml:space="preserve">  </v>
      </c>
      <c r="D18" s="139" t="str">
        <f>IF(inputPrYr!D28&gt;0,ROUND(+B18*D$26,0)," ")</f>
        <v xml:space="preserve"> </v>
      </c>
      <c r="E18" s="139" t="str">
        <f>IF(inputPrYr!D28&gt;0,ROUND(+B18*E$27,0)," ")</f>
        <v xml:space="preserve"> </v>
      </c>
      <c r="F18" s="139" t="str">
        <f>IF(inputPrYr!D28&gt;0,ROUND(+B18*F$28,0)," ")</f>
        <v xml:space="preserve"> </v>
      </c>
    </row>
    <row r="19" spans="1:6" ht="16.5" thickBot="1">
      <c r="A19" s="21" t="s">
        <v>36</v>
      </c>
      <c r="B19" s="271">
        <f>SUM(B7:B18)</f>
        <v>4224168</v>
      </c>
      <c r="C19" s="271">
        <f>SUM(C7:C18)</f>
        <v>238634.6</v>
      </c>
      <c r="D19" s="271">
        <f>SUM(D7:D18)</f>
        <v>1897.32</v>
      </c>
      <c r="E19" s="271">
        <f>SUM(E7:E18)</f>
        <v>2287.7800000000002</v>
      </c>
      <c r="F19" s="362">
        <f>SUM(F7:F18)</f>
        <v>0</v>
      </c>
    </row>
    <row r="20" spans="1:6" ht="16.5" thickTop="1">
      <c r="A20" s="21"/>
      <c r="B20" s="137"/>
      <c r="C20" s="137"/>
      <c r="D20" s="137"/>
      <c r="E20" s="137"/>
      <c r="F20" s="21"/>
    </row>
    <row r="21" spans="1:6">
      <c r="A21" s="25" t="s">
        <v>37</v>
      </c>
      <c r="B21" s="94"/>
      <c r="C21" s="74">
        <f>(inputOth!E37)</f>
        <v>238634.6</v>
      </c>
      <c r="D21" s="94"/>
      <c r="E21" s="21"/>
      <c r="F21" s="21"/>
    </row>
    <row r="22" spans="1:6">
      <c r="A22" s="25" t="s">
        <v>38</v>
      </c>
      <c r="B22" s="21"/>
      <c r="C22" s="21"/>
      <c r="D22" s="74">
        <f>(inputOth!E38)</f>
        <v>1897.32</v>
      </c>
      <c r="E22" s="21"/>
      <c r="F22" s="21"/>
    </row>
    <row r="23" spans="1:6">
      <c r="A23" s="25" t="s">
        <v>121</v>
      </c>
      <c r="B23" s="21"/>
      <c r="C23" s="21"/>
      <c r="D23" s="21"/>
      <c r="E23" s="74">
        <f>inputOth!E39</f>
        <v>2287.7800000000002</v>
      </c>
      <c r="F23" s="21"/>
    </row>
    <row r="24" spans="1:6">
      <c r="A24" s="25" t="s">
        <v>334</v>
      </c>
      <c r="B24" s="21"/>
      <c r="C24" s="21"/>
      <c r="D24" s="21"/>
      <c r="E24" s="137"/>
      <c r="F24" s="60">
        <f>inputOth!E42</f>
        <v>0</v>
      </c>
    </row>
    <row r="25" spans="1:6">
      <c r="A25" s="25" t="s">
        <v>39</v>
      </c>
      <c r="B25" s="21"/>
      <c r="C25" s="272">
        <f>IF(B19=0,0,C21/B19)</f>
        <v>5.6492686843894468E-2</v>
      </c>
      <c r="D25" s="21"/>
      <c r="E25" s="21"/>
      <c r="F25" s="21"/>
    </row>
    <row r="26" spans="1:6">
      <c r="A26" s="21"/>
      <c r="B26" s="25" t="s">
        <v>40</v>
      </c>
      <c r="C26" s="21"/>
      <c r="D26" s="272">
        <f>IF(B19=0,0,D22/B19)</f>
        <v>4.4915827211417729E-4</v>
      </c>
      <c r="E26" s="21"/>
      <c r="F26" s="21"/>
    </row>
    <row r="27" spans="1:6">
      <c r="A27" s="21"/>
      <c r="B27" s="21"/>
      <c r="C27" s="25" t="s">
        <v>122</v>
      </c>
      <c r="D27" s="21"/>
      <c r="E27" s="272">
        <f>IF(B19=0,0,E23/B19)</f>
        <v>5.4159304270095328E-4</v>
      </c>
      <c r="F27" s="21"/>
    </row>
    <row r="28" spans="1:6">
      <c r="A28" s="21"/>
      <c r="B28" s="21"/>
      <c r="C28" s="21"/>
      <c r="D28" s="21" t="s">
        <v>335</v>
      </c>
      <c r="E28" s="21"/>
      <c r="F28" s="272">
        <f>IF(B19=0,0,F24/B19)</f>
        <v>0</v>
      </c>
    </row>
    <row r="29" spans="1:6">
      <c r="A29" s="168"/>
      <c r="B29" s="168"/>
      <c r="C29" s="168"/>
      <c r="D29" s="168"/>
      <c r="E29" s="168"/>
      <c r="F29" s="168"/>
    </row>
  </sheetData>
  <mergeCells count="2">
    <mergeCell ref="A3:E3"/>
    <mergeCell ref="C5:F5"/>
  </mergeCells>
  <phoneticPr fontId="0" type="noConversion"/>
  <pageMargins left="0.5" right="0.5" top="1" bottom="0.5" header="0.5" footer="0.5"/>
  <pageSetup scale="90" orientation="portrait" blackAndWhite="1" horizontalDpi="120" verticalDpi="144" r:id="rId1"/>
  <headerFooter alignWithMargins="0">
    <oddHeader xml:space="preserve">&amp;RState of Kansas
Coffeyville
</oddHeader>
    <oddFooter>&amp;Lrevised 8/06/07&amp;CPage No. 3</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F53"/>
  <sheetViews>
    <sheetView view="pageBreakPreview" topLeftCell="A24" zoomScaleNormal="100" workbookViewId="0">
      <selection activeCell="E38" sqref="E38"/>
    </sheetView>
  </sheetViews>
  <sheetFormatPr defaultRowHeight="15.75"/>
  <cols>
    <col min="1" max="1" width="27.6640625" style="2" customWidth="1"/>
    <col min="2" max="2" width="26.77734375" style="2" customWidth="1"/>
    <col min="3" max="6" width="12.77734375" style="2" customWidth="1"/>
    <col min="7" max="16384" width="8.88671875" style="2"/>
  </cols>
  <sheetData>
    <row r="1" spans="1:6">
      <c r="A1" s="51" t="str">
        <f>inputPrYr!D2</f>
        <v>City of Coffeyville</v>
      </c>
      <c r="B1" s="51"/>
      <c r="C1" s="50"/>
      <c r="D1" s="50"/>
      <c r="E1" s="50"/>
      <c r="F1" s="50">
        <f>inputPrYr!$C$5</f>
        <v>2013</v>
      </c>
    </row>
    <row r="2" spans="1:6">
      <c r="A2" s="50"/>
      <c r="B2" s="50"/>
      <c r="C2" s="50"/>
      <c r="D2" s="50"/>
      <c r="E2" s="50"/>
      <c r="F2" s="50"/>
    </row>
    <row r="3" spans="1:6">
      <c r="A3" s="456" t="s">
        <v>181</v>
      </c>
      <c r="B3" s="456"/>
      <c r="C3" s="456"/>
      <c r="D3" s="456"/>
      <c r="E3" s="456"/>
      <c r="F3" s="456"/>
    </row>
    <row r="4" spans="1:6">
      <c r="A4" s="134"/>
      <c r="B4" s="134"/>
      <c r="C4" s="134"/>
      <c r="D4" s="134"/>
      <c r="E4" s="134"/>
      <c r="F4" s="134"/>
    </row>
    <row r="5" spans="1:6">
      <c r="A5" s="135" t="s">
        <v>198</v>
      </c>
      <c r="B5" s="135" t="s">
        <v>198</v>
      </c>
      <c r="C5" s="135" t="s">
        <v>63</v>
      </c>
      <c r="D5" s="135" t="s">
        <v>199</v>
      </c>
      <c r="E5" s="135" t="s">
        <v>200</v>
      </c>
      <c r="F5" s="135" t="s">
        <v>244</v>
      </c>
    </row>
    <row r="6" spans="1:6">
      <c r="A6" s="201" t="s">
        <v>245</v>
      </c>
      <c r="B6" s="201" t="s">
        <v>246</v>
      </c>
      <c r="C6" s="201" t="s">
        <v>247</v>
      </c>
      <c r="D6" s="201" t="s">
        <v>247</v>
      </c>
      <c r="E6" s="201" t="s">
        <v>247</v>
      </c>
      <c r="F6" s="201" t="s">
        <v>248</v>
      </c>
    </row>
    <row r="7" spans="1:6" ht="15" customHeight="1">
      <c r="A7" s="202" t="s">
        <v>249</v>
      </c>
      <c r="B7" s="202" t="s">
        <v>250</v>
      </c>
      <c r="C7" s="146">
        <f>F1-2</f>
        <v>2011</v>
      </c>
      <c r="D7" s="146">
        <f>F1-1</f>
        <v>2012</v>
      </c>
      <c r="E7" s="146">
        <f>F1</f>
        <v>2013</v>
      </c>
      <c r="F7" s="202" t="s">
        <v>251</v>
      </c>
    </row>
    <row r="8" spans="1:6" ht="15" customHeight="1">
      <c r="A8" s="420" t="s">
        <v>390</v>
      </c>
      <c r="B8" s="425" t="s">
        <v>11</v>
      </c>
      <c r="C8" s="426">
        <v>236312.7</v>
      </c>
      <c r="D8" s="426">
        <v>241923.26</v>
      </c>
      <c r="E8" s="426">
        <v>234252.34</v>
      </c>
      <c r="F8" s="427" t="s">
        <v>133</v>
      </c>
    </row>
    <row r="9" spans="1:6" ht="15" customHeight="1">
      <c r="A9" s="420" t="s">
        <v>390</v>
      </c>
      <c r="B9" s="425" t="s">
        <v>11</v>
      </c>
      <c r="C9" s="426">
        <v>177234.53</v>
      </c>
      <c r="D9" s="426">
        <v>181442.44</v>
      </c>
      <c r="E9" s="426">
        <v>175689.26</v>
      </c>
      <c r="F9" s="427" t="s">
        <v>133</v>
      </c>
    </row>
    <row r="10" spans="1:6" ht="14.25" customHeight="1">
      <c r="A10" s="425" t="s">
        <v>390</v>
      </c>
      <c r="B10" s="425" t="s">
        <v>11</v>
      </c>
      <c r="C10" s="428">
        <v>300000</v>
      </c>
      <c r="D10" s="428">
        <v>300000</v>
      </c>
      <c r="E10" s="428">
        <v>300000</v>
      </c>
      <c r="F10" s="427" t="s">
        <v>133</v>
      </c>
    </row>
    <row r="11" spans="1:6" ht="15" customHeight="1">
      <c r="A11" s="420" t="s">
        <v>584</v>
      </c>
      <c r="B11" s="425" t="s">
        <v>11</v>
      </c>
      <c r="C11" s="426">
        <v>1450000</v>
      </c>
      <c r="D11" s="426">
        <v>1550000</v>
      </c>
      <c r="E11" s="426">
        <v>1550000</v>
      </c>
      <c r="F11" s="427" t="s">
        <v>133</v>
      </c>
    </row>
    <row r="12" spans="1:6" ht="15" customHeight="1">
      <c r="A12" s="420" t="s">
        <v>584</v>
      </c>
      <c r="B12" s="425" t="s">
        <v>11</v>
      </c>
      <c r="C12" s="426">
        <v>768016.29</v>
      </c>
      <c r="D12" s="426">
        <v>786250.58</v>
      </c>
      <c r="E12" s="426">
        <v>761320.11</v>
      </c>
      <c r="F12" s="427" t="s">
        <v>133</v>
      </c>
    </row>
    <row r="13" spans="1:6" ht="15" customHeight="1">
      <c r="A13" s="420" t="s">
        <v>649</v>
      </c>
      <c r="B13" s="425" t="s">
        <v>11</v>
      </c>
      <c r="C13" s="426">
        <v>718.32</v>
      </c>
      <c r="D13" s="426">
        <v>0</v>
      </c>
      <c r="E13" s="426">
        <v>0</v>
      </c>
      <c r="F13" s="427" t="s">
        <v>651</v>
      </c>
    </row>
    <row r="14" spans="1:6" ht="15" customHeight="1">
      <c r="A14" s="420" t="s">
        <v>592</v>
      </c>
      <c r="B14" s="425" t="s">
        <v>11</v>
      </c>
      <c r="C14" s="426">
        <f>519.84+570.08</f>
        <v>1089.92</v>
      </c>
      <c r="D14" s="426">
        <v>0</v>
      </c>
      <c r="E14" s="426">
        <v>0</v>
      </c>
      <c r="F14" s="427" t="s">
        <v>651</v>
      </c>
    </row>
    <row r="15" spans="1:6" ht="15" customHeight="1">
      <c r="A15" s="420" t="s">
        <v>11</v>
      </c>
      <c r="B15" s="420" t="s">
        <v>391</v>
      </c>
      <c r="C15" s="426">
        <v>470000</v>
      </c>
      <c r="D15" s="426">
        <v>470000</v>
      </c>
      <c r="E15" s="426">
        <v>470000</v>
      </c>
      <c r="F15" s="427" t="s">
        <v>137</v>
      </c>
    </row>
    <row r="16" spans="1:6" ht="15" customHeight="1">
      <c r="A16" s="420" t="s">
        <v>11</v>
      </c>
      <c r="B16" s="420" t="s">
        <v>466</v>
      </c>
      <c r="C16" s="426">
        <f>696018.69-470000-6000</f>
        <v>220018.68999999994</v>
      </c>
      <c r="D16" s="426">
        <v>164000</v>
      </c>
      <c r="E16" s="426">
        <v>144000</v>
      </c>
      <c r="F16" s="427" t="s">
        <v>137</v>
      </c>
    </row>
    <row r="17" spans="1:6" ht="15" customHeight="1">
      <c r="A17" s="420" t="s">
        <v>11</v>
      </c>
      <c r="B17" s="420" t="s">
        <v>545</v>
      </c>
      <c r="C17" s="426">
        <v>6000</v>
      </c>
      <c r="D17" s="426">
        <v>6000</v>
      </c>
      <c r="E17" s="426">
        <v>6000</v>
      </c>
      <c r="F17" s="427" t="s">
        <v>137</v>
      </c>
    </row>
    <row r="18" spans="1:6" ht="15" customHeight="1">
      <c r="A18" s="420" t="s">
        <v>11</v>
      </c>
      <c r="B18" s="420" t="s">
        <v>466</v>
      </c>
      <c r="C18" s="426">
        <f>3528421.76-1788375</f>
        <v>1740046.7599999998</v>
      </c>
      <c r="D18" s="426">
        <f>800000*2</f>
        <v>1600000</v>
      </c>
      <c r="E18" s="426">
        <f>775000*2</f>
        <v>1550000</v>
      </c>
      <c r="F18" s="427" t="s">
        <v>134</v>
      </c>
    </row>
    <row r="19" spans="1:6" ht="15" customHeight="1">
      <c r="A19" s="420" t="s">
        <v>11</v>
      </c>
      <c r="B19" s="420" t="s">
        <v>466</v>
      </c>
      <c r="C19" s="426">
        <v>1788375</v>
      </c>
      <c r="D19" s="426">
        <v>1777411</v>
      </c>
      <c r="E19" s="426">
        <v>1757550</v>
      </c>
      <c r="F19" s="427" t="s">
        <v>134</v>
      </c>
    </row>
    <row r="20" spans="1:6" ht="15" customHeight="1">
      <c r="A20" s="420" t="s">
        <v>11</v>
      </c>
      <c r="B20" s="420" t="s">
        <v>571</v>
      </c>
      <c r="C20" s="426">
        <v>174004.67</v>
      </c>
      <c r="D20" s="426">
        <v>160000</v>
      </c>
      <c r="E20" s="426">
        <v>155000</v>
      </c>
      <c r="F20" s="427" t="s">
        <v>136</v>
      </c>
    </row>
    <row r="21" spans="1:6" ht="15" customHeight="1">
      <c r="A21" s="420" t="s">
        <v>11</v>
      </c>
      <c r="B21" s="420" t="s">
        <v>392</v>
      </c>
      <c r="C21" s="426">
        <f>1740046.76/2</f>
        <v>870023.38</v>
      </c>
      <c r="D21" s="426">
        <v>800000</v>
      </c>
      <c r="E21" s="426">
        <v>775000</v>
      </c>
      <c r="F21" s="427" t="s">
        <v>137</v>
      </c>
    </row>
    <row r="22" spans="1:6" ht="15" customHeight="1">
      <c r="A22" s="420" t="s">
        <v>11</v>
      </c>
      <c r="B22" s="420" t="s">
        <v>578</v>
      </c>
      <c r="C22" s="426">
        <f>1740046.76/2</f>
        <v>870023.38</v>
      </c>
      <c r="D22" s="426">
        <v>800000</v>
      </c>
      <c r="E22" s="426">
        <v>775000</v>
      </c>
      <c r="F22" s="427" t="s">
        <v>137</v>
      </c>
    </row>
    <row r="23" spans="1:6" ht="15" customHeight="1">
      <c r="A23" s="420" t="s">
        <v>11</v>
      </c>
      <c r="B23" s="420" t="s">
        <v>588</v>
      </c>
      <c r="C23" s="426">
        <v>6000</v>
      </c>
      <c r="D23" s="426">
        <v>6000</v>
      </c>
      <c r="E23" s="426">
        <v>6000</v>
      </c>
      <c r="F23" s="427" t="s">
        <v>135</v>
      </c>
    </row>
    <row r="24" spans="1:6" ht="15" customHeight="1">
      <c r="A24" s="420" t="s">
        <v>393</v>
      </c>
      <c r="B24" s="420" t="s">
        <v>430</v>
      </c>
      <c r="C24" s="426">
        <v>25000</v>
      </c>
      <c r="D24" s="426">
        <v>25000</v>
      </c>
      <c r="E24" s="426">
        <v>25000</v>
      </c>
      <c r="F24" s="427" t="s">
        <v>133</v>
      </c>
    </row>
    <row r="25" spans="1:6" ht="15" customHeight="1">
      <c r="A25" s="420" t="s">
        <v>393</v>
      </c>
      <c r="B25" s="420" t="s">
        <v>544</v>
      </c>
      <c r="C25" s="426">
        <v>101000</v>
      </c>
      <c r="D25" s="426">
        <v>95000</v>
      </c>
      <c r="E25" s="426">
        <v>48000</v>
      </c>
      <c r="F25" s="427" t="s">
        <v>133</v>
      </c>
    </row>
    <row r="26" spans="1:6" ht="15" customHeight="1">
      <c r="A26" s="420" t="s">
        <v>393</v>
      </c>
      <c r="B26" s="420" t="s">
        <v>545</v>
      </c>
      <c r="C26" s="426">
        <v>20000</v>
      </c>
      <c r="D26" s="426">
        <f>41000-6000</f>
        <v>35000</v>
      </c>
      <c r="E26" s="426">
        <f>48000-6000</f>
        <v>42000</v>
      </c>
      <c r="F26" s="427" t="s">
        <v>133</v>
      </c>
    </row>
    <row r="27" spans="1:6" ht="15" customHeight="1">
      <c r="A27" s="420" t="s">
        <v>393</v>
      </c>
      <c r="B27" s="420" t="s">
        <v>374</v>
      </c>
      <c r="C27" s="426">
        <v>25000</v>
      </c>
      <c r="D27" s="426">
        <v>25000</v>
      </c>
      <c r="E27" s="426">
        <v>25000</v>
      </c>
      <c r="F27" s="427" t="s">
        <v>133</v>
      </c>
    </row>
    <row r="28" spans="1:6" ht="15" customHeight="1">
      <c r="A28" s="420" t="s">
        <v>583</v>
      </c>
      <c r="B28" s="420" t="s">
        <v>395</v>
      </c>
      <c r="C28" s="426">
        <v>30000</v>
      </c>
      <c r="D28" s="426">
        <v>30000</v>
      </c>
      <c r="E28" s="426">
        <v>75000</v>
      </c>
      <c r="F28" s="427" t="s">
        <v>133</v>
      </c>
    </row>
    <row r="29" spans="1:6" ht="15" customHeight="1">
      <c r="A29" s="420" t="s">
        <v>390</v>
      </c>
      <c r="B29" s="420" t="s">
        <v>396</v>
      </c>
      <c r="C29" s="426">
        <v>1180066</v>
      </c>
      <c r="D29" s="426">
        <v>1172727</v>
      </c>
      <c r="E29" s="426">
        <v>1169389</v>
      </c>
      <c r="F29" s="427" t="s">
        <v>133</v>
      </c>
    </row>
    <row r="30" spans="1:6" ht="15" customHeight="1">
      <c r="A30" s="420" t="s">
        <v>384</v>
      </c>
      <c r="B30" s="420" t="s">
        <v>394</v>
      </c>
      <c r="C30" s="426">
        <v>125000</v>
      </c>
      <c r="D30" s="426">
        <v>125000</v>
      </c>
      <c r="E30" s="426">
        <v>250000</v>
      </c>
      <c r="F30" s="427" t="s">
        <v>133</v>
      </c>
    </row>
    <row r="31" spans="1:6" ht="15" customHeight="1">
      <c r="A31" s="420" t="s">
        <v>385</v>
      </c>
      <c r="B31" s="420" t="s">
        <v>394</v>
      </c>
      <c r="C31" s="426">
        <v>150000</v>
      </c>
      <c r="D31" s="426">
        <v>150000</v>
      </c>
      <c r="E31" s="426">
        <v>250000</v>
      </c>
      <c r="F31" s="427" t="s">
        <v>133</v>
      </c>
    </row>
    <row r="32" spans="1:6" ht="15" customHeight="1">
      <c r="A32" s="420" t="s">
        <v>385</v>
      </c>
      <c r="B32" s="420" t="s">
        <v>650</v>
      </c>
      <c r="C32" s="426">
        <v>0</v>
      </c>
      <c r="D32" s="426">
        <v>100000</v>
      </c>
      <c r="E32" s="426">
        <v>100000</v>
      </c>
      <c r="F32" s="427" t="s">
        <v>133</v>
      </c>
    </row>
    <row r="33" spans="1:6" ht="15" customHeight="1">
      <c r="A33" s="420" t="s">
        <v>689</v>
      </c>
      <c r="B33" s="420" t="s">
        <v>690</v>
      </c>
      <c r="C33" s="426">
        <v>0</v>
      </c>
      <c r="D33" s="426">
        <v>0</v>
      </c>
      <c r="E33" s="426">
        <v>200000</v>
      </c>
      <c r="F33" s="427" t="s">
        <v>133</v>
      </c>
    </row>
    <row r="34" spans="1:6" ht="15" customHeight="1">
      <c r="A34" s="420" t="s">
        <v>385</v>
      </c>
      <c r="B34" s="420" t="s">
        <v>690</v>
      </c>
      <c r="C34" s="426">
        <v>0</v>
      </c>
      <c r="D34" s="426">
        <v>0</v>
      </c>
      <c r="E34" s="426">
        <v>200000</v>
      </c>
      <c r="F34" s="427" t="s">
        <v>133</v>
      </c>
    </row>
    <row r="35" spans="1:6" ht="15" customHeight="1">
      <c r="A35" s="420" t="s">
        <v>584</v>
      </c>
      <c r="B35" s="420" t="s">
        <v>397</v>
      </c>
      <c r="C35" s="426">
        <v>905000</v>
      </c>
      <c r="D35" s="426">
        <v>1655000</v>
      </c>
      <c r="E35" s="426">
        <v>1847981</v>
      </c>
      <c r="F35" s="427" t="s">
        <v>133</v>
      </c>
    </row>
    <row r="36" spans="1:6" ht="15" customHeight="1">
      <c r="A36" s="420" t="s">
        <v>584</v>
      </c>
      <c r="B36" s="420" t="s">
        <v>398</v>
      </c>
      <c r="C36" s="426">
        <v>1359979</v>
      </c>
      <c r="D36" s="426">
        <v>1831947</v>
      </c>
      <c r="E36" s="426">
        <v>1829049</v>
      </c>
      <c r="F36" s="427" t="s">
        <v>133</v>
      </c>
    </row>
    <row r="37" spans="1:6" ht="15" customHeight="1">
      <c r="A37" s="420" t="s">
        <v>584</v>
      </c>
      <c r="B37" s="420" t="s">
        <v>399</v>
      </c>
      <c r="C37" s="426">
        <v>1060097</v>
      </c>
      <c r="D37" s="426">
        <v>1094008</v>
      </c>
      <c r="E37" s="426">
        <v>1097970</v>
      </c>
      <c r="F37" s="427" t="s">
        <v>133</v>
      </c>
    </row>
    <row r="38" spans="1:6" ht="15" customHeight="1">
      <c r="A38" s="420" t="s">
        <v>393</v>
      </c>
      <c r="B38" s="420" t="s">
        <v>650</v>
      </c>
      <c r="C38" s="426">
        <v>0</v>
      </c>
      <c r="D38" s="426">
        <v>170000</v>
      </c>
      <c r="E38" s="426">
        <v>170000</v>
      </c>
      <c r="F38" s="427" t="s">
        <v>133</v>
      </c>
    </row>
    <row r="39" spans="1:6" ht="15" customHeight="1">
      <c r="A39" s="420" t="s">
        <v>592</v>
      </c>
      <c r="B39" s="420" t="s">
        <v>398</v>
      </c>
      <c r="C39" s="426">
        <v>50000</v>
      </c>
      <c r="D39" s="426">
        <v>4000</v>
      </c>
      <c r="E39" s="426">
        <v>0</v>
      </c>
      <c r="F39" s="427" t="s">
        <v>133</v>
      </c>
    </row>
    <row r="40" spans="1:6" ht="15" customHeight="1">
      <c r="A40" s="420" t="s">
        <v>648</v>
      </c>
      <c r="B40" s="420" t="s">
        <v>398</v>
      </c>
      <c r="C40" s="426">
        <v>8000</v>
      </c>
      <c r="D40" s="426">
        <v>5000</v>
      </c>
      <c r="E40" s="426">
        <v>2000</v>
      </c>
      <c r="F40" s="427" t="s">
        <v>133</v>
      </c>
    </row>
    <row r="41" spans="1:6" ht="15" customHeight="1">
      <c r="A41" s="420" t="s">
        <v>393</v>
      </c>
      <c r="B41" s="420" t="s">
        <v>466</v>
      </c>
      <c r="C41" s="426">
        <v>150000</v>
      </c>
      <c r="D41" s="426">
        <v>150000</v>
      </c>
      <c r="E41" s="426">
        <v>150000</v>
      </c>
      <c r="F41" s="427" t="s">
        <v>133</v>
      </c>
    </row>
    <row r="42" spans="1:6" ht="15" customHeight="1">
      <c r="A42" s="420" t="s">
        <v>393</v>
      </c>
      <c r="B42" s="420" t="s">
        <v>466</v>
      </c>
      <c r="C42" s="426">
        <v>179000</v>
      </c>
      <c r="D42" s="426">
        <v>170000</v>
      </c>
      <c r="E42" s="426">
        <v>210000</v>
      </c>
      <c r="F42" s="427" t="s">
        <v>133</v>
      </c>
    </row>
    <row r="43" spans="1:6" ht="15" customHeight="1">
      <c r="A43" s="420" t="s">
        <v>393</v>
      </c>
      <c r="B43" s="420" t="s">
        <v>466</v>
      </c>
      <c r="C43" s="426">
        <v>0</v>
      </c>
      <c r="D43" s="426">
        <v>300000</v>
      </c>
      <c r="E43" s="426">
        <v>300000</v>
      </c>
      <c r="F43" s="427" t="s">
        <v>133</v>
      </c>
    </row>
    <row r="44" spans="1:6" ht="15" customHeight="1">
      <c r="A44" s="420" t="s">
        <v>393</v>
      </c>
      <c r="B44" s="420" t="s">
        <v>571</v>
      </c>
      <c r="C44" s="426">
        <v>169200</v>
      </c>
      <c r="D44" s="426">
        <v>0</v>
      </c>
      <c r="E44" s="426">
        <v>0</v>
      </c>
      <c r="F44" s="427" t="s">
        <v>133</v>
      </c>
    </row>
    <row r="45" spans="1:6" ht="15" customHeight="1">
      <c r="A45" s="420" t="s">
        <v>394</v>
      </c>
      <c r="B45" s="420" t="s">
        <v>571</v>
      </c>
      <c r="C45" s="426">
        <v>100000</v>
      </c>
      <c r="D45" s="426">
        <v>0</v>
      </c>
      <c r="E45" s="426">
        <v>0</v>
      </c>
      <c r="F45" s="427" t="s">
        <v>133</v>
      </c>
    </row>
    <row r="46" spans="1:6" ht="15" customHeight="1">
      <c r="A46" s="420" t="s">
        <v>571</v>
      </c>
      <c r="B46" s="420" t="s">
        <v>398</v>
      </c>
      <c r="C46" s="426">
        <v>0</v>
      </c>
      <c r="D46" s="426">
        <v>24170.31</v>
      </c>
      <c r="E46" s="426">
        <v>24170.31</v>
      </c>
      <c r="F46" s="427" t="s">
        <v>133</v>
      </c>
    </row>
    <row r="47" spans="1:6" ht="15" customHeight="1">
      <c r="A47" s="420" t="s">
        <v>571</v>
      </c>
      <c r="B47" s="420" t="s">
        <v>394</v>
      </c>
      <c r="C47" s="426">
        <v>0</v>
      </c>
      <c r="D47" s="426">
        <f>7145.34+7141.49</f>
        <v>14286.83</v>
      </c>
      <c r="E47" s="426">
        <f>7145.34+7141.49</f>
        <v>14286.83</v>
      </c>
      <c r="F47" s="427" t="s">
        <v>133</v>
      </c>
    </row>
    <row r="48" spans="1:6" ht="15" customHeight="1">
      <c r="A48" s="136"/>
      <c r="B48" s="203" t="s">
        <v>29</v>
      </c>
      <c r="C48" s="270">
        <f>SUM(C8:C47)</f>
        <v>14715205.639999999</v>
      </c>
      <c r="D48" s="270">
        <f>SUM(D8:D47)</f>
        <v>16019166.420000002</v>
      </c>
      <c r="E48" s="270">
        <f>SUM(E8:E47)</f>
        <v>16689657.850000001</v>
      </c>
      <c r="F48" s="211"/>
    </row>
    <row r="49" spans="1:6" ht="15" customHeight="1">
      <c r="A49" s="136"/>
      <c r="B49" s="204" t="s">
        <v>252</v>
      </c>
      <c r="C49" s="82"/>
      <c r="D49" s="413">
        <f>+D13+D14+D24+D25+D26+D27+D38+D39+D40+D41+D42+D43+D44+D45+D46+D47</f>
        <v>1017457.14</v>
      </c>
      <c r="E49" s="413">
        <f>+E13+E14+E24+E25+E26+E27+E38+E39+E40+E41+E42+E43+E44+E45+E46+E47</f>
        <v>1010457.14</v>
      </c>
      <c r="F49" s="211"/>
    </row>
    <row r="50" spans="1:6" ht="15" customHeight="1">
      <c r="A50" s="136"/>
      <c r="B50" s="203" t="s">
        <v>253</v>
      </c>
      <c r="C50" s="270">
        <f>C48</f>
        <v>14715205.639999999</v>
      </c>
      <c r="D50" s="270">
        <f>SUM(D48-D49)</f>
        <v>15001709.280000001</v>
      </c>
      <c r="E50" s="270">
        <f>SUM(E48-E49)</f>
        <v>15679200.710000001</v>
      </c>
      <c r="F50" s="211"/>
    </row>
    <row r="51" spans="1:6" ht="15" customHeight="1">
      <c r="A51" s="136"/>
      <c r="B51" s="136"/>
      <c r="C51" s="136"/>
      <c r="D51" s="136"/>
      <c r="E51" s="136"/>
      <c r="F51" s="136"/>
    </row>
    <row r="52" spans="1:6" ht="15" customHeight="1">
      <c r="A52" s="361" t="s">
        <v>345</v>
      </c>
      <c r="B52" s="361"/>
      <c r="C52" s="361"/>
      <c r="D52" s="361"/>
      <c r="E52" s="361"/>
      <c r="F52" s="136"/>
    </row>
    <row r="53" spans="1:6" ht="15" customHeight="1"/>
  </sheetData>
  <mergeCells count="1">
    <mergeCell ref="A3:F3"/>
  </mergeCells>
  <phoneticPr fontId="10" type="noConversion"/>
  <pageMargins left="0.75" right="0.75" top="1" bottom="1" header="0.5" footer="0.5"/>
  <pageSetup scale="67" orientation="landscape" blackAndWhite="1" r:id="rId1"/>
  <headerFooter alignWithMargins="0">
    <oddHeader>&amp;RState of Kansas
Coffeyville</oddHeader>
    <oddFooter>&amp;Lrevised 5/08/08&amp;CPage No. 4</oddFooter>
  </headerFooter>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AB43"/>
  <sheetViews>
    <sheetView view="pageBreakPreview" zoomScaleNormal="75" zoomScaleSheetLayoutView="100" workbookViewId="0">
      <pane xSplit="1" ySplit="7" topLeftCell="B17" activePane="bottomRight" state="frozen"/>
      <selection activeCell="C30" sqref="C30"/>
      <selection pane="topRight" activeCell="C30" sqref="C30"/>
      <selection pane="bottomLeft" activeCell="C30" sqref="C30"/>
      <selection pane="bottomRight" activeCell="A6" sqref="A6"/>
    </sheetView>
  </sheetViews>
  <sheetFormatPr defaultRowHeight="15.75"/>
  <cols>
    <col min="1" max="1" width="29" style="7" customWidth="1"/>
    <col min="2" max="3" width="9.33203125" style="7" bestFit="1" customWidth="1"/>
    <col min="4" max="4" width="10.33203125" style="7" bestFit="1" customWidth="1"/>
    <col min="5" max="5" width="12.77734375" style="7" customWidth="1"/>
    <col min="6" max="6" width="14.44140625" style="7" bestFit="1" customWidth="1"/>
    <col min="7" max="12" width="9.77734375" style="7" customWidth="1"/>
    <col min="13" max="16384" width="8.88671875" style="7"/>
  </cols>
  <sheetData>
    <row r="1" spans="1:12">
      <c r="A1" s="72" t="str">
        <f>inputPrYr!$D$2</f>
        <v>City of Coffeyville</v>
      </c>
      <c r="B1" s="21"/>
      <c r="C1" s="21"/>
      <c r="D1" s="21"/>
      <c r="E1" s="21"/>
      <c r="F1" s="21"/>
      <c r="G1" s="21"/>
      <c r="H1" s="21"/>
      <c r="I1" s="21"/>
      <c r="J1" s="21"/>
      <c r="K1" s="21"/>
      <c r="L1" s="142">
        <f>inputPrYr!$C$5</f>
        <v>2013</v>
      </c>
    </row>
    <row r="2" spans="1:12">
      <c r="A2" s="72"/>
      <c r="B2" s="21"/>
      <c r="C2" s="21"/>
      <c r="D2" s="21"/>
      <c r="E2" s="21"/>
      <c r="F2" s="21"/>
      <c r="G2" s="21"/>
      <c r="H2" s="21"/>
      <c r="I2" s="21"/>
      <c r="J2" s="21"/>
      <c r="K2" s="21"/>
      <c r="L2" s="24"/>
    </row>
    <row r="3" spans="1:12">
      <c r="A3" s="75" t="s">
        <v>117</v>
      </c>
      <c r="B3" s="27"/>
      <c r="C3" s="27"/>
      <c r="D3" s="27"/>
      <c r="E3" s="27"/>
      <c r="F3" s="27"/>
      <c r="G3" s="27"/>
      <c r="H3" s="27"/>
      <c r="I3" s="27"/>
      <c r="J3" s="27"/>
      <c r="K3" s="27"/>
      <c r="L3" s="27"/>
    </row>
    <row r="4" spans="1:12">
      <c r="A4" s="21"/>
      <c r="B4" s="87"/>
      <c r="C4" s="87"/>
      <c r="D4" s="87"/>
      <c r="E4" s="87"/>
      <c r="F4" s="87"/>
      <c r="G4" s="87"/>
      <c r="H4" s="87"/>
      <c r="I4" s="87"/>
      <c r="J4" s="87"/>
      <c r="K4" s="87"/>
      <c r="L4" s="87"/>
    </row>
    <row r="5" spans="1:12">
      <c r="A5" s="21"/>
      <c r="B5" s="76" t="s">
        <v>78</v>
      </c>
      <c r="C5" s="76" t="s">
        <v>78</v>
      </c>
      <c r="D5" s="76" t="s">
        <v>93</v>
      </c>
      <c r="E5" s="76"/>
      <c r="F5" s="76" t="s">
        <v>239</v>
      </c>
      <c r="G5" s="21"/>
      <c r="H5" s="21"/>
      <c r="I5" s="78" t="s">
        <v>79</v>
      </c>
      <c r="J5" s="77"/>
      <c r="K5" s="78" t="s">
        <v>79</v>
      </c>
      <c r="L5" s="77"/>
    </row>
    <row r="6" spans="1:12">
      <c r="A6" s="21"/>
      <c r="B6" s="79" t="s">
        <v>80</v>
      </c>
      <c r="C6" s="79" t="s">
        <v>240</v>
      </c>
      <c r="D6" s="79" t="s">
        <v>81</v>
      </c>
      <c r="E6" s="79" t="s">
        <v>34</v>
      </c>
      <c r="F6" s="79" t="s">
        <v>241</v>
      </c>
      <c r="G6" s="457" t="s">
        <v>82</v>
      </c>
      <c r="H6" s="458"/>
      <c r="I6" s="459">
        <f>L1-1</f>
        <v>2012</v>
      </c>
      <c r="J6" s="460"/>
      <c r="K6" s="459">
        <f>L1</f>
        <v>2013</v>
      </c>
      <c r="L6" s="460"/>
    </row>
    <row r="7" spans="1:12">
      <c r="A7" s="83" t="s">
        <v>83</v>
      </c>
      <c r="B7" s="80" t="s">
        <v>84</v>
      </c>
      <c r="C7" s="80" t="s">
        <v>242</v>
      </c>
      <c r="D7" s="80" t="s">
        <v>57</v>
      </c>
      <c r="E7" s="80" t="s">
        <v>85</v>
      </c>
      <c r="F7" s="199" t="str">
        <f>CONCATENATE("Jan 1,",L1-1,"")</f>
        <v>Jan 1,2012</v>
      </c>
      <c r="G7" s="82" t="s">
        <v>93</v>
      </c>
      <c r="H7" s="82" t="s">
        <v>95</v>
      </c>
      <c r="I7" s="82" t="s">
        <v>93</v>
      </c>
      <c r="J7" s="82" t="s">
        <v>95</v>
      </c>
      <c r="K7" s="82" t="s">
        <v>93</v>
      </c>
      <c r="L7" s="82" t="s">
        <v>95</v>
      </c>
    </row>
    <row r="8" spans="1:12">
      <c r="A8" s="83" t="s">
        <v>86</v>
      </c>
      <c r="B8" s="42"/>
      <c r="C8" s="42"/>
      <c r="D8" s="84"/>
      <c r="E8" s="85"/>
      <c r="F8" s="85"/>
      <c r="G8" s="42"/>
      <c r="H8" s="42"/>
      <c r="I8" s="85"/>
      <c r="J8" s="85"/>
      <c r="K8" s="85"/>
      <c r="L8" s="85"/>
    </row>
    <row r="9" spans="1:12">
      <c r="A9" s="122" t="s">
        <v>609</v>
      </c>
      <c r="B9" s="122"/>
      <c r="C9" s="370"/>
      <c r="D9" s="400"/>
      <c r="E9" s="17"/>
      <c r="F9" s="17"/>
      <c r="G9" s="122"/>
      <c r="H9" s="122"/>
      <c r="I9" s="17"/>
      <c r="J9" s="17"/>
      <c r="K9" s="17"/>
      <c r="L9" s="17"/>
    </row>
    <row r="10" spans="1:12">
      <c r="A10" s="122" t="s">
        <v>610</v>
      </c>
      <c r="B10" s="370">
        <v>38183</v>
      </c>
      <c r="C10" s="370">
        <v>44348</v>
      </c>
      <c r="D10" s="402" t="s">
        <v>611</v>
      </c>
      <c r="E10" s="17">
        <v>10010000</v>
      </c>
      <c r="F10" s="410">
        <f>860000+780000+785000+785000+750000+720000+670000+640000+615000+590000</f>
        <v>7195000</v>
      </c>
      <c r="G10" s="411" t="s">
        <v>608</v>
      </c>
      <c r="H10" s="412">
        <v>38139</v>
      </c>
      <c r="I10" s="410">
        <f>157063.13+144525.63</f>
        <v>301588.76</v>
      </c>
      <c r="J10" s="410">
        <v>590000</v>
      </c>
      <c r="K10" s="410">
        <f>144525.63+132225.63</f>
        <v>276751.26</v>
      </c>
      <c r="L10" s="410">
        <v>615000</v>
      </c>
    </row>
    <row r="11" spans="1:12">
      <c r="A11" s="122" t="s">
        <v>554</v>
      </c>
      <c r="B11" s="370">
        <v>39743</v>
      </c>
      <c r="C11" s="370">
        <v>41944</v>
      </c>
      <c r="D11" s="402" t="s">
        <v>555</v>
      </c>
      <c r="E11" s="17">
        <v>2235000</v>
      </c>
      <c r="F11" s="410">
        <f>405000+390000+375000</f>
        <v>1170000</v>
      </c>
      <c r="G11" s="411" t="s">
        <v>612</v>
      </c>
      <c r="H11" s="412">
        <v>40483</v>
      </c>
      <c r="I11" s="410">
        <f>20981.25+20981.25</f>
        <v>41962.5</v>
      </c>
      <c r="J11" s="410">
        <v>375000</v>
      </c>
      <c r="K11" s="410">
        <f>14418.75+14418.75</f>
        <v>28837.5</v>
      </c>
      <c r="L11" s="410">
        <v>390000</v>
      </c>
    </row>
    <row r="12" spans="1:12" s="424" customFormat="1">
      <c r="A12" s="420" t="s">
        <v>675</v>
      </c>
      <c r="B12" s="421">
        <v>40840</v>
      </c>
      <c r="C12" s="422">
        <v>48153</v>
      </c>
      <c r="D12" s="423" t="s">
        <v>676</v>
      </c>
      <c r="E12" s="410">
        <v>5900000</v>
      </c>
      <c r="F12" s="410">
        <v>5900000</v>
      </c>
      <c r="G12" s="411" t="s">
        <v>612</v>
      </c>
      <c r="H12" s="412">
        <v>41214</v>
      </c>
      <c r="I12" s="410">
        <f>94285.63+94285.63</f>
        <v>188571.26</v>
      </c>
      <c r="J12" s="410">
        <v>325000</v>
      </c>
      <c r="K12" s="410">
        <f>90629.38+90629.38</f>
        <v>181258.76</v>
      </c>
      <c r="L12" s="410">
        <v>325000</v>
      </c>
    </row>
    <row r="13" spans="1:12">
      <c r="A13" s="8"/>
      <c r="B13" s="212"/>
      <c r="C13" s="212"/>
      <c r="D13" s="213"/>
      <c r="E13" s="214"/>
      <c r="F13" s="215"/>
      <c r="G13" s="216"/>
      <c r="H13" s="216"/>
      <c r="I13" s="215"/>
      <c r="J13" s="215"/>
      <c r="K13" s="215"/>
      <c r="L13" s="215"/>
    </row>
    <row r="14" spans="1:12">
      <c r="A14" s="8"/>
      <c r="B14" s="419"/>
      <c r="C14" s="212"/>
      <c r="D14" s="213"/>
      <c r="E14" s="214"/>
      <c r="F14" s="215"/>
      <c r="G14" s="216"/>
      <c r="H14" s="216"/>
      <c r="I14" s="215"/>
      <c r="J14" s="215"/>
      <c r="K14" s="215"/>
      <c r="L14" s="215"/>
    </row>
    <row r="15" spans="1:12">
      <c r="A15" s="8"/>
      <c r="B15" s="212"/>
      <c r="C15" s="212"/>
      <c r="D15" s="213"/>
      <c r="E15" s="214"/>
      <c r="F15" s="215"/>
      <c r="G15" s="216"/>
      <c r="H15" s="216"/>
      <c r="I15" s="215"/>
      <c r="J15" s="215"/>
      <c r="K15" s="215"/>
      <c r="L15" s="215"/>
    </row>
    <row r="16" spans="1:12">
      <c r="A16" s="8"/>
      <c r="B16" s="212"/>
      <c r="C16" s="212"/>
      <c r="D16" s="213"/>
      <c r="E16" s="214"/>
      <c r="F16" s="215"/>
      <c r="G16" s="216"/>
      <c r="H16" s="216"/>
      <c r="I16" s="215"/>
      <c r="J16" s="215"/>
      <c r="K16" s="215"/>
      <c r="L16" s="215"/>
    </row>
    <row r="17" spans="1:12">
      <c r="A17" s="8"/>
      <c r="B17" s="212"/>
      <c r="C17" s="212"/>
      <c r="D17" s="213"/>
      <c r="E17" s="214"/>
      <c r="F17" s="215"/>
      <c r="G17" s="216"/>
      <c r="H17" s="216"/>
      <c r="I17" s="215"/>
      <c r="J17" s="215"/>
      <c r="K17" s="215"/>
      <c r="L17" s="215"/>
    </row>
    <row r="18" spans="1:12">
      <c r="A18" s="8"/>
      <c r="B18" s="212"/>
      <c r="C18" s="212"/>
      <c r="D18" s="213"/>
      <c r="E18" s="214"/>
      <c r="F18" s="215"/>
      <c r="G18" s="216"/>
      <c r="H18" s="216"/>
      <c r="I18" s="215"/>
      <c r="J18" s="215"/>
      <c r="K18" s="215"/>
      <c r="L18" s="215"/>
    </row>
    <row r="19" spans="1:12">
      <c r="A19" s="86" t="s">
        <v>87</v>
      </c>
      <c r="B19" s="217"/>
      <c r="C19" s="217"/>
      <c r="D19" s="218"/>
      <c r="E19" s="219"/>
      <c r="F19" s="273">
        <f>SUM(F9:F18)</f>
        <v>14265000</v>
      </c>
      <c r="G19" s="220"/>
      <c r="H19" s="220"/>
      <c r="I19" s="273">
        <f>SUM(I9:I18)</f>
        <v>532122.52</v>
      </c>
      <c r="J19" s="273">
        <f>SUM(J9:J18)</f>
        <v>1290000</v>
      </c>
      <c r="K19" s="273">
        <f>SUM(K9:K18)</f>
        <v>486847.52</v>
      </c>
      <c r="L19" s="273">
        <f>SUM(L9:L18)</f>
        <v>1330000</v>
      </c>
    </row>
    <row r="20" spans="1:12">
      <c r="A20" s="83" t="s">
        <v>88</v>
      </c>
      <c r="B20" s="221"/>
      <c r="C20" s="221"/>
      <c r="D20" s="222"/>
      <c r="E20" s="210"/>
      <c r="F20" s="210"/>
      <c r="G20" s="223"/>
      <c r="H20" s="223"/>
      <c r="I20" s="210"/>
      <c r="J20" s="210"/>
      <c r="K20" s="210"/>
      <c r="L20" s="210"/>
    </row>
    <row r="21" spans="1:12">
      <c r="A21" s="122" t="s">
        <v>677</v>
      </c>
      <c r="B21" s="395" t="s">
        <v>678</v>
      </c>
      <c r="C21" s="395" t="s">
        <v>679</v>
      </c>
      <c r="D21" s="371" t="s">
        <v>680</v>
      </c>
      <c r="E21" s="17">
        <v>1235000</v>
      </c>
      <c r="F21" s="17">
        <v>1235000</v>
      </c>
      <c r="G21" s="209" t="s">
        <v>608</v>
      </c>
      <c r="H21" s="396">
        <v>41061</v>
      </c>
      <c r="I21" s="17">
        <f>21530.5+25330</f>
        <v>46860.5</v>
      </c>
      <c r="J21" s="17">
        <v>0</v>
      </c>
      <c r="K21" s="17">
        <f>25330+25330</f>
        <v>50660</v>
      </c>
      <c r="L21" s="17">
        <v>0</v>
      </c>
    </row>
    <row r="22" spans="1:12">
      <c r="A22" s="122"/>
      <c r="B22" s="395"/>
      <c r="C22" s="395"/>
      <c r="D22" s="371"/>
      <c r="E22" s="17"/>
      <c r="F22" s="17"/>
      <c r="G22" s="209"/>
      <c r="H22" s="396"/>
      <c r="I22" s="17"/>
      <c r="J22" s="17"/>
      <c r="K22" s="17"/>
      <c r="L22" s="17"/>
    </row>
    <row r="23" spans="1:12">
      <c r="A23" s="8"/>
      <c r="B23" s="212"/>
      <c r="C23" s="212"/>
      <c r="D23" s="213"/>
      <c r="E23" s="214"/>
      <c r="F23" s="215"/>
      <c r="G23" s="216"/>
      <c r="H23" s="216"/>
      <c r="I23" s="390"/>
      <c r="J23" s="390"/>
      <c r="K23" s="390"/>
      <c r="L23" s="390"/>
    </row>
    <row r="24" spans="1:12">
      <c r="A24" s="8"/>
      <c r="B24" s="212"/>
      <c r="C24" s="212"/>
      <c r="D24" s="213"/>
      <c r="E24" s="214"/>
      <c r="F24" s="215"/>
      <c r="G24" s="216"/>
      <c r="H24" s="216"/>
      <c r="I24" s="215"/>
      <c r="J24" s="215"/>
      <c r="K24" s="215"/>
      <c r="L24" s="215"/>
    </row>
    <row r="25" spans="1:12">
      <c r="A25" s="8"/>
      <c r="B25" s="212"/>
      <c r="C25" s="212"/>
      <c r="D25" s="213"/>
      <c r="E25" s="214"/>
      <c r="F25" s="215"/>
      <c r="G25" s="216"/>
      <c r="H25" s="216"/>
      <c r="I25" s="215"/>
      <c r="J25" s="215"/>
      <c r="K25" s="215"/>
      <c r="L25" s="215"/>
    </row>
    <row r="26" spans="1:12">
      <c r="A26" s="86" t="s">
        <v>89</v>
      </c>
      <c r="B26" s="217"/>
      <c r="C26" s="217"/>
      <c r="D26" s="224"/>
      <c r="E26" s="219"/>
      <c r="F26" s="274">
        <f>SUM(F21:F25)</f>
        <v>1235000</v>
      </c>
      <c r="G26" s="220"/>
      <c r="H26" s="220"/>
      <c r="I26" s="274">
        <f>SUM(I21:I25)</f>
        <v>46860.5</v>
      </c>
      <c r="J26" s="274">
        <f>SUM(J21:J25)</f>
        <v>0</v>
      </c>
      <c r="K26" s="273">
        <f>SUM(K21:K25)</f>
        <v>50660</v>
      </c>
      <c r="L26" s="274">
        <f>SUM(L21:L25)</f>
        <v>0</v>
      </c>
    </row>
    <row r="27" spans="1:12">
      <c r="A27" s="83" t="s">
        <v>90</v>
      </c>
      <c r="B27" s="221"/>
      <c r="C27" s="221"/>
      <c r="D27" s="222"/>
      <c r="E27" s="210"/>
      <c r="F27" s="225"/>
      <c r="G27" s="223"/>
      <c r="H27" s="223"/>
      <c r="I27" s="210"/>
      <c r="J27" s="210"/>
      <c r="K27" s="210"/>
      <c r="L27" s="210"/>
    </row>
    <row r="28" spans="1:12">
      <c r="A28" s="122" t="s">
        <v>617</v>
      </c>
      <c r="B28" s="370">
        <v>35937</v>
      </c>
      <c r="C28" s="370">
        <v>43709</v>
      </c>
      <c r="D28" s="371">
        <v>3.1099999999999999E-2</v>
      </c>
      <c r="E28" s="17">
        <v>3028448.15</v>
      </c>
      <c r="F28" s="410">
        <v>1629521.48</v>
      </c>
      <c r="G28" s="411" t="s">
        <v>613</v>
      </c>
      <c r="H28" s="411" t="s">
        <v>613</v>
      </c>
      <c r="I28" s="410">
        <f>21020.95+19856.67+1837.5+1735.46</f>
        <v>44450.579999999994</v>
      </c>
      <c r="J28" s="410">
        <f>81627.84+82897.16</f>
        <v>164525</v>
      </c>
      <c r="K28" s="410">
        <f>18668.24+17464.38+1631.84+1526.61</f>
        <v>39291.07</v>
      </c>
      <c r="L28" s="410">
        <f>84186.21+85495.3</f>
        <v>169681.51</v>
      </c>
    </row>
    <row r="29" spans="1:12">
      <c r="A29" s="122" t="s">
        <v>615</v>
      </c>
      <c r="B29" s="370">
        <v>35927</v>
      </c>
      <c r="C29" s="370">
        <v>43709</v>
      </c>
      <c r="D29" s="371">
        <v>3.1099999999999999E-2</v>
      </c>
      <c r="E29" s="17">
        <v>1628702</v>
      </c>
      <c r="F29" s="410">
        <v>739954.19</v>
      </c>
      <c r="G29" s="411" t="s">
        <v>613</v>
      </c>
      <c r="H29" s="411" t="s">
        <v>613</v>
      </c>
      <c r="I29" s="410">
        <f>9545.46+9015.41+837.39+788.06</f>
        <v>20186.32</v>
      </c>
      <c r="J29" s="410">
        <f>37066.63+37643.01</f>
        <v>74709.64</v>
      </c>
      <c r="K29" s="410">
        <f>8477.12+7930.45+741.01+693.22</f>
        <v>17841.8</v>
      </c>
      <c r="L29" s="410">
        <f>38228.36+38822.81</f>
        <v>77051.17</v>
      </c>
    </row>
    <row r="30" spans="1:12">
      <c r="A30" s="122" t="s">
        <v>616</v>
      </c>
      <c r="B30" s="370">
        <v>35937</v>
      </c>
      <c r="C30" s="370">
        <v>44075</v>
      </c>
      <c r="D30" s="371">
        <v>3.1099999999999999E-2</v>
      </c>
      <c r="E30" s="17">
        <v>9188589.8499999996</v>
      </c>
      <c r="F30" s="410">
        <v>5069517.2</v>
      </c>
      <c r="G30" s="209" t="s">
        <v>613</v>
      </c>
      <c r="H30" s="209" t="s">
        <v>613</v>
      </c>
      <c r="I30" s="410">
        <f>66209.37+62993.53+5787.54+5506.43</f>
        <v>140496.87</v>
      </c>
      <c r="J30" s="410">
        <f>224884.26+228381.21</f>
        <v>453265.47</v>
      </c>
      <c r="K30" s="410">
        <f>59727.68+56411.04+5220.95+4931.04</f>
        <v>126290.70999999999</v>
      </c>
      <c r="L30" s="410">
        <f>231932.54+235539.09</f>
        <v>467471.63</v>
      </c>
    </row>
    <row r="31" spans="1:12">
      <c r="A31" s="122" t="s">
        <v>652</v>
      </c>
      <c r="B31" s="370">
        <v>40092</v>
      </c>
      <c r="C31" s="370">
        <v>47696</v>
      </c>
      <c r="D31" s="371">
        <v>3.6299999999999999E-2</v>
      </c>
      <c r="E31" s="17">
        <v>494015.07</v>
      </c>
      <c r="F31" s="410">
        <f>494015.07-15582.38-7925.08</f>
        <v>470507.61</v>
      </c>
      <c r="G31" s="209" t="s">
        <v>614</v>
      </c>
      <c r="H31" s="209" t="s">
        <v>614</v>
      </c>
      <c r="I31" s="410">
        <f>7716.32+7573.54+823.39+808.15</f>
        <v>16921.400000000001</v>
      </c>
      <c r="J31" s="410">
        <f>8706.63+8864.65</f>
        <v>17571.28</v>
      </c>
      <c r="K31" s="410">
        <f>7428.16+7280.14+792.64+776.84</f>
        <v>16277.779999999999</v>
      </c>
      <c r="L31" s="410">
        <f>9025.54+9189.36</f>
        <v>18214.900000000001</v>
      </c>
    </row>
    <row r="32" spans="1:12">
      <c r="A32" s="122"/>
      <c r="B32" s="370"/>
      <c r="C32" s="370"/>
      <c r="D32" s="371"/>
      <c r="E32" s="17"/>
      <c r="F32" s="410"/>
      <c r="G32" s="209"/>
      <c r="H32" s="209"/>
      <c r="I32" s="410"/>
      <c r="J32" s="410"/>
      <c r="K32" s="410"/>
      <c r="L32" s="410"/>
    </row>
    <row r="33" spans="1:28">
      <c r="A33" s="122"/>
      <c r="B33" s="370"/>
      <c r="C33" s="370"/>
      <c r="D33" s="371"/>
      <c r="E33" s="17"/>
      <c r="F33" s="410"/>
      <c r="G33" s="209"/>
      <c r="H33" s="209"/>
      <c r="I33" s="410"/>
      <c r="J33" s="410"/>
      <c r="K33" s="410"/>
      <c r="L33" s="410"/>
    </row>
    <row r="34" spans="1:28">
      <c r="A34" s="122"/>
      <c r="B34" s="370"/>
      <c r="C34" s="370"/>
      <c r="D34" s="371"/>
      <c r="E34" s="17"/>
      <c r="F34" s="410"/>
      <c r="G34" s="209"/>
      <c r="H34" s="209"/>
      <c r="I34" s="410"/>
      <c r="J34" s="410"/>
      <c r="K34" s="410"/>
      <c r="L34" s="410"/>
    </row>
    <row r="35" spans="1:28">
      <c r="A35" s="122"/>
      <c r="B35" s="370"/>
      <c r="C35" s="370"/>
      <c r="D35" s="371"/>
      <c r="E35" s="410"/>
      <c r="F35" s="410"/>
      <c r="G35" s="209"/>
      <c r="H35" s="370"/>
      <c r="I35" s="410"/>
      <c r="J35" s="410"/>
      <c r="K35" s="410"/>
      <c r="L35" s="410"/>
    </row>
    <row r="36" spans="1:28">
      <c r="A36" s="122"/>
      <c r="B36" s="370"/>
      <c r="C36" s="370"/>
      <c r="D36" s="371"/>
      <c r="E36" s="17"/>
      <c r="F36" s="410"/>
      <c r="G36" s="209"/>
      <c r="H36" s="395"/>
      <c r="I36" s="410"/>
      <c r="J36" s="410"/>
      <c r="K36" s="410"/>
      <c r="L36" s="410"/>
      <c r="M36" s="2"/>
      <c r="N36" s="2"/>
      <c r="O36" s="2"/>
      <c r="P36" s="2"/>
      <c r="Q36" s="2"/>
      <c r="R36" s="2"/>
      <c r="S36" s="2"/>
      <c r="T36" s="2"/>
      <c r="U36" s="2"/>
      <c r="V36" s="2"/>
      <c r="W36" s="2"/>
      <c r="X36" s="2"/>
      <c r="Y36" s="2"/>
      <c r="Z36" s="2"/>
      <c r="AA36" s="2"/>
      <c r="AB36" s="2"/>
    </row>
    <row r="37" spans="1:28">
      <c r="A37" s="86" t="s">
        <v>243</v>
      </c>
      <c r="B37" s="203"/>
      <c r="C37" s="203"/>
      <c r="D37" s="224"/>
      <c r="E37" s="219"/>
      <c r="F37" s="274">
        <f>SUM(F28:F36)</f>
        <v>7909500.4800000004</v>
      </c>
      <c r="G37" s="219"/>
      <c r="H37" s="219"/>
      <c r="I37" s="274">
        <f>SUM(I28:I36)</f>
        <v>222055.16999999998</v>
      </c>
      <c r="J37" s="274">
        <f>SUM(J28:J36)</f>
        <v>710071.39</v>
      </c>
      <c r="K37" s="274">
        <f>SUM(K28:K36)</f>
        <v>199701.36</v>
      </c>
      <c r="L37" s="274">
        <f>SUM(L28:L36)</f>
        <v>732419.21000000008</v>
      </c>
    </row>
    <row r="38" spans="1:28">
      <c r="A38" s="86" t="s">
        <v>91</v>
      </c>
      <c r="B38" s="203"/>
      <c r="C38" s="203"/>
      <c r="D38" s="203"/>
      <c r="E38" s="219"/>
      <c r="F38" s="274">
        <f>SUM(F19+F26+F37)</f>
        <v>23409500.48</v>
      </c>
      <c r="G38" s="219"/>
      <c r="H38" s="219"/>
      <c r="I38" s="274">
        <f>SUM(I19+I26+I37)</f>
        <v>801038.19</v>
      </c>
      <c r="J38" s="274">
        <f>SUM(J19+J26+J37)</f>
        <v>2000071.3900000001</v>
      </c>
      <c r="K38" s="274">
        <f>SUM(K19+K26+K37)</f>
        <v>737208.88</v>
      </c>
      <c r="L38" s="274">
        <f>SUM(L19+L26+L37)</f>
        <v>2062419.21</v>
      </c>
    </row>
    <row r="39" spans="1:28">
      <c r="A39" s="2"/>
      <c r="B39" s="2"/>
      <c r="C39" s="2"/>
      <c r="D39" s="2"/>
      <c r="E39" s="2"/>
      <c r="F39" s="2"/>
      <c r="G39" s="2"/>
      <c r="H39" s="2"/>
      <c r="I39" s="2"/>
      <c r="J39" s="2"/>
      <c r="K39" s="2"/>
      <c r="L39" s="2"/>
    </row>
    <row r="40" spans="1:28">
      <c r="E40" s="11"/>
      <c r="F40" s="11"/>
      <c r="I40" s="11"/>
      <c r="J40" s="11"/>
      <c r="K40" s="11"/>
      <c r="L40" s="11"/>
    </row>
    <row r="41" spans="1:28">
      <c r="E41" s="2"/>
      <c r="G41" s="200"/>
      <c r="M41" s="2"/>
    </row>
    <row r="42" spans="1:28">
      <c r="A42" s="2"/>
      <c r="B42" s="2"/>
      <c r="C42" s="2"/>
      <c r="D42" s="2"/>
      <c r="E42" s="2"/>
      <c r="F42" s="2"/>
      <c r="G42" s="2"/>
      <c r="H42" s="2"/>
      <c r="I42" s="2"/>
      <c r="J42" s="2"/>
      <c r="K42" s="2"/>
      <c r="L42" s="2"/>
    </row>
    <row r="43" spans="1:28">
      <c r="A43" s="2"/>
      <c r="B43" s="2"/>
      <c r="C43" s="2"/>
      <c r="D43" s="2"/>
      <c r="E43" s="2"/>
      <c r="F43" s="2"/>
      <c r="G43" s="2"/>
      <c r="H43" s="2"/>
      <c r="I43" s="2"/>
      <c r="J43" s="2"/>
      <c r="K43" s="2"/>
      <c r="L43" s="2"/>
    </row>
  </sheetData>
  <mergeCells count="3">
    <mergeCell ref="G6:H6"/>
    <mergeCell ref="I6:J6"/>
    <mergeCell ref="K6:L6"/>
  </mergeCells>
  <phoneticPr fontId="0" type="noConversion"/>
  <pageMargins left="0.25" right="0.25" top="1" bottom="0.5" header="0.5" footer="0.5"/>
  <pageSetup scale="72" orientation="landscape" blackAndWhite="1" horizontalDpi="120" verticalDpi="144" r:id="rId1"/>
  <headerFooter alignWithMargins="0">
    <oddHeader>&amp;RState of Kansas
Coffeyville</oddHeader>
    <oddFooter>&amp;Lrevised 8/06/07&amp;CPage No. 5</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H30"/>
  <sheetViews>
    <sheetView view="pageBreakPreview" zoomScaleNormal="75" workbookViewId="0">
      <selection activeCell="C30" sqref="C30"/>
    </sheetView>
  </sheetViews>
  <sheetFormatPr defaultRowHeight="15.75"/>
  <cols>
    <col min="1" max="1" width="23.5546875" style="7" customWidth="1"/>
    <col min="2" max="4" width="9.77734375" style="7" customWidth="1"/>
    <col min="5" max="5" width="18.33203125" style="7" customWidth="1"/>
    <col min="6" max="8" width="15.77734375" style="7" customWidth="1"/>
    <col min="9" max="16384" width="8.88671875" style="7"/>
  </cols>
  <sheetData>
    <row r="1" spans="1:8">
      <c r="A1" s="72" t="str">
        <f>inputPrYr!$D$2</f>
        <v>City of Coffeyville</v>
      </c>
      <c r="B1" s="21"/>
      <c r="C1" s="21"/>
      <c r="D1" s="21"/>
      <c r="E1" s="21"/>
      <c r="F1" s="21"/>
      <c r="G1" s="21"/>
      <c r="H1" s="138">
        <f>inputPrYr!C5</f>
        <v>2013</v>
      </c>
    </row>
    <row r="2" spans="1:8">
      <c r="A2" s="72"/>
      <c r="B2" s="21"/>
      <c r="C2" s="21"/>
      <c r="D2" s="21"/>
      <c r="E2" s="21"/>
      <c r="F2" s="21"/>
      <c r="G2" s="21"/>
      <c r="H2" s="24"/>
    </row>
    <row r="3" spans="1:8">
      <c r="A3" s="21"/>
      <c r="B3" s="21"/>
      <c r="C3" s="21"/>
      <c r="D3" s="21"/>
      <c r="E3" s="21"/>
      <c r="F3" s="21"/>
      <c r="G3" s="21"/>
      <c r="H3" s="23"/>
    </row>
    <row r="4" spans="1:8">
      <c r="A4" s="75" t="s">
        <v>110</v>
      </c>
      <c r="B4" s="27"/>
      <c r="C4" s="27"/>
      <c r="D4" s="27"/>
      <c r="E4" s="27"/>
      <c r="F4" s="27"/>
      <c r="G4" s="27"/>
      <c r="H4" s="27"/>
    </row>
    <row r="5" spans="1:8">
      <c r="A5" s="20"/>
      <c r="B5" s="87"/>
      <c r="C5" s="87"/>
      <c r="D5" s="87"/>
      <c r="E5" s="87"/>
      <c r="F5" s="87"/>
      <c r="G5" s="87"/>
      <c r="H5" s="87"/>
    </row>
    <row r="6" spans="1:8">
      <c r="A6" s="21"/>
      <c r="B6" s="39"/>
      <c r="C6" s="39"/>
      <c r="D6" s="39"/>
      <c r="E6" s="76" t="s">
        <v>13</v>
      </c>
      <c r="F6" s="39"/>
      <c r="G6" s="39"/>
      <c r="H6" s="39"/>
    </row>
    <row r="7" spans="1:8">
      <c r="A7" s="21"/>
      <c r="B7" s="79"/>
      <c r="C7" s="79" t="s">
        <v>92</v>
      </c>
      <c r="D7" s="79" t="s">
        <v>93</v>
      </c>
      <c r="E7" s="79" t="s">
        <v>34</v>
      </c>
      <c r="F7" s="79" t="s">
        <v>95</v>
      </c>
      <c r="G7" s="79" t="s">
        <v>96</v>
      </c>
      <c r="H7" s="79" t="s">
        <v>96</v>
      </c>
    </row>
    <row r="8" spans="1:8">
      <c r="A8" s="21"/>
      <c r="B8" s="79" t="s">
        <v>97</v>
      </c>
      <c r="C8" s="79" t="s">
        <v>98</v>
      </c>
      <c r="D8" s="79" t="s">
        <v>81</v>
      </c>
      <c r="E8" s="79" t="s">
        <v>99</v>
      </c>
      <c r="F8" s="79" t="s">
        <v>157</v>
      </c>
      <c r="G8" s="79" t="s">
        <v>100</v>
      </c>
      <c r="H8" s="79" t="s">
        <v>100</v>
      </c>
    </row>
    <row r="9" spans="1:8">
      <c r="A9" s="88" t="s">
        <v>101</v>
      </c>
      <c r="B9" s="80" t="s">
        <v>78</v>
      </c>
      <c r="C9" s="128" t="s">
        <v>102</v>
      </c>
      <c r="D9" s="80" t="s">
        <v>57</v>
      </c>
      <c r="E9" s="128" t="s">
        <v>182</v>
      </c>
      <c r="F9" s="81" t="str">
        <f>CONCATENATE("Jan 1,",H1-1,"")</f>
        <v>Jan 1,2012</v>
      </c>
      <c r="G9" s="80">
        <f>H1-1</f>
        <v>2012</v>
      </c>
      <c r="H9" s="80">
        <f>H1</f>
        <v>2013</v>
      </c>
    </row>
    <row r="10" spans="1:8" s="397" customFormat="1">
      <c r="A10" s="122" t="s">
        <v>618</v>
      </c>
      <c r="B10" s="122"/>
      <c r="C10" s="401"/>
      <c r="D10" s="400"/>
      <c r="E10" s="17"/>
      <c r="F10" s="17"/>
      <c r="G10" s="17"/>
      <c r="H10" s="17"/>
    </row>
    <row r="11" spans="1:8" s="397" customFormat="1">
      <c r="A11" s="122" t="s">
        <v>619</v>
      </c>
      <c r="B11" s="398">
        <v>38923</v>
      </c>
      <c r="C11" s="399" t="s">
        <v>620</v>
      </c>
      <c r="D11" s="400">
        <v>5</v>
      </c>
      <c r="E11" s="17">
        <v>2000000</v>
      </c>
      <c r="F11" s="17">
        <v>1626895.7</v>
      </c>
      <c r="G11" s="17">
        <f>77729.23*2</f>
        <v>155458.46</v>
      </c>
      <c r="H11" s="17">
        <f>77729.23*2</f>
        <v>155458.46</v>
      </c>
    </row>
    <row r="12" spans="1:8" s="397" customFormat="1">
      <c r="A12" s="122"/>
      <c r="B12" s="370"/>
      <c r="C12" s="399"/>
      <c r="D12" s="402"/>
      <c r="E12" s="358"/>
      <c r="F12" s="358"/>
      <c r="G12" s="358"/>
      <c r="H12" s="358"/>
    </row>
    <row r="13" spans="1:8" s="397" customFormat="1">
      <c r="A13" s="122" t="s">
        <v>361</v>
      </c>
      <c r="B13" s="370">
        <v>40056</v>
      </c>
      <c r="C13" s="399" t="s">
        <v>360</v>
      </c>
      <c r="D13" s="403">
        <v>3.26</v>
      </c>
      <c r="E13" s="150">
        <v>130000</v>
      </c>
      <c r="F13" s="150">
        <v>44399.08</v>
      </c>
      <c r="G13" s="150">
        <v>44399</v>
      </c>
      <c r="H13" s="150">
        <v>0</v>
      </c>
    </row>
    <row r="14" spans="1:8" s="397" customFormat="1">
      <c r="A14" s="122"/>
      <c r="B14" s="370"/>
      <c r="C14" s="399"/>
      <c r="D14" s="402"/>
      <c r="E14" s="358"/>
      <c r="F14" s="358"/>
      <c r="G14" s="358"/>
      <c r="H14" s="358"/>
    </row>
    <row r="15" spans="1:8" s="397" customFormat="1">
      <c r="A15" s="122"/>
      <c r="B15" s="370"/>
      <c r="C15" s="399"/>
      <c r="D15" s="403"/>
      <c r="E15" s="150"/>
      <c r="F15" s="150"/>
      <c r="G15" s="150"/>
      <c r="H15" s="150"/>
    </row>
    <row r="16" spans="1:8" s="397" customFormat="1">
      <c r="A16" s="8"/>
      <c r="B16" s="300"/>
      <c r="C16" s="226"/>
      <c r="D16" s="213"/>
      <c r="E16" s="214"/>
      <c r="F16" s="214"/>
      <c r="G16" s="214"/>
      <c r="H16" s="214"/>
    </row>
    <row r="17" spans="1:8" s="397" customFormat="1">
      <c r="A17" s="122"/>
      <c r="B17" s="370"/>
      <c r="C17" s="399"/>
      <c r="D17" s="403"/>
      <c r="E17" s="150"/>
      <c r="F17" s="150"/>
      <c r="G17" s="150"/>
      <c r="H17" s="150"/>
    </row>
    <row r="18" spans="1:8">
      <c r="A18" s="8"/>
      <c r="B18" s="300"/>
      <c r="C18" s="226"/>
      <c r="D18" s="213"/>
      <c r="E18" s="214"/>
      <c r="F18" s="214"/>
      <c r="G18" s="214"/>
      <c r="H18" s="214"/>
    </row>
    <row r="19" spans="1:8">
      <c r="A19" s="8"/>
      <c r="B19" s="300"/>
      <c r="C19" s="226"/>
      <c r="D19" s="213"/>
      <c r="E19" s="214"/>
      <c r="F19" s="214"/>
      <c r="G19" s="214"/>
      <c r="H19" s="214"/>
    </row>
    <row r="20" spans="1:8">
      <c r="A20" s="8"/>
      <c r="B20" s="300"/>
      <c r="C20" s="226"/>
      <c r="D20" s="213"/>
      <c r="E20" s="214"/>
      <c r="F20" s="214"/>
      <c r="G20" s="214"/>
      <c r="H20" s="214"/>
    </row>
    <row r="21" spans="1:8">
      <c r="A21" s="8"/>
      <c r="B21" s="300"/>
      <c r="C21" s="226"/>
      <c r="D21" s="213"/>
      <c r="E21" s="214"/>
      <c r="F21" s="214"/>
      <c r="G21" s="214"/>
      <c r="H21" s="214"/>
    </row>
    <row r="22" spans="1:8">
      <c r="A22" s="8"/>
      <c r="B22" s="300"/>
      <c r="C22" s="226"/>
      <c r="D22" s="213"/>
      <c r="E22" s="214"/>
      <c r="F22" s="214"/>
      <c r="G22" s="214"/>
      <c r="H22" s="214"/>
    </row>
    <row r="23" spans="1:8">
      <c r="A23" s="8"/>
      <c r="B23" s="300"/>
      <c r="C23" s="226"/>
      <c r="D23" s="213"/>
      <c r="E23" s="214"/>
      <c r="F23" s="214"/>
      <c r="G23" s="214"/>
      <c r="H23" s="214"/>
    </row>
    <row r="24" spans="1:8">
      <c r="A24" s="8"/>
      <c r="B24" s="300"/>
      <c r="C24" s="226"/>
      <c r="D24" s="213"/>
      <c r="E24" s="214"/>
      <c r="F24" s="214"/>
      <c r="G24" s="214"/>
      <c r="H24" s="214"/>
    </row>
    <row r="25" spans="1:8">
      <c r="A25" s="8"/>
      <c r="B25" s="300"/>
      <c r="C25" s="226"/>
      <c r="D25" s="213"/>
      <c r="E25" s="214"/>
      <c r="F25" s="214"/>
      <c r="G25" s="214"/>
      <c r="H25" s="214"/>
    </row>
    <row r="26" spans="1:8">
      <c r="A26" s="8"/>
      <c r="B26" s="300"/>
      <c r="C26" s="226"/>
      <c r="D26" s="213"/>
      <c r="E26" s="214"/>
      <c r="F26" s="214"/>
      <c r="G26" s="214"/>
      <c r="H26" s="214"/>
    </row>
    <row r="27" spans="1:8">
      <c r="A27" s="8"/>
      <c r="B27" s="300"/>
      <c r="C27" s="226"/>
      <c r="D27" s="213"/>
      <c r="E27" s="214"/>
      <c r="F27" s="214"/>
      <c r="G27" s="214"/>
      <c r="H27" s="214"/>
    </row>
    <row r="28" spans="1:8" ht="16.5" thickBot="1">
      <c r="A28" s="89" t="s">
        <v>29</v>
      </c>
      <c r="B28" s="133"/>
      <c r="C28" s="133"/>
      <c r="D28" s="133"/>
      <c r="E28" s="133"/>
      <c r="F28" s="275">
        <f>SUM(F10:F27)</f>
        <v>1671294.78</v>
      </c>
      <c r="G28" s="275">
        <f>SUM(G10:G27)</f>
        <v>199857.46</v>
      </c>
      <c r="H28" s="275">
        <f>SUM(H10:H27)</f>
        <v>155458.46</v>
      </c>
    </row>
    <row r="29" spans="1:8" ht="16.5" thickTop="1">
      <c r="A29" s="21"/>
      <c r="B29" s="21"/>
      <c r="C29" s="21"/>
      <c r="D29" s="21"/>
      <c r="E29" s="21"/>
      <c r="F29" s="21"/>
      <c r="G29" s="72"/>
      <c r="H29" s="72"/>
    </row>
    <row r="30" spans="1:8">
      <c r="A30" s="364" t="s">
        <v>417</v>
      </c>
      <c r="B30" s="365"/>
      <c r="C30" s="365"/>
      <c r="D30" s="365"/>
      <c r="E30" s="365"/>
      <c r="F30" s="365"/>
      <c r="G30" s="72"/>
      <c r="H30" s="72"/>
    </row>
  </sheetData>
  <phoneticPr fontId="0" type="noConversion"/>
  <pageMargins left="0.25" right="0.25" top="1" bottom="0.5" header="0.5" footer="0.5"/>
  <pageSetup scale="88" orientation="landscape" blackAndWhite="1" horizontalDpi="120" verticalDpi="144" r:id="rId1"/>
  <headerFooter alignWithMargins="0">
    <oddHeader>&amp;RState of Kansas
Coffeyville</oddHeader>
    <oddFooter>&amp;Lrevised 8/06/07&amp;CPage No.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Instructions</vt:lpstr>
      <vt:lpstr>inputPrYr</vt:lpstr>
      <vt:lpstr>inputOth</vt:lpstr>
      <vt:lpstr>cert</vt:lpstr>
      <vt:lpstr>computation</vt:lpstr>
      <vt:lpstr>mvalloc</vt:lpstr>
      <vt:lpstr>transfers</vt:lpstr>
      <vt:lpstr>debt</vt:lpstr>
      <vt:lpstr>lpform</vt:lpstr>
      <vt:lpstr>010</vt:lpstr>
      <vt:lpstr>010-detail1</vt:lpstr>
      <vt:lpstr>010-detail2</vt:lpstr>
      <vt:lpstr>010-detail3</vt:lpstr>
      <vt:lpstr>010-detail4</vt:lpstr>
      <vt:lpstr>090</vt:lpstr>
      <vt:lpstr>020-040</vt:lpstr>
      <vt:lpstr>110</vt:lpstr>
      <vt:lpstr>140-190</vt:lpstr>
      <vt:lpstr>250-280</vt:lpstr>
      <vt:lpstr>360-370</vt:lpstr>
      <vt:lpstr>450-530</vt:lpstr>
      <vt:lpstr>550-560</vt:lpstr>
      <vt:lpstr>650-670</vt:lpstr>
      <vt:lpstr>700-720</vt:lpstr>
      <vt:lpstr>760-820</vt:lpstr>
      <vt:lpstr>920</vt:lpstr>
      <vt:lpstr>800</vt:lpstr>
      <vt:lpstr>900</vt:lpstr>
      <vt:lpstr>NonBudA</vt:lpstr>
      <vt:lpstr>NonBudB</vt:lpstr>
      <vt:lpstr>NonBudC</vt:lpstr>
      <vt:lpstr>NonBudD</vt:lpstr>
      <vt:lpstr>NonBudE</vt:lpstr>
      <vt:lpstr>summ</vt:lpstr>
      <vt:lpstr>nhood</vt:lpstr>
      <vt:lpstr>ordinance</vt:lpstr>
      <vt:lpstr>legend</vt:lpstr>
      <vt:lpstr>'010'!Print_Area</vt:lpstr>
      <vt:lpstr>'010-detail1'!Print_Area</vt:lpstr>
      <vt:lpstr>'010-detail2'!Print_Area</vt:lpstr>
      <vt:lpstr>'010-detail3'!Print_Area</vt:lpstr>
      <vt:lpstr>'010-detail4'!Print_Area</vt:lpstr>
      <vt:lpstr>'020-040'!Print_Area</vt:lpstr>
      <vt:lpstr>'090'!Print_Area</vt:lpstr>
      <vt:lpstr>'110'!Print_Area</vt:lpstr>
      <vt:lpstr>'140-190'!Print_Area</vt:lpstr>
      <vt:lpstr>'250-280'!Print_Area</vt:lpstr>
      <vt:lpstr>'360-370'!Print_Area</vt:lpstr>
      <vt:lpstr>'450-530'!Print_Area</vt:lpstr>
      <vt:lpstr>'550-560'!Print_Area</vt:lpstr>
      <vt:lpstr>'650-670'!Print_Area</vt:lpstr>
      <vt:lpstr>'700-720'!Print_Area</vt:lpstr>
      <vt:lpstr>'760-820'!Print_Area</vt:lpstr>
      <vt:lpstr>'800'!Print_Area</vt:lpstr>
      <vt:lpstr>'900'!Print_Area</vt:lpstr>
      <vt:lpstr>'920'!Print_Area</vt:lpstr>
      <vt:lpstr>inputPrYr!Print_Area</vt:lpstr>
      <vt:lpstr>lpform!Print_Area</vt:lpstr>
      <vt:lpstr>nhood!Print_Area</vt:lpstr>
      <vt:lpstr>NonBudA!Print_Area</vt:lpstr>
      <vt:lpstr>NonBudB!Print_Area</vt:lpstr>
      <vt:lpstr>NonBudC!Print_Area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2012-07-30T20:49:49Z</cp:lastPrinted>
  <dcterms:created xsi:type="dcterms:W3CDTF">1999-08-03T13:11:47Z</dcterms:created>
  <dcterms:modified xsi:type="dcterms:W3CDTF">2014-01-21T16:09:02Z</dcterms:modified>
</cp:coreProperties>
</file>