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99B" lockStructure="1"/>
  <bookViews>
    <workbookView xWindow="-12" yWindow="168" windowWidth="9636" windowHeight="1128" tabRatio="908" activeTab="11"/>
  </bookViews>
  <sheets>
    <sheet name="Instructions" sheetId="1"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6" r:id="rId9"/>
    <sheet name="debt" sheetId="22" r:id="rId10"/>
    <sheet name="lpform" sheetId="23" r:id="rId11"/>
    <sheet name="Library Grant " sheetId="58" r:id="rId12"/>
    <sheet name="general" sheetId="7" r:id="rId13"/>
    <sheet name="GenDetail" sheetId="9" r:id="rId14"/>
    <sheet name="Debt Service" sheetId="34" r:id="rId15"/>
    <sheet name="Library" sheetId="65" r:id="rId16"/>
    <sheet name="AqFac Co Infra" sheetId="15" r:id="rId17"/>
    <sheet name="Conv Drug" sheetId="16" r:id="rId18"/>
    <sheet name="ED EMS Cap" sheetId="17" r:id="rId19"/>
    <sheet name="EMS Lib Sales" sheetId="18" r:id="rId20"/>
    <sheet name="Park Dec Rec Prog" sheetId="19" r:id="rId21"/>
    <sheet name="Risk Sen Ctr" sheetId="54" r:id="rId22"/>
    <sheet name="Side Soccer" sheetId="63" r:id="rId23"/>
    <sheet name="Spec Park Street" sheetId="62" r:id="rId24"/>
    <sheet name="Ball Pool" sheetId="61" r:id="rId25"/>
    <sheet name="Tiblow TIF Dev" sheetId="60" r:id="rId26"/>
    <sheet name="CID  City Contrib" sheetId="55" r:id="rId27"/>
    <sheet name="TIF Inc CID Dev Fees" sheetId="59" r:id="rId28"/>
    <sheet name="Waste Storm" sheetId="64" r:id="rId29"/>
    <sheet name="Waste Water" sheetId="35" r:id="rId30"/>
    <sheet name="Water" sheetId="36" r:id="rId31"/>
    <sheet name="NonBudA" sheetId="39" r:id="rId32"/>
    <sheet name="NonBudFunds" sheetId="45" r:id="rId33"/>
    <sheet name="summ" sheetId="21" r:id="rId34"/>
    <sheet name="nhood" sheetId="44" r:id="rId35"/>
    <sheet name="ordinance" sheetId="33" r:id="rId36"/>
    <sheet name="Tab A" sheetId="47" r:id="rId37"/>
    <sheet name="Tab B" sheetId="48" r:id="rId38"/>
    <sheet name="Tab C" sheetId="49" r:id="rId39"/>
    <sheet name="Tab D" sheetId="53" r:id="rId40"/>
    <sheet name="Tab E" sheetId="51" r:id="rId41"/>
    <sheet name="Mill Rate Computation" sheetId="56" r:id="rId42"/>
    <sheet name="Helpful Links" sheetId="57" r:id="rId43"/>
    <sheet name="legend" sheetId="25" r:id="rId44"/>
  </sheets>
  <definedNames>
    <definedName name="_xlnm.Print_Area" localSheetId="4">cert!$A$1:$I$69</definedName>
    <definedName name="_xlnm.Print_Area" localSheetId="14">'Debt Service'!$B$1:$E$52</definedName>
    <definedName name="_xlnm.Print_Area" localSheetId="13">GenDetail!$A$1:$D$128</definedName>
    <definedName name="_xlnm.Print_Area" localSheetId="12">general!$B$1:$E$94</definedName>
    <definedName name="_xlnm.Print_Area" localSheetId="1">inputPrYr!$A$1:$E$123</definedName>
    <definedName name="_xlnm.Print_Area" localSheetId="11">'Library Grant '!$A$1:$J$40</definedName>
    <definedName name="_xlnm.Print_Area" localSheetId="10">lpform!$B$1:$I$38</definedName>
    <definedName name="_xlnm.Print_Area" localSheetId="41">'Mill Rate Computation'!$B$4:$K$144</definedName>
    <definedName name="_xlnm.Print_Area" localSheetId="33">summ!$A$1:$H$67</definedName>
  </definedNames>
  <calcPr calcId="145621"/>
</workbook>
</file>

<file path=xl/calcChain.xml><?xml version="1.0" encoding="utf-8"?>
<calcChain xmlns="http://schemas.openxmlformats.org/spreadsheetml/2006/main">
  <c r="B2" i="3" l="1"/>
  <c r="D49" i="3" l="1"/>
  <c r="D48" i="3"/>
  <c r="D47" i="3"/>
  <c r="D46" i="3"/>
  <c r="D45" i="3"/>
  <c r="D44" i="3"/>
  <c r="D43" i="3"/>
  <c r="D42" i="3"/>
  <c r="D41" i="3"/>
  <c r="D40" i="3"/>
  <c r="D39" i="3"/>
  <c r="D38" i="3"/>
  <c r="D37" i="3"/>
  <c r="D36" i="3"/>
  <c r="D35" i="3"/>
  <c r="D34" i="3"/>
  <c r="D33" i="3"/>
  <c r="D19" i="3"/>
  <c r="D65" i="19"/>
  <c r="D37" i="32"/>
  <c r="E37" i="32"/>
  <c r="C37" i="32"/>
  <c r="D54" i="21" l="1"/>
  <c r="B54" i="21"/>
  <c r="B46" i="21"/>
  <c r="D21" i="32" l="1"/>
  <c r="E21" i="32"/>
  <c r="C21" i="32"/>
  <c r="D32" i="17"/>
  <c r="C32" i="17"/>
  <c r="D65" i="16"/>
  <c r="C65" i="16"/>
  <c r="F26" i="21"/>
  <c r="D26" i="21"/>
  <c r="B26" i="21"/>
  <c r="D15" i="32"/>
  <c r="E15" i="32"/>
  <c r="C15" i="32"/>
  <c r="D38" i="32" l="1"/>
  <c r="C38" i="32"/>
  <c r="E38" i="32"/>
  <c r="E71" i="7"/>
  <c r="D124" i="9"/>
  <c r="B124" i="9"/>
  <c r="F45" i="21" l="1"/>
  <c r="D45" i="21"/>
  <c r="B45" i="21"/>
  <c r="F44" i="21"/>
  <c r="D44" i="21"/>
  <c r="B44" i="21"/>
  <c r="F43" i="21"/>
  <c r="D43" i="21"/>
  <c r="B43" i="21"/>
  <c r="F42" i="21"/>
  <c r="D42" i="21"/>
  <c r="B42" i="21"/>
  <c r="F41" i="21"/>
  <c r="D41" i="21"/>
  <c r="B41" i="21"/>
  <c r="F40" i="21"/>
  <c r="D40" i="21"/>
  <c r="B40" i="21"/>
  <c r="F39" i="21"/>
  <c r="D39" i="21"/>
  <c r="B39" i="21"/>
  <c r="F38" i="21"/>
  <c r="D38" i="21"/>
  <c r="B38" i="21"/>
  <c r="F37" i="21"/>
  <c r="D37" i="21"/>
  <c r="B37" i="21"/>
  <c r="F36" i="21"/>
  <c r="D36" i="21"/>
  <c r="B36" i="21"/>
  <c r="D33" i="21"/>
  <c r="B33" i="21"/>
  <c r="F32" i="21"/>
  <c r="D32" i="21"/>
  <c r="B32" i="21"/>
  <c r="F31" i="21"/>
  <c r="D31" i="21"/>
  <c r="B31" i="21"/>
  <c r="F30" i="21"/>
  <c r="D30" i="21"/>
  <c r="B30" i="21"/>
  <c r="F29" i="21"/>
  <c r="D29" i="21"/>
  <c r="F28" i="21"/>
  <c r="D28" i="21"/>
  <c r="B28" i="21"/>
  <c r="F27" i="21"/>
  <c r="D27" i="21"/>
  <c r="B27" i="21"/>
  <c r="F25" i="21"/>
  <c r="D25" i="21"/>
  <c r="B25" i="21"/>
  <c r="D24" i="21"/>
  <c r="F24" i="21"/>
  <c r="B24" i="21"/>
  <c r="F23" i="21"/>
  <c r="D23" i="21"/>
  <c r="B23" i="21"/>
  <c r="F22" i="21"/>
  <c r="D22" i="21"/>
  <c r="B22" i="21"/>
  <c r="F21" i="21"/>
  <c r="D21" i="21"/>
  <c r="B21" i="21"/>
  <c r="F20" i="21"/>
  <c r="D20" i="21"/>
  <c r="B20" i="21"/>
  <c r="F19" i="21"/>
  <c r="D19" i="21"/>
  <c r="B19" i="21"/>
  <c r="F18" i="21"/>
  <c r="D18" i="21"/>
  <c r="B18" i="21"/>
  <c r="E47" i="3"/>
  <c r="E42" i="3"/>
  <c r="E26" i="3"/>
  <c r="E39" i="3"/>
  <c r="E36" i="3"/>
  <c r="E30" i="3"/>
  <c r="F48" i="3"/>
  <c r="F47" i="3"/>
  <c r="F46" i="3"/>
  <c r="F45" i="3"/>
  <c r="F44" i="3"/>
  <c r="F43" i="3"/>
  <c r="F42" i="3"/>
  <c r="F41" i="3"/>
  <c r="F40" i="3"/>
  <c r="F39" i="3"/>
  <c r="F35" i="3"/>
  <c r="F34" i="3"/>
  <c r="F33" i="3"/>
  <c r="F32" i="3"/>
  <c r="F31" i="3"/>
  <c r="F30" i="3"/>
  <c r="F29" i="3"/>
  <c r="F28" i="3"/>
  <c r="F27" i="3"/>
  <c r="F26" i="3"/>
  <c r="F25" i="3"/>
  <c r="F24" i="3"/>
  <c r="F23" i="3"/>
  <c r="F22" i="3"/>
  <c r="F21" i="3"/>
  <c r="D20" i="3"/>
  <c r="D44" i="36"/>
  <c r="C44" i="36"/>
  <c r="C46" i="35"/>
  <c r="D46" i="35"/>
  <c r="D64" i="64"/>
  <c r="C64" i="64"/>
  <c r="C32" i="64"/>
  <c r="D32" i="64"/>
  <c r="D65" i="55"/>
  <c r="C65" i="55"/>
  <c r="C32" i="55"/>
  <c r="D32" i="55"/>
  <c r="D65" i="59"/>
  <c r="C65" i="59"/>
  <c r="C65" i="15"/>
  <c r="D65" i="15"/>
  <c r="D32" i="15"/>
  <c r="D32" i="59"/>
  <c r="C32" i="59"/>
  <c r="C60" i="60"/>
  <c r="D60" i="60"/>
  <c r="C32" i="60"/>
  <c r="D32" i="60"/>
  <c r="D64" i="62"/>
  <c r="C64" i="62"/>
  <c r="D65" i="54"/>
  <c r="C65" i="54"/>
  <c r="D32" i="54"/>
  <c r="C32" i="54"/>
  <c r="D65" i="61"/>
  <c r="C65" i="61"/>
  <c r="D27" i="61"/>
  <c r="C27" i="61"/>
  <c r="D32" i="19"/>
  <c r="C32" i="19"/>
  <c r="C65" i="19"/>
  <c r="D32" i="62"/>
  <c r="C32" i="62"/>
  <c r="D65" i="18"/>
  <c r="C65" i="18"/>
  <c r="D65" i="17"/>
  <c r="C65" i="17"/>
  <c r="D32" i="18"/>
  <c r="C32" i="18"/>
  <c r="D32" i="16"/>
  <c r="C32" i="16"/>
  <c r="C32" i="15"/>
  <c r="C29" i="65"/>
  <c r="C25" i="65"/>
  <c r="B25" i="65"/>
  <c r="D23" i="65"/>
  <c r="D27" i="65" s="1"/>
  <c r="C23" i="65"/>
  <c r="C22" i="65" s="1"/>
  <c r="B23" i="65"/>
  <c r="B22" i="65" s="1"/>
  <c r="B17" i="65"/>
  <c r="C16" i="65"/>
  <c r="C15" i="65" s="1"/>
  <c r="B16" i="65"/>
  <c r="B15" i="65"/>
  <c r="D10" i="65"/>
  <c r="D9" i="65"/>
  <c r="D8" i="65"/>
  <c r="D16" i="65" s="1"/>
  <c r="D4" i="65"/>
  <c r="C4" i="65"/>
  <c r="C17" i="65" s="1"/>
  <c r="A3" i="65"/>
  <c r="D17" i="65" l="1"/>
  <c r="D28" i="65" s="1"/>
  <c r="D29" i="65" s="1"/>
  <c r="D22" i="65"/>
  <c r="A39" i="21"/>
  <c r="A40" i="21"/>
  <c r="A41" i="21"/>
  <c r="A42" i="21"/>
  <c r="A43" i="21"/>
  <c r="A44" i="21"/>
  <c r="A45" i="21"/>
  <c r="A46" i="21"/>
  <c r="B5" i="36"/>
  <c r="B5" i="35"/>
  <c r="B38" i="64"/>
  <c r="B5" i="64"/>
  <c r="E62" i="64"/>
  <c r="E61" i="64" s="1"/>
  <c r="D62" i="64"/>
  <c r="D61" i="64" s="1"/>
  <c r="C62" i="64"/>
  <c r="C65" i="64" s="1"/>
  <c r="E48" i="64"/>
  <c r="E47" i="64" s="1"/>
  <c r="D48" i="64"/>
  <c r="D47" i="64" s="1"/>
  <c r="C48" i="64"/>
  <c r="C49" i="64" s="1"/>
  <c r="E30" i="64"/>
  <c r="E29" i="64" s="1"/>
  <c r="D30" i="64"/>
  <c r="D29" i="64" s="1"/>
  <c r="C30" i="64"/>
  <c r="C33" i="64" s="1"/>
  <c r="E16" i="64"/>
  <c r="E15" i="64" s="1"/>
  <c r="D16" i="64"/>
  <c r="D15" i="64" s="1"/>
  <c r="C16" i="64"/>
  <c r="C15" i="64" s="1"/>
  <c r="D5" i="64"/>
  <c r="D38" i="64" s="1"/>
  <c r="C5" i="64"/>
  <c r="C38" i="64" s="1"/>
  <c r="E1" i="64"/>
  <c r="B64" i="64" s="1"/>
  <c r="B1" i="64"/>
  <c r="B38" i="55"/>
  <c r="B5" i="55"/>
  <c r="B38" i="59"/>
  <c r="B5" i="59"/>
  <c r="B38" i="60"/>
  <c r="B5" i="60"/>
  <c r="B31" i="61"/>
  <c r="B4" i="61"/>
  <c r="B38" i="62"/>
  <c r="B5" i="62"/>
  <c r="B5" i="63"/>
  <c r="B38" i="54"/>
  <c r="B5" i="54"/>
  <c r="B38" i="19"/>
  <c r="B5" i="19"/>
  <c r="B38" i="18"/>
  <c r="B5" i="18"/>
  <c r="B38" i="17"/>
  <c r="B5" i="17"/>
  <c r="B38" i="16"/>
  <c r="B5" i="16"/>
  <c r="B38" i="15"/>
  <c r="B5" i="15"/>
  <c r="E58" i="60"/>
  <c r="E57" i="60" s="1"/>
  <c r="D58" i="60"/>
  <c r="D61" i="60" s="1"/>
  <c r="C58" i="60"/>
  <c r="C57" i="60" s="1"/>
  <c r="C50" i="60"/>
  <c r="E49" i="60"/>
  <c r="E48" i="60" s="1"/>
  <c r="D49" i="60"/>
  <c r="D48" i="60" s="1"/>
  <c r="C49" i="60"/>
  <c r="C48" i="60"/>
  <c r="E30" i="60"/>
  <c r="E29" i="60" s="1"/>
  <c r="D30" i="60"/>
  <c r="D33" i="60" s="1"/>
  <c r="C30" i="60"/>
  <c r="C33" i="60" s="1"/>
  <c r="E16" i="60"/>
  <c r="E15" i="60" s="1"/>
  <c r="D16" i="60"/>
  <c r="D15" i="60" s="1"/>
  <c r="C16" i="60"/>
  <c r="C17" i="60" s="1"/>
  <c r="E1" i="60"/>
  <c r="C5" i="60" s="1"/>
  <c r="C38" i="60" s="1"/>
  <c r="B1" i="60"/>
  <c r="E63" i="61"/>
  <c r="D63" i="61"/>
  <c r="D35" i="21" s="1"/>
  <c r="C63" i="61"/>
  <c r="E52" i="61"/>
  <c r="E51" i="61" s="1"/>
  <c r="D52" i="61"/>
  <c r="D51" i="61" s="1"/>
  <c r="C52" i="61"/>
  <c r="C53" i="61" s="1"/>
  <c r="E25" i="61"/>
  <c r="D25" i="61"/>
  <c r="D34" i="21" s="1"/>
  <c r="C25" i="61"/>
  <c r="B34" i="21" s="1"/>
  <c r="E15" i="61"/>
  <c r="E14" i="61" s="1"/>
  <c r="D15" i="61"/>
  <c r="D14" i="61" s="1"/>
  <c r="C15" i="61"/>
  <c r="C16" i="61" s="1"/>
  <c r="E1" i="61"/>
  <c r="C4" i="61" s="1"/>
  <c r="C31" i="61" s="1"/>
  <c r="B1" i="61"/>
  <c r="E62" i="62"/>
  <c r="D62" i="62"/>
  <c r="D61" i="62" s="1"/>
  <c r="C62" i="62"/>
  <c r="E49" i="62"/>
  <c r="E48" i="62" s="1"/>
  <c r="D49" i="62"/>
  <c r="D48" i="62" s="1"/>
  <c r="C49" i="62"/>
  <c r="C50" i="62" s="1"/>
  <c r="E30" i="62"/>
  <c r="E29" i="62" s="1"/>
  <c r="D30" i="62"/>
  <c r="D29" i="62" s="1"/>
  <c r="C30" i="62"/>
  <c r="C33" i="62" s="1"/>
  <c r="E16" i="62"/>
  <c r="E15" i="62" s="1"/>
  <c r="D16" i="62"/>
  <c r="D15" i="62" s="1"/>
  <c r="C16" i="62"/>
  <c r="C17" i="62" s="1"/>
  <c r="E1" i="62"/>
  <c r="B64" i="62" s="1"/>
  <c r="B1" i="62"/>
  <c r="D65" i="63"/>
  <c r="C65" i="63"/>
  <c r="E63" i="63"/>
  <c r="E62" i="63" s="1"/>
  <c r="D63" i="63"/>
  <c r="D62" i="63" s="1"/>
  <c r="C63" i="63"/>
  <c r="C66" i="63" s="1"/>
  <c r="E49" i="63"/>
  <c r="E48" i="63" s="1"/>
  <c r="D49" i="63"/>
  <c r="D48" i="63" s="1"/>
  <c r="C49" i="63"/>
  <c r="C48" i="63" s="1"/>
  <c r="B38" i="63"/>
  <c r="D32" i="63"/>
  <c r="C32" i="63"/>
  <c r="E30" i="63"/>
  <c r="E29" i="63" s="1"/>
  <c r="D30" i="63"/>
  <c r="D29" i="63" s="1"/>
  <c r="C30" i="63"/>
  <c r="C33" i="63" s="1"/>
  <c r="E16" i="63"/>
  <c r="E15" i="63" s="1"/>
  <c r="D16" i="63"/>
  <c r="D15" i="63" s="1"/>
  <c r="C16" i="63"/>
  <c r="C15" i="63" s="1"/>
  <c r="D5" i="63"/>
  <c r="D38" i="63" s="1"/>
  <c r="C5" i="63"/>
  <c r="C38" i="63" s="1"/>
  <c r="E1" i="63"/>
  <c r="B65" i="63" s="1"/>
  <c r="B1" i="63"/>
  <c r="E63" i="59"/>
  <c r="E62" i="59" s="1"/>
  <c r="D63" i="59"/>
  <c r="D62" i="59" s="1"/>
  <c r="C63" i="59"/>
  <c r="C66" i="59" s="1"/>
  <c r="E49" i="59"/>
  <c r="E48" i="59" s="1"/>
  <c r="D49" i="59"/>
  <c r="D48" i="59" s="1"/>
  <c r="C49" i="59"/>
  <c r="C50" i="59" s="1"/>
  <c r="C64" i="59" s="1"/>
  <c r="E30" i="59"/>
  <c r="D30" i="59"/>
  <c r="D29" i="59" s="1"/>
  <c r="C30" i="59"/>
  <c r="C33" i="59" s="1"/>
  <c r="E29" i="59"/>
  <c r="E16" i="59"/>
  <c r="E15" i="59" s="1"/>
  <c r="D16" i="59"/>
  <c r="D15" i="59" s="1"/>
  <c r="C16" i="59"/>
  <c r="C15" i="59" s="1"/>
  <c r="D5" i="59"/>
  <c r="D38" i="59" s="1"/>
  <c r="C5" i="59"/>
  <c r="C38" i="59" s="1"/>
  <c r="E1" i="59"/>
  <c r="B65" i="59" s="1"/>
  <c r="B1" i="59"/>
  <c r="E83" i="7"/>
  <c r="D83" i="7"/>
  <c r="C83" i="7"/>
  <c r="D70" i="7"/>
  <c r="E70" i="7"/>
  <c r="C70" i="7"/>
  <c r="D49" i="34"/>
  <c r="D91" i="7"/>
  <c r="J78" i="7"/>
  <c r="J79" i="7"/>
  <c r="J80" i="7"/>
  <c r="B70" i="7"/>
  <c r="B69" i="7"/>
  <c r="B62" i="7"/>
  <c r="E62" i="61" l="1"/>
  <c r="F38" i="3"/>
  <c r="F35" i="21"/>
  <c r="E24" i="61"/>
  <c r="F37" i="3"/>
  <c r="F34" i="21"/>
  <c r="C62" i="61"/>
  <c r="B35" i="21"/>
  <c r="E61" i="62"/>
  <c r="F33" i="21"/>
  <c r="F36" i="3"/>
  <c r="D5" i="60"/>
  <c r="D38" i="60" s="1"/>
  <c r="D65" i="64"/>
  <c r="C63" i="64"/>
  <c r="C66" i="64" s="1"/>
  <c r="D33" i="64"/>
  <c r="D66" i="59"/>
  <c r="C59" i="60"/>
  <c r="D39" i="60" s="1"/>
  <c r="D50" i="60" s="1"/>
  <c r="D59" i="60" s="1"/>
  <c r="C31" i="60"/>
  <c r="D6" i="60" s="1"/>
  <c r="D17" i="60" s="1"/>
  <c r="D31" i="60" s="1"/>
  <c r="C15" i="60"/>
  <c r="C65" i="62"/>
  <c r="C5" i="62"/>
  <c r="C38" i="62" s="1"/>
  <c r="C63" i="62"/>
  <c r="D39" i="62" s="1"/>
  <c r="D50" i="62" s="1"/>
  <c r="D63" i="62" s="1"/>
  <c r="D5" i="62"/>
  <c r="D38" i="62" s="1"/>
  <c r="D65" i="62"/>
  <c r="D33" i="63"/>
  <c r="C64" i="61"/>
  <c r="D32" i="61" s="1"/>
  <c r="D53" i="61" s="1"/>
  <c r="D64" i="61" s="1"/>
  <c r="C14" i="61"/>
  <c r="C51" i="61"/>
  <c r="D4" i="61"/>
  <c r="D31" i="61" s="1"/>
  <c r="D66" i="63"/>
  <c r="C26" i="61"/>
  <c r="C28" i="61" s="1"/>
  <c r="C31" i="62"/>
  <c r="D6" i="62" s="1"/>
  <c r="D17" i="62" s="1"/>
  <c r="D31" i="62" s="1"/>
  <c r="D33" i="62"/>
  <c r="D30" i="65"/>
  <c r="D15" i="65" s="1"/>
  <c r="C47" i="64"/>
  <c r="E5" i="64"/>
  <c r="E38" i="64" s="1"/>
  <c r="C29" i="64"/>
  <c r="C61" i="64"/>
  <c r="C17" i="64"/>
  <c r="C31" i="64" s="1"/>
  <c r="B32" i="64"/>
  <c r="C62" i="60"/>
  <c r="E5" i="60"/>
  <c r="E38" i="60" s="1"/>
  <c r="C29" i="60"/>
  <c r="D29" i="60"/>
  <c r="B32" i="60"/>
  <c r="D57" i="60"/>
  <c r="B60" i="60"/>
  <c r="C61" i="60"/>
  <c r="E4" i="61"/>
  <c r="E31" i="61" s="1"/>
  <c r="C24" i="61"/>
  <c r="D24" i="61"/>
  <c r="B27" i="61"/>
  <c r="D62" i="61"/>
  <c r="B65" i="61"/>
  <c r="C15" i="62"/>
  <c r="C48" i="62"/>
  <c r="E5" i="62"/>
  <c r="E38" i="62" s="1"/>
  <c r="C29" i="62"/>
  <c r="C61" i="62"/>
  <c r="B32" i="62"/>
  <c r="E5" i="63"/>
  <c r="E38" i="63" s="1"/>
  <c r="C29" i="63"/>
  <c r="C62" i="63"/>
  <c r="C17" i="63"/>
  <c r="C31" i="63" s="1"/>
  <c r="B32" i="63"/>
  <c r="C50" i="63"/>
  <c r="C64" i="63" s="1"/>
  <c r="D39" i="59"/>
  <c r="D50" i="59" s="1"/>
  <c r="D64" i="59" s="1"/>
  <c r="C67" i="59"/>
  <c r="C48" i="59"/>
  <c r="E5" i="59"/>
  <c r="E38" i="59" s="1"/>
  <c r="C29" i="59"/>
  <c r="C62" i="59"/>
  <c r="C17" i="59"/>
  <c r="C31" i="59" s="1"/>
  <c r="B32" i="59"/>
  <c r="C118" i="9"/>
  <c r="D69" i="7" s="1"/>
  <c r="D118" i="9"/>
  <c r="B118" i="9"/>
  <c r="D39" i="64" l="1"/>
  <c r="D49" i="64" s="1"/>
  <c r="D63" i="64" s="1"/>
  <c r="E39" i="64" s="1"/>
  <c r="E49" i="64" s="1"/>
  <c r="E63" i="64" s="1"/>
  <c r="E64" i="64" s="1"/>
  <c r="C34" i="60"/>
  <c r="C66" i="62"/>
  <c r="D5" i="61"/>
  <c r="D16" i="61" s="1"/>
  <c r="D26" i="61" s="1"/>
  <c r="E5" i="61" s="1"/>
  <c r="E16" i="61" s="1"/>
  <c r="E26" i="61" s="1"/>
  <c r="E27" i="61" s="1"/>
  <c r="C34" i="62"/>
  <c r="D6" i="64"/>
  <c r="D17" i="64" s="1"/>
  <c r="D31" i="64" s="1"/>
  <c r="C34" i="64"/>
  <c r="E6" i="60"/>
  <c r="E17" i="60" s="1"/>
  <c r="E31" i="60" s="1"/>
  <c r="E32" i="60" s="1"/>
  <c r="D34" i="60"/>
  <c r="D62" i="60"/>
  <c r="E39" i="60"/>
  <c r="E50" i="60" s="1"/>
  <c r="E59" i="60" s="1"/>
  <c r="E60" i="60" s="1"/>
  <c r="E32" i="61"/>
  <c r="E53" i="61" s="1"/>
  <c r="E64" i="61" s="1"/>
  <c r="E65" i="61" s="1"/>
  <c r="E6" i="62"/>
  <c r="E17" i="62" s="1"/>
  <c r="E31" i="62" s="1"/>
  <c r="E32" i="62" s="1"/>
  <c r="D34" i="62"/>
  <c r="D66" i="62"/>
  <c r="E39" i="62"/>
  <c r="E50" i="62" s="1"/>
  <c r="E63" i="62" s="1"/>
  <c r="E64" i="62" s="1"/>
  <c r="C67" i="63"/>
  <c r="D39" i="63"/>
  <c r="D50" i="63" s="1"/>
  <c r="D64" i="63" s="1"/>
  <c r="C34" i="63"/>
  <c r="D6" i="63"/>
  <c r="D17" i="63" s="1"/>
  <c r="D31" i="63" s="1"/>
  <c r="D6" i="59"/>
  <c r="D17" i="59" s="1"/>
  <c r="D31" i="59" s="1"/>
  <c r="C34" i="59"/>
  <c r="E39" i="59"/>
  <c r="E50" i="59" s="1"/>
  <c r="E64" i="59" s="1"/>
  <c r="E65" i="59" s="1"/>
  <c r="D67" i="59"/>
  <c r="C69" i="7"/>
  <c r="E69" i="7"/>
  <c r="B61" i="7"/>
  <c r="C123" i="9"/>
  <c r="C124" i="9" s="1"/>
  <c r="D123" i="9"/>
  <c r="B123" i="9"/>
  <c r="A33" i="21"/>
  <c r="A34" i="21"/>
  <c r="A35" i="21"/>
  <c r="A36" i="21"/>
  <c r="A37" i="21"/>
  <c r="A38" i="21"/>
  <c r="B63" i="7"/>
  <c r="B64" i="7"/>
  <c r="B65" i="7"/>
  <c r="C112" i="9"/>
  <c r="D68" i="7" s="1"/>
  <c r="D112" i="9"/>
  <c r="E68" i="7" s="1"/>
  <c r="B112" i="9"/>
  <c r="C68" i="7" s="1"/>
  <c r="B106" i="9"/>
  <c r="C76" i="9"/>
  <c r="D76" i="9"/>
  <c r="B76" i="9"/>
  <c r="C59" i="9"/>
  <c r="D61" i="7" s="1"/>
  <c r="D59" i="9"/>
  <c r="E61" i="7" s="1"/>
  <c r="B59" i="9"/>
  <c r="C61" i="7" s="1"/>
  <c r="C53" i="9"/>
  <c r="D60" i="7" s="1"/>
  <c r="D53" i="9"/>
  <c r="E60" i="7" s="1"/>
  <c r="B53" i="9"/>
  <c r="C60" i="7" s="1"/>
  <c r="B53" i="7"/>
  <c r="D66" i="64" l="1"/>
  <c r="D28" i="61"/>
  <c r="E6" i="64"/>
  <c r="E17" i="64" s="1"/>
  <c r="E31" i="64" s="1"/>
  <c r="E32" i="64" s="1"/>
  <c r="D34" i="64"/>
  <c r="E39" i="63"/>
  <c r="E50" i="63" s="1"/>
  <c r="E64" i="63" s="1"/>
  <c r="E65" i="63" s="1"/>
  <c r="D67" i="63"/>
  <c r="E6" i="63"/>
  <c r="E17" i="63" s="1"/>
  <c r="E31" i="63" s="1"/>
  <c r="E32" i="63" s="1"/>
  <c r="D34" i="63"/>
  <c r="E6" i="59"/>
  <c r="E17" i="59" s="1"/>
  <c r="E31" i="59" s="1"/>
  <c r="E32" i="59" s="1"/>
  <c r="D34" i="59"/>
  <c r="B48" i="3" l="1"/>
  <c r="B49" i="3"/>
  <c r="B36" i="3"/>
  <c r="B37" i="3"/>
  <c r="B38" i="3"/>
  <c r="B39" i="3"/>
  <c r="B40" i="3"/>
  <c r="B41" i="3"/>
  <c r="B42" i="3"/>
  <c r="B43" i="3"/>
  <c r="B44" i="3"/>
  <c r="B45" i="3"/>
  <c r="B46" i="3"/>
  <c r="B47" i="3"/>
  <c r="A97" i="43"/>
  <c r="A98" i="43"/>
  <c r="A99" i="43"/>
  <c r="A100" i="43"/>
  <c r="A101" i="43"/>
  <c r="A102" i="43"/>
  <c r="A89" i="43"/>
  <c r="A90" i="43"/>
  <c r="A91" i="43"/>
  <c r="A92" i="43"/>
  <c r="A93" i="43"/>
  <c r="A94" i="43"/>
  <c r="A95" i="43"/>
  <c r="A96" i="43"/>
  <c r="D95" i="2" l="1"/>
  <c r="D63" i="2"/>
  <c r="D30" i="34" l="1"/>
  <c r="D41" i="7"/>
  <c r="D40" i="7" s="1"/>
  <c r="J39" i="34"/>
  <c r="J38" i="34"/>
  <c r="B19" i="58"/>
  <c r="B18" i="58"/>
  <c r="B17" i="58"/>
  <c r="B16" i="58"/>
  <c r="B15" i="58"/>
  <c r="G24" i="2"/>
  <c r="G22" i="2"/>
  <c r="G23" i="2"/>
  <c r="B16" i="3"/>
  <c r="D16" i="3"/>
  <c r="J148" i="56"/>
  <c r="C137" i="56"/>
  <c r="J137" i="56" s="1"/>
  <c r="H134" i="56"/>
  <c r="H120" i="56"/>
  <c r="C123" i="56" s="1"/>
  <c r="H114" i="56"/>
  <c r="F117" i="56" s="1"/>
  <c r="H117" i="56" s="1"/>
  <c r="F123" i="56" s="1"/>
  <c r="H100" i="56"/>
  <c r="C103" i="56" s="1"/>
  <c r="F97" i="56"/>
  <c r="H97" i="56"/>
  <c r="F103" i="56" s="1"/>
  <c r="H94" i="56"/>
  <c r="H80" i="56"/>
  <c r="C83" i="56" s="1"/>
  <c r="H74" i="56"/>
  <c r="F77" i="56" s="1"/>
  <c r="H77" i="56" s="1"/>
  <c r="F83" i="56" s="1"/>
  <c r="H48" i="56"/>
  <c r="F50" i="56" s="1"/>
  <c r="J50" i="56" s="1"/>
  <c r="H41" i="56"/>
  <c r="B28" i="56"/>
  <c r="H28" i="56" s="1"/>
  <c r="H25" i="56"/>
  <c r="C25" i="56"/>
  <c r="A62" i="21"/>
  <c r="A63" i="21"/>
  <c r="A4" i="21"/>
  <c r="A7" i="21"/>
  <c r="G20" i="52"/>
  <c r="G22" i="52" s="1"/>
  <c r="A55" i="43"/>
  <c r="A17" i="21"/>
  <c r="B18" i="44"/>
  <c r="B17" i="44"/>
  <c r="B16" i="44"/>
  <c r="B15" i="44"/>
  <c r="B14" i="44"/>
  <c r="B13" i="44"/>
  <c r="B12" i="44"/>
  <c r="B11" i="44"/>
  <c r="B10" i="44"/>
  <c r="B9" i="44"/>
  <c r="B8" i="44"/>
  <c r="D44" i="7"/>
  <c r="D18" i="3" s="1"/>
  <c r="C10" i="5"/>
  <c r="B10" i="5"/>
  <c r="A73" i="43"/>
  <c r="A31" i="43"/>
  <c r="B94" i="2"/>
  <c r="B20" i="3"/>
  <c r="C20" i="3"/>
  <c r="E19" i="58"/>
  <c r="E18" i="58"/>
  <c r="E17" i="58"/>
  <c r="E16" i="58"/>
  <c r="G19" i="58"/>
  <c r="G14" i="58"/>
  <c r="B78" i="58" s="1"/>
  <c r="E14" i="58"/>
  <c r="B89" i="58" s="1"/>
  <c r="B8" i="58"/>
  <c r="B7" i="58"/>
  <c r="B5" i="58"/>
  <c r="D68" i="9"/>
  <c r="C68" i="9"/>
  <c r="B68" i="9"/>
  <c r="D58" i="21"/>
  <c r="B58" i="21"/>
  <c r="D57" i="21"/>
  <c r="B57" i="21"/>
  <c r="D56" i="21"/>
  <c r="D59" i="21" s="1"/>
  <c r="B56" i="21"/>
  <c r="D55" i="21"/>
  <c r="B55" i="21"/>
  <c r="B52" i="21"/>
  <c r="B50" i="21"/>
  <c r="C19" i="44"/>
  <c r="E26" i="2"/>
  <c r="D50" i="21" s="1"/>
  <c r="C76" i="3"/>
  <c r="D32" i="3"/>
  <c r="D31" i="3"/>
  <c r="D30" i="3"/>
  <c r="D17" i="21"/>
  <c r="B17" i="21"/>
  <c r="C45" i="34"/>
  <c r="D45" i="34"/>
  <c r="C87" i="7"/>
  <c r="D87" i="7"/>
  <c r="C58" i="3"/>
  <c r="D32" i="43"/>
  <c r="E63" i="55"/>
  <c r="D63" i="55"/>
  <c r="C63" i="55"/>
  <c r="E49" i="55"/>
  <c r="E48" i="55" s="1"/>
  <c r="D49" i="55"/>
  <c r="D48" i="55" s="1"/>
  <c r="C49" i="55"/>
  <c r="C50" i="55" s="1"/>
  <c r="E30" i="55"/>
  <c r="D30" i="55"/>
  <c r="C30" i="55"/>
  <c r="E16" i="55"/>
  <c r="E15" i="55" s="1"/>
  <c r="D16" i="55"/>
  <c r="D15" i="55" s="1"/>
  <c r="C16" i="55"/>
  <c r="C17" i="55" s="1"/>
  <c r="E1" i="55"/>
  <c r="E5" i="55" s="1"/>
  <c r="E38" i="55" s="1"/>
  <c r="B1" i="55"/>
  <c r="E63" i="54"/>
  <c r="D63" i="54"/>
  <c r="C63" i="54"/>
  <c r="B29" i="21" s="1"/>
  <c r="E49" i="54"/>
  <c r="E48" i="54" s="1"/>
  <c r="D49" i="54"/>
  <c r="D48" i="54" s="1"/>
  <c r="C49" i="54"/>
  <c r="C48" i="54" s="1"/>
  <c r="E30" i="54"/>
  <c r="D30" i="54"/>
  <c r="C30" i="54"/>
  <c r="C29" i="54" s="1"/>
  <c r="E16" i="54"/>
  <c r="E15" i="54" s="1"/>
  <c r="D16" i="54"/>
  <c r="D15" i="54" s="1"/>
  <c r="C16" i="54"/>
  <c r="C17" i="54" s="1"/>
  <c r="E1" i="54"/>
  <c r="D5" i="54" s="1"/>
  <c r="D38" i="54" s="1"/>
  <c r="B1" i="54"/>
  <c r="A32" i="21"/>
  <c r="A31" i="21"/>
  <c r="A30" i="21"/>
  <c r="A29" i="21"/>
  <c r="B35" i="3"/>
  <c r="B34" i="3"/>
  <c r="B33" i="3"/>
  <c r="B32" i="3"/>
  <c r="A88" i="43"/>
  <c r="A87" i="43"/>
  <c r="A86" i="43"/>
  <c r="A85" i="43"/>
  <c r="A34" i="48"/>
  <c r="A77" i="47"/>
  <c r="A74" i="47"/>
  <c r="A33" i="47"/>
  <c r="A28" i="47"/>
  <c r="A25" i="47"/>
  <c r="A16" i="47"/>
  <c r="A6" i="47"/>
  <c r="A33" i="48"/>
  <c r="A6" i="48"/>
  <c r="A38" i="49"/>
  <c r="A33" i="49"/>
  <c r="A19" i="49"/>
  <c r="A6" i="49"/>
  <c r="A46" i="53"/>
  <c r="A41" i="53"/>
  <c r="A6" i="53"/>
  <c r="A8" i="51"/>
  <c r="B68" i="7"/>
  <c r="B67" i="7"/>
  <c r="B66" i="7"/>
  <c r="C62" i="7"/>
  <c r="D62" i="7"/>
  <c r="E62" i="7"/>
  <c r="B82" i="9"/>
  <c r="C82" i="9"/>
  <c r="D82" i="9"/>
  <c r="B88" i="9"/>
  <c r="C64" i="7" s="1"/>
  <c r="C88" i="9"/>
  <c r="D64" i="7" s="1"/>
  <c r="D88" i="9"/>
  <c r="E64" i="7" s="1"/>
  <c r="B94" i="9"/>
  <c r="C65" i="7" s="1"/>
  <c r="C94" i="9"/>
  <c r="D65" i="7" s="1"/>
  <c r="D94" i="9"/>
  <c r="E65" i="7" s="1"/>
  <c r="B100" i="9"/>
  <c r="C100" i="9"/>
  <c r="D100" i="9"/>
  <c r="C106" i="9"/>
  <c r="D106" i="9"/>
  <c r="C9" i="5"/>
  <c r="C8" i="5"/>
  <c r="J6" i="24"/>
  <c r="A98" i="2"/>
  <c r="A97" i="2"/>
  <c r="D90" i="2"/>
  <c r="D40" i="43"/>
  <c r="D52" i="21" s="1"/>
  <c r="E27" i="58" s="1"/>
  <c r="D11" i="9"/>
  <c r="D17" i="9"/>
  <c r="E54" i="7" s="1"/>
  <c r="D23" i="9"/>
  <c r="E55" i="7" s="1"/>
  <c r="D29" i="9"/>
  <c r="E56" i="7" s="1"/>
  <c r="D35" i="9"/>
  <c r="E57" i="7" s="1"/>
  <c r="D41" i="9"/>
  <c r="E58" i="7" s="1"/>
  <c r="D47" i="9"/>
  <c r="C11" i="9"/>
  <c r="C17" i="9"/>
  <c r="D54" i="7" s="1"/>
  <c r="C23" i="9"/>
  <c r="D55" i="7" s="1"/>
  <c r="C29" i="9"/>
  <c r="D56" i="7" s="1"/>
  <c r="C35" i="9"/>
  <c r="D57" i="7" s="1"/>
  <c r="C41" i="9"/>
  <c r="D58" i="7" s="1"/>
  <c r="C47" i="9"/>
  <c r="B11" i="9"/>
  <c r="B17" i="9"/>
  <c r="C54" i="7" s="1"/>
  <c r="B23" i="9"/>
  <c r="C55" i="7" s="1"/>
  <c r="B29" i="9"/>
  <c r="C56" i="7" s="1"/>
  <c r="B35" i="9"/>
  <c r="C57" i="7" s="1"/>
  <c r="B41" i="9"/>
  <c r="C58" i="7" s="1"/>
  <c r="B47" i="9"/>
  <c r="B60" i="7"/>
  <c r="B59" i="7"/>
  <c r="B58" i="7"/>
  <c r="B57" i="7"/>
  <c r="B56" i="7"/>
  <c r="B55" i="7"/>
  <c r="B54" i="7"/>
  <c r="B19" i="3"/>
  <c r="B5" i="34"/>
  <c r="C30" i="34"/>
  <c r="C31" i="34" s="1"/>
  <c r="C43" i="34"/>
  <c r="G48" i="34" s="1"/>
  <c r="D43" i="34"/>
  <c r="D42" i="34" s="1"/>
  <c r="E1" i="34"/>
  <c r="C41" i="7"/>
  <c r="C42" i="7" s="1"/>
  <c r="C51" i="7" s="1"/>
  <c r="E1" i="7"/>
  <c r="H90" i="7" s="1"/>
  <c r="E13" i="7"/>
  <c r="C42" i="36"/>
  <c r="C41" i="36" s="1"/>
  <c r="C20" i="36"/>
  <c r="C21" i="36" s="1"/>
  <c r="D20" i="36"/>
  <c r="D42" i="36"/>
  <c r="D41" i="36" s="1"/>
  <c r="E42" i="36"/>
  <c r="E1" i="36"/>
  <c r="E5" i="36" s="1"/>
  <c r="C44" i="35"/>
  <c r="C23" i="35"/>
  <c r="C24" i="35" s="1"/>
  <c r="D23" i="35"/>
  <c r="D44" i="35"/>
  <c r="E23" i="35"/>
  <c r="E22" i="35" s="1"/>
  <c r="E44" i="35"/>
  <c r="E1" i="35"/>
  <c r="D5" i="35" s="1"/>
  <c r="C63" i="19"/>
  <c r="D63" i="19"/>
  <c r="E63" i="19"/>
  <c r="E1" i="19"/>
  <c r="E5" i="19" s="1"/>
  <c r="E38" i="19" s="1"/>
  <c r="C30" i="19"/>
  <c r="D30" i="19"/>
  <c r="E30" i="19"/>
  <c r="C33" i="19"/>
  <c r="C63" i="18"/>
  <c r="D63" i="18"/>
  <c r="D62" i="18" s="1"/>
  <c r="E63" i="18"/>
  <c r="C30" i="18"/>
  <c r="D30" i="18"/>
  <c r="E30" i="18"/>
  <c r="E1" i="18"/>
  <c r="D5" i="18" s="1"/>
  <c r="D38" i="18" s="1"/>
  <c r="C63" i="17"/>
  <c r="D63" i="17"/>
  <c r="E63" i="17"/>
  <c r="E62" i="17" s="1"/>
  <c r="E1" i="17"/>
  <c r="E5" i="17" s="1"/>
  <c r="E38" i="17" s="1"/>
  <c r="C66" i="17"/>
  <c r="C30" i="17"/>
  <c r="C29" i="17" s="1"/>
  <c r="D30" i="17"/>
  <c r="E30" i="17"/>
  <c r="E29" i="17" s="1"/>
  <c r="C63" i="16"/>
  <c r="D63" i="16"/>
  <c r="E63" i="16"/>
  <c r="E62" i="16" s="1"/>
  <c r="E1" i="16"/>
  <c r="D5" i="16" s="1"/>
  <c r="D38" i="16" s="1"/>
  <c r="C30" i="16"/>
  <c r="C29" i="16" s="1"/>
  <c r="D30" i="16"/>
  <c r="D29" i="16" s="1"/>
  <c r="E30" i="16"/>
  <c r="E1" i="15"/>
  <c r="E5" i="15" s="1"/>
  <c r="E38" i="15" s="1"/>
  <c r="E63" i="15"/>
  <c r="C63" i="15"/>
  <c r="D63" i="15"/>
  <c r="E30" i="15"/>
  <c r="C30" i="15"/>
  <c r="D30" i="15"/>
  <c r="C66" i="15"/>
  <c r="D66" i="15"/>
  <c r="A63" i="2"/>
  <c r="D20" i="2"/>
  <c r="E20" i="2"/>
  <c r="G21" i="2" s="1"/>
  <c r="F1" i="44"/>
  <c r="A22" i="44" s="1"/>
  <c r="C17" i="21"/>
  <c r="J17" i="39"/>
  <c r="J18" i="39"/>
  <c r="J28" i="39"/>
  <c r="H17" i="39"/>
  <c r="H18" i="39" s="1"/>
  <c r="H29" i="39" s="1"/>
  <c r="H30" i="39" s="1"/>
  <c r="H28" i="39"/>
  <c r="F17" i="39"/>
  <c r="F18" i="39" s="1"/>
  <c r="F28" i="39"/>
  <c r="D17" i="39"/>
  <c r="D18" i="39" s="1"/>
  <c r="D28" i="39"/>
  <c r="B28" i="39"/>
  <c r="B17" i="39"/>
  <c r="B18" i="39" s="1"/>
  <c r="K1" i="39"/>
  <c r="F2" i="39" s="1"/>
  <c r="J36" i="21"/>
  <c r="E1" i="43"/>
  <c r="A44" i="43" s="1"/>
  <c r="D53" i="3"/>
  <c r="J1" i="24"/>
  <c r="B18" i="24" s="1"/>
  <c r="C49" i="43"/>
  <c r="D16" i="5" s="1"/>
  <c r="D49" i="43"/>
  <c r="E18" i="5" s="1"/>
  <c r="E49" i="43"/>
  <c r="F20" i="5" s="1"/>
  <c r="A4" i="33"/>
  <c r="A7" i="33"/>
  <c r="A13" i="33"/>
  <c r="A15" i="33"/>
  <c r="A21" i="33"/>
  <c r="A27" i="33"/>
  <c r="A1" i="44"/>
  <c r="B6" i="44"/>
  <c r="B7" i="44"/>
  <c r="B14" i="43"/>
  <c r="D22" i="44" s="1"/>
  <c r="D24" i="44" s="1"/>
  <c r="D6" i="44"/>
  <c r="D26" i="44"/>
  <c r="D28" i="44" s="1"/>
  <c r="A3" i="21"/>
  <c r="A15" i="21"/>
  <c r="C15" i="21"/>
  <c r="E15" i="21"/>
  <c r="G95" i="7" s="1"/>
  <c r="A16" i="21"/>
  <c r="B16" i="21"/>
  <c r="C16" i="21"/>
  <c r="D16" i="21"/>
  <c r="E16" i="21"/>
  <c r="G55" i="34" s="1"/>
  <c r="E17" i="21"/>
  <c r="E29" i="58" s="1"/>
  <c r="A18" i="21"/>
  <c r="A19" i="21"/>
  <c r="A20" i="21"/>
  <c r="A21" i="21"/>
  <c r="A22" i="21"/>
  <c r="A23" i="21"/>
  <c r="A24" i="21"/>
  <c r="A25" i="21"/>
  <c r="A26" i="21"/>
  <c r="A27" i="21"/>
  <c r="A28" i="21"/>
  <c r="C40" i="32"/>
  <c r="B48" i="21" s="1"/>
  <c r="D40" i="32"/>
  <c r="D48" i="21" s="1"/>
  <c r="E40" i="32"/>
  <c r="F48" i="21" s="1"/>
  <c r="G20" i="22"/>
  <c r="G43" i="22" s="1"/>
  <c r="G32" i="22"/>
  <c r="F56" i="21" s="1"/>
  <c r="G42" i="22"/>
  <c r="F57" i="21"/>
  <c r="G28" i="23"/>
  <c r="F58" i="21" s="1"/>
  <c r="A1" i="39"/>
  <c r="G5" i="39"/>
  <c r="I5" i="39"/>
  <c r="K7" i="39"/>
  <c r="B1" i="36"/>
  <c r="D19" i="36"/>
  <c r="E20" i="36"/>
  <c r="E19" i="36" s="1"/>
  <c r="B1" i="35"/>
  <c r="D22" i="35"/>
  <c r="C43" i="35"/>
  <c r="D43" i="35"/>
  <c r="B1" i="19"/>
  <c r="C16" i="19"/>
  <c r="C17" i="19" s="1"/>
  <c r="C31" i="19" s="1"/>
  <c r="D16" i="19"/>
  <c r="D15" i="19" s="1"/>
  <c r="E16" i="19"/>
  <c r="E15" i="19" s="1"/>
  <c r="C29" i="19"/>
  <c r="D29" i="19"/>
  <c r="E29" i="19"/>
  <c r="C49" i="19"/>
  <c r="C50" i="19" s="1"/>
  <c r="D49" i="19"/>
  <c r="D48" i="19" s="1"/>
  <c r="E49" i="19"/>
  <c r="E48" i="19" s="1"/>
  <c r="D62" i="19"/>
  <c r="B1" i="18"/>
  <c r="C16" i="18"/>
  <c r="C17" i="18" s="1"/>
  <c r="D16" i="18"/>
  <c r="D15" i="18" s="1"/>
  <c r="E16" i="18"/>
  <c r="E15" i="18" s="1"/>
  <c r="D29" i="18"/>
  <c r="E29" i="18"/>
  <c r="C49" i="18"/>
  <c r="C48" i="18" s="1"/>
  <c r="C50" i="18"/>
  <c r="C64" i="18" s="1"/>
  <c r="D49" i="18"/>
  <c r="D48" i="18" s="1"/>
  <c r="E49" i="18"/>
  <c r="E48" i="18" s="1"/>
  <c r="C62" i="18"/>
  <c r="E62" i="18"/>
  <c r="B1" i="17"/>
  <c r="C16" i="17"/>
  <c r="C17" i="17" s="1"/>
  <c r="D16" i="17"/>
  <c r="D15" i="17" s="1"/>
  <c r="E16" i="17"/>
  <c r="E15" i="17" s="1"/>
  <c r="D29" i="17"/>
  <c r="C49" i="17"/>
  <c r="C50" i="17" s="1"/>
  <c r="D49" i="17"/>
  <c r="D48" i="17" s="1"/>
  <c r="E49" i="17"/>
  <c r="E48" i="17" s="1"/>
  <c r="D62" i="17"/>
  <c r="B1" i="16"/>
  <c r="C16" i="16"/>
  <c r="C17" i="16" s="1"/>
  <c r="D16" i="16"/>
  <c r="D15" i="16" s="1"/>
  <c r="E16" i="16"/>
  <c r="E15" i="16" s="1"/>
  <c r="E29" i="16"/>
  <c r="C49" i="16"/>
  <c r="C50" i="16" s="1"/>
  <c r="D49" i="16"/>
  <c r="D48" i="16" s="1"/>
  <c r="E49" i="16"/>
  <c r="E48" i="16" s="1"/>
  <c r="C62" i="16"/>
  <c r="D62" i="16"/>
  <c r="B1" i="15"/>
  <c r="C16" i="15"/>
  <c r="C17" i="15" s="1"/>
  <c r="C31" i="15" s="1"/>
  <c r="D6" i="15" s="1"/>
  <c r="D16" i="15"/>
  <c r="D15" i="15" s="1"/>
  <c r="E16" i="15"/>
  <c r="E15" i="15" s="1"/>
  <c r="C29" i="15"/>
  <c r="D29" i="15"/>
  <c r="C49" i="15"/>
  <c r="C48" i="15" s="1"/>
  <c r="C50" i="15"/>
  <c r="C64" i="15" s="1"/>
  <c r="D49" i="15"/>
  <c r="D48" i="15" s="1"/>
  <c r="E49" i="15"/>
  <c r="E48" i="15" s="1"/>
  <c r="C62" i="15"/>
  <c r="D62" i="15"/>
  <c r="E62" i="15"/>
  <c r="B1" i="34"/>
  <c r="C42" i="34"/>
  <c r="A1" i="9"/>
  <c r="A66" i="9" s="1"/>
  <c r="D1" i="9"/>
  <c r="C4" i="9" s="1"/>
  <c r="C69" i="9" s="1"/>
  <c r="B1" i="7"/>
  <c r="B5" i="7"/>
  <c r="B46" i="7"/>
  <c r="B50" i="7"/>
  <c r="B1" i="23"/>
  <c r="I1" i="23"/>
  <c r="G9" i="23" s="1"/>
  <c r="H28" i="23"/>
  <c r="I28" i="23"/>
  <c r="B1" i="22"/>
  <c r="M1" i="22"/>
  <c r="J6" i="22" s="1"/>
  <c r="J20" i="22"/>
  <c r="J43" i="22" s="1"/>
  <c r="K20" i="22"/>
  <c r="L20" i="22"/>
  <c r="L43" i="22" s="1"/>
  <c r="M20" i="22"/>
  <c r="M43" i="22" s="1"/>
  <c r="J32" i="22"/>
  <c r="K32" i="22"/>
  <c r="K43" i="22" s="1"/>
  <c r="L32" i="22"/>
  <c r="M32" i="22"/>
  <c r="J42" i="22"/>
  <c r="K42" i="22"/>
  <c r="L42" i="22"/>
  <c r="M42" i="22"/>
  <c r="A1" i="32"/>
  <c r="F1" i="32"/>
  <c r="C7" i="32" s="1"/>
  <c r="B1" i="5"/>
  <c r="G1" i="5"/>
  <c r="C7" i="5" s="1"/>
  <c r="B8" i="5"/>
  <c r="B9" i="5"/>
  <c r="C1" i="24"/>
  <c r="B6" i="24"/>
  <c r="B11" i="24"/>
  <c r="C14" i="43"/>
  <c r="G11" i="24" s="1"/>
  <c r="D14" i="43"/>
  <c r="E14" i="24" s="1"/>
  <c r="F14" i="43"/>
  <c r="E15" i="24" s="1"/>
  <c r="E14" i="43"/>
  <c r="G24" i="24" s="1"/>
  <c r="A42" i="24"/>
  <c r="H1" i="3"/>
  <c r="C59" i="3" s="1"/>
  <c r="C18" i="3"/>
  <c r="C19" i="3"/>
  <c r="B21" i="3"/>
  <c r="B22" i="3"/>
  <c r="B23" i="3"/>
  <c r="D21" i="3"/>
  <c r="B24" i="3"/>
  <c r="D22" i="3"/>
  <c r="B25" i="3"/>
  <c r="D23" i="3"/>
  <c r="B26" i="3"/>
  <c r="D24" i="3"/>
  <c r="B27" i="3"/>
  <c r="D25" i="3"/>
  <c r="B28" i="3"/>
  <c r="D26" i="3"/>
  <c r="B29" i="3"/>
  <c r="D27" i="3"/>
  <c r="B30" i="3"/>
  <c r="D28" i="3"/>
  <c r="B31" i="3"/>
  <c r="D29" i="3"/>
  <c r="D52" i="3"/>
  <c r="B55" i="3"/>
  <c r="B56" i="3"/>
  <c r="B57" i="3"/>
  <c r="A1" i="43"/>
  <c r="A10" i="43"/>
  <c r="A11" i="43"/>
  <c r="A12" i="43"/>
  <c r="A13" i="43"/>
  <c r="A18" i="43"/>
  <c r="A19" i="43"/>
  <c r="A20" i="43"/>
  <c r="A21" i="43"/>
  <c r="B22" i="43"/>
  <c r="E19" i="24" s="1"/>
  <c r="C22" i="43"/>
  <c r="E20" i="24" s="1"/>
  <c r="D22" i="43"/>
  <c r="E21" i="24" s="1"/>
  <c r="A36" i="43"/>
  <c r="A37" i="43"/>
  <c r="A38" i="43"/>
  <c r="A39" i="43"/>
  <c r="A45" i="43"/>
  <c r="A46" i="43"/>
  <c r="A47" i="43"/>
  <c r="A48" i="43"/>
  <c r="A71" i="43"/>
  <c r="A72" i="43"/>
  <c r="A74" i="43"/>
  <c r="A75" i="43"/>
  <c r="A76" i="43"/>
  <c r="A77" i="43"/>
  <c r="A78" i="43"/>
  <c r="A79" i="43"/>
  <c r="A80" i="43"/>
  <c r="A81" i="43"/>
  <c r="A82" i="43"/>
  <c r="A83" i="43"/>
  <c r="A84" i="43"/>
  <c r="A103" i="43"/>
  <c r="A104" i="43"/>
  <c r="A105" i="43"/>
  <c r="A106" i="43"/>
  <c r="A18" i="2"/>
  <c r="A26" i="2"/>
  <c r="A91" i="2"/>
  <c r="D91" i="2"/>
  <c r="B92" i="2"/>
  <c r="B93" i="2"/>
  <c r="A100" i="2"/>
  <c r="D101" i="2"/>
  <c r="E101" i="2"/>
  <c r="B24" i="24"/>
  <c r="B32" i="16"/>
  <c r="G7" i="22"/>
  <c r="C48" i="19"/>
  <c r="J5" i="24"/>
  <c r="B65" i="15"/>
  <c r="I9" i="23"/>
  <c r="B32" i="17"/>
  <c r="H9" i="23"/>
  <c r="B5" i="44"/>
  <c r="B7" i="5"/>
  <c r="D33" i="17"/>
  <c r="C15" i="17"/>
  <c r="D66" i="18"/>
  <c r="D33" i="55"/>
  <c r="C15" i="55"/>
  <c r="B32" i="55"/>
  <c r="C48" i="55"/>
  <c r="D33" i="54"/>
  <c r="C15" i="54"/>
  <c r="B32" i="54"/>
  <c r="J99" i="7"/>
  <c r="D33" i="16"/>
  <c r="D66" i="55"/>
  <c r="C62" i="55"/>
  <c r="C19" i="36"/>
  <c r="E62" i="55"/>
  <c r="C29" i="55"/>
  <c r="D29" i="55"/>
  <c r="C62" i="54"/>
  <c r="E29" i="54"/>
  <c r="D100" i="34"/>
  <c r="E6" i="44"/>
  <c r="E82" i="7" s="1"/>
  <c r="D16" i="44"/>
  <c r="E16" i="44"/>
  <c r="D17" i="44"/>
  <c r="E17" i="44"/>
  <c r="D15" i="44"/>
  <c r="E15" i="44"/>
  <c r="D14" i="44"/>
  <c r="E14" i="44"/>
  <c r="D13" i="44"/>
  <c r="E13" i="44"/>
  <c r="D12" i="44"/>
  <c r="E12" i="44"/>
  <c r="D11" i="44"/>
  <c r="E11" i="44"/>
  <c r="D10" i="44"/>
  <c r="E10" i="44"/>
  <c r="D9" i="44"/>
  <c r="E9" i="44"/>
  <c r="D8" i="44"/>
  <c r="E8" i="44"/>
  <c r="F17" i="21" s="1"/>
  <c r="D7" i="44"/>
  <c r="E7" i="44"/>
  <c r="E40" i="34" s="1"/>
  <c r="E43" i="34" s="1"/>
  <c r="E42" i="34" s="1"/>
  <c r="D18" i="44"/>
  <c r="E18" i="44"/>
  <c r="J47" i="21"/>
  <c r="J53" i="21"/>
  <c r="J33" i="21"/>
  <c r="J35" i="21"/>
  <c r="J48" i="21"/>
  <c r="H19" i="3"/>
  <c r="H20" i="3"/>
  <c r="H18" i="3"/>
  <c r="J103" i="56"/>
  <c r="J83" i="56"/>
  <c r="J123" i="56"/>
  <c r="B65" i="19"/>
  <c r="C14" i="5"/>
  <c r="E24" i="5" s="1"/>
  <c r="E9" i="5" s="1"/>
  <c r="C5" i="35"/>
  <c r="B84" i="58"/>
  <c r="B91" i="58"/>
  <c r="B46" i="58"/>
  <c r="D5" i="55"/>
  <c r="D38" i="55" s="1"/>
  <c r="B65" i="54"/>
  <c r="C5" i="54"/>
  <c r="C38" i="54" s="1"/>
  <c r="E5" i="54"/>
  <c r="E38" i="54" s="1"/>
  <c r="C5" i="19"/>
  <c r="C38" i="19" s="1"/>
  <c r="C5" i="18"/>
  <c r="C38" i="18" s="1"/>
  <c r="E5" i="18"/>
  <c r="E38" i="18" s="1"/>
  <c r="B32" i="18"/>
  <c r="D5" i="17"/>
  <c r="D38" i="17" s="1"/>
  <c r="B65" i="17"/>
  <c r="C5" i="17"/>
  <c r="C38" i="17" s="1"/>
  <c r="B65" i="16"/>
  <c r="C5" i="16"/>
  <c r="C38" i="16" s="1"/>
  <c r="E5" i="16"/>
  <c r="E38" i="16" s="1"/>
  <c r="B32" i="15"/>
  <c r="D5" i="15"/>
  <c r="D38" i="15" s="1"/>
  <c r="C5" i="15"/>
  <c r="C38" i="15" s="1"/>
  <c r="C5" i="7"/>
  <c r="C50" i="7" s="1"/>
  <c r="H45" i="34"/>
  <c r="H81" i="34"/>
  <c r="H83" i="34"/>
  <c r="A32" i="44"/>
  <c r="H84" i="7"/>
  <c r="H89" i="7"/>
  <c r="H49" i="34"/>
  <c r="H57" i="34"/>
  <c r="D33" i="19"/>
  <c r="D33" i="15"/>
  <c r="D66" i="16"/>
  <c r="E15" i="58"/>
  <c r="C33" i="15"/>
  <c r="C66" i="16"/>
  <c r="J29" i="39"/>
  <c r="J30" i="39"/>
  <c r="C64" i="55"/>
  <c r="C31" i="55"/>
  <c r="D6" i="55" s="1"/>
  <c r="D17" i="55" s="1"/>
  <c r="D31" i="55" s="1"/>
  <c r="D29" i="54"/>
  <c r="G85" i="34"/>
  <c r="C98" i="34"/>
  <c r="J37" i="34"/>
  <c r="J75" i="34"/>
  <c r="J76" i="34"/>
  <c r="J74" i="34"/>
  <c r="B11" i="3" l="1"/>
  <c r="B6" i="3"/>
  <c r="F7" i="3"/>
  <c r="H48" i="34"/>
  <c r="C50" i="34"/>
  <c r="F29" i="39"/>
  <c r="F30" i="39" s="1"/>
  <c r="K28" i="39"/>
  <c r="D29" i="39"/>
  <c r="D30" i="39" s="1"/>
  <c r="K17" i="39"/>
  <c r="K18" i="39"/>
  <c r="B29" i="39"/>
  <c r="C45" i="36"/>
  <c r="B44" i="36"/>
  <c r="E41" i="36"/>
  <c r="C43" i="36"/>
  <c r="D6" i="36" s="1"/>
  <c r="D21" i="36" s="1"/>
  <c r="D43" i="36" s="1"/>
  <c r="D5" i="36"/>
  <c r="C47" i="35"/>
  <c r="E43" i="35"/>
  <c r="D47" i="35"/>
  <c r="C45" i="35"/>
  <c r="D6" i="35" s="1"/>
  <c r="D24" i="35"/>
  <c r="D45" i="35" s="1"/>
  <c r="E6" i="35" s="1"/>
  <c r="E24" i="35" s="1"/>
  <c r="E45" i="35" s="1"/>
  <c r="E46" i="35" s="1"/>
  <c r="C22" i="35"/>
  <c r="D62" i="55"/>
  <c r="C66" i="55"/>
  <c r="C33" i="55"/>
  <c r="C67" i="15"/>
  <c r="D39" i="15"/>
  <c r="D50" i="15" s="1"/>
  <c r="D64" i="15" s="1"/>
  <c r="E39" i="15" s="1"/>
  <c r="E50" i="15" s="1"/>
  <c r="E64" i="15" s="1"/>
  <c r="E65" i="15" s="1"/>
  <c r="D66" i="54"/>
  <c r="E62" i="54"/>
  <c r="D62" i="54"/>
  <c r="C50" i="54"/>
  <c r="C64" i="54" s="1"/>
  <c r="C31" i="54"/>
  <c r="C34" i="54" s="1"/>
  <c r="C33" i="54"/>
  <c r="C15" i="19"/>
  <c r="D6" i="19"/>
  <c r="D17" i="19" s="1"/>
  <c r="D31" i="19" s="1"/>
  <c r="D34" i="19" s="1"/>
  <c r="C34" i="19"/>
  <c r="E62" i="19"/>
  <c r="C66" i="19"/>
  <c r="C62" i="19"/>
  <c r="D66" i="19"/>
  <c r="C64" i="19"/>
  <c r="D39" i="19"/>
  <c r="D50" i="19" s="1"/>
  <c r="D64" i="19" s="1"/>
  <c r="D67" i="19" s="1"/>
  <c r="C67" i="19"/>
  <c r="C66" i="18"/>
  <c r="D39" i="18"/>
  <c r="D50" i="18" s="1"/>
  <c r="D64" i="18" s="1"/>
  <c r="E39" i="18" s="1"/>
  <c r="E50" i="18" s="1"/>
  <c r="E64" i="18" s="1"/>
  <c r="E65" i="18" s="1"/>
  <c r="C67" i="18"/>
  <c r="C64" i="17"/>
  <c r="C62" i="17"/>
  <c r="C48" i="17"/>
  <c r="C33" i="18"/>
  <c r="C31" i="18"/>
  <c r="D6" i="18" s="1"/>
  <c r="D17" i="18" s="1"/>
  <c r="D31" i="18" s="1"/>
  <c r="E6" i="18" s="1"/>
  <c r="E17" i="18" s="1"/>
  <c r="E31" i="18" s="1"/>
  <c r="E32" i="18" s="1"/>
  <c r="C29" i="18"/>
  <c r="C15" i="18"/>
  <c r="C34" i="18"/>
  <c r="H82" i="34"/>
  <c r="H44" i="34"/>
  <c r="H56" i="34"/>
  <c r="C5" i="34"/>
  <c r="B3" i="65" s="1"/>
  <c r="B45" i="34"/>
  <c r="H80" i="34"/>
  <c r="G41" i="34"/>
  <c r="H86" i="34"/>
  <c r="H54" i="34"/>
  <c r="D5" i="34"/>
  <c r="C3" i="65" s="1"/>
  <c r="D66" i="17"/>
  <c r="C33" i="17"/>
  <c r="C31" i="17"/>
  <c r="D6" i="17" s="1"/>
  <c r="D17" i="17" s="1"/>
  <c r="D31" i="17" s="1"/>
  <c r="D34" i="17" s="1"/>
  <c r="C64" i="16"/>
  <c r="C67" i="16" s="1"/>
  <c r="D39" i="16"/>
  <c r="D50" i="16" s="1"/>
  <c r="D64" i="16" s="1"/>
  <c r="D67" i="16" s="1"/>
  <c r="C48" i="16"/>
  <c r="C31" i="16"/>
  <c r="C34" i="16" s="1"/>
  <c r="C33" i="16"/>
  <c r="D6" i="16"/>
  <c r="D17" i="16" s="1"/>
  <c r="D31" i="16" s="1"/>
  <c r="E6" i="16" s="1"/>
  <c r="E17" i="16" s="1"/>
  <c r="E31" i="16" s="1"/>
  <c r="E32" i="16" s="1"/>
  <c r="C15" i="16"/>
  <c r="E29" i="15"/>
  <c r="C15" i="15"/>
  <c r="D17" i="15"/>
  <c r="D31" i="15" s="1"/>
  <c r="E6" i="15" s="1"/>
  <c r="E17" i="15" s="1"/>
  <c r="E31" i="15" s="1"/>
  <c r="E32" i="15" s="1"/>
  <c r="C34" i="15"/>
  <c r="C44" i="34"/>
  <c r="C99" i="34" s="1"/>
  <c r="D98" i="34"/>
  <c r="B47" i="34" s="1"/>
  <c r="C29" i="34"/>
  <c r="H85" i="34"/>
  <c r="H55" i="34"/>
  <c r="G34" i="34"/>
  <c r="H93" i="34"/>
  <c r="G71" i="34"/>
  <c r="H43" i="34"/>
  <c r="G38" i="34"/>
  <c r="H90" i="34"/>
  <c r="G75" i="34"/>
  <c r="H46" i="34"/>
  <c r="H91" i="34"/>
  <c r="G78" i="34"/>
  <c r="H92" i="34"/>
  <c r="B30" i="65"/>
  <c r="A25" i="65"/>
  <c r="J56" i="21"/>
  <c r="J54" i="21"/>
  <c r="J55" i="21"/>
  <c r="J29" i="21"/>
  <c r="C100" i="34"/>
  <c r="A27" i="65" s="1"/>
  <c r="C101" i="34"/>
  <c r="E22" i="58"/>
  <c r="H96" i="7"/>
  <c r="G75" i="7"/>
  <c r="G79" i="7"/>
  <c r="C92" i="7"/>
  <c r="H85" i="7"/>
  <c r="E53" i="7"/>
  <c r="D61" i="9"/>
  <c r="D63" i="7"/>
  <c r="D53" i="7"/>
  <c r="C61" i="9"/>
  <c r="C63" i="7"/>
  <c r="C53" i="7"/>
  <c r="B61" i="9"/>
  <c r="E63" i="7"/>
  <c r="D66" i="7"/>
  <c r="E66" i="7"/>
  <c r="C66" i="7"/>
  <c r="C59" i="7"/>
  <c r="D59" i="7"/>
  <c r="E59" i="7"/>
  <c r="C40" i="7"/>
  <c r="B63" i="9"/>
  <c r="H86" i="7"/>
  <c r="H97" i="7"/>
  <c r="B128" i="9"/>
  <c r="H87" i="7"/>
  <c r="D94" i="7"/>
  <c r="D4" i="9"/>
  <c r="D69" i="9" s="1"/>
  <c r="C67" i="7"/>
  <c r="E67" i="7"/>
  <c r="D67" i="7"/>
  <c r="H94" i="7"/>
  <c r="H95" i="7"/>
  <c r="G82" i="7"/>
  <c r="E5" i="7"/>
  <c r="E50" i="7" s="1"/>
  <c r="B87" i="7"/>
  <c r="G23" i="52"/>
  <c r="G21" i="52"/>
  <c r="G19" i="52" s="1"/>
  <c r="B7" i="43"/>
  <c r="E47" i="34"/>
  <c r="F19" i="3"/>
  <c r="C68" i="43"/>
  <c r="F20" i="3"/>
  <c r="A60" i="43"/>
  <c r="E7" i="43"/>
  <c r="B68" i="43"/>
  <c r="E47" i="21"/>
  <c r="A42" i="43"/>
  <c r="A34" i="43"/>
  <c r="C7" i="43"/>
  <c r="A63" i="43"/>
  <c r="F83" i="34"/>
  <c r="E19" i="44"/>
  <c r="D19" i="44"/>
  <c r="G91" i="34"/>
  <c r="F52" i="21"/>
  <c r="G27" i="58" s="1"/>
  <c r="E28" i="58" s="1"/>
  <c r="G22" i="24"/>
  <c r="E28" i="24"/>
  <c r="C66" i="54"/>
  <c r="C47" i="21"/>
  <c r="E7" i="32"/>
  <c r="D7" i="32"/>
  <c r="C67" i="3"/>
  <c r="B28" i="24"/>
  <c r="B13" i="24"/>
  <c r="D6" i="5"/>
  <c r="B65" i="18"/>
  <c r="B59" i="21"/>
  <c r="D5" i="19"/>
  <c r="D38" i="19" s="1"/>
  <c r="C5" i="55"/>
  <c r="C38" i="55" s="1"/>
  <c r="C5" i="36"/>
  <c r="E5" i="35"/>
  <c r="B46" i="35"/>
  <c r="B4" i="9"/>
  <c r="B69" i="9" s="1"/>
  <c r="F7" i="43"/>
  <c r="A6" i="43"/>
  <c r="A61" i="43"/>
  <c r="D7" i="43"/>
  <c r="C5" i="44"/>
  <c r="J7" i="24"/>
  <c r="L6" i="22"/>
  <c r="A62" i="43"/>
  <c r="A27" i="43"/>
  <c r="A16" i="43"/>
  <c r="B38" i="24"/>
  <c r="C15" i="24"/>
  <c r="A3" i="24"/>
  <c r="D23" i="5"/>
  <c r="D10" i="5" s="1"/>
  <c r="G16" i="58" s="1"/>
  <c r="B65" i="55"/>
  <c r="B47" i="58"/>
  <c r="D66" i="9"/>
  <c r="A24" i="43"/>
  <c r="A67" i="43"/>
  <c r="B32" i="19"/>
  <c r="D5" i="44"/>
  <c r="B3" i="44"/>
  <c r="E5" i="44"/>
  <c r="C14" i="24"/>
  <c r="B9" i="24"/>
  <c r="D45" i="36"/>
  <c r="F25" i="5"/>
  <c r="E10" i="5"/>
  <c r="G17" i="58" s="1"/>
  <c r="D29" i="34"/>
  <c r="E11" i="34"/>
  <c r="H50" i="3"/>
  <c r="G16" i="24"/>
  <c r="B5" i="24"/>
  <c r="D34" i="15"/>
  <c r="E6" i="17"/>
  <c r="E17" i="17" s="1"/>
  <c r="E31" i="17" s="1"/>
  <c r="E32" i="17" s="1"/>
  <c r="D67" i="18"/>
  <c r="E6" i="55"/>
  <c r="E17" i="55" s="1"/>
  <c r="E31" i="55" s="1"/>
  <c r="E32" i="55" s="1"/>
  <c r="D34" i="55"/>
  <c r="D67" i="15"/>
  <c r="C34" i="17"/>
  <c r="D6" i="54"/>
  <c r="D17" i="54" s="1"/>
  <c r="D31" i="54" s="1"/>
  <c r="D39" i="55"/>
  <c r="D50" i="55" s="1"/>
  <c r="D64" i="55" s="1"/>
  <c r="C67" i="55"/>
  <c r="C34" i="55"/>
  <c r="F46" i="34"/>
  <c r="F16" i="21"/>
  <c r="G8" i="3"/>
  <c r="F55" i="21"/>
  <c r="F59" i="21" s="1"/>
  <c r="E5" i="34"/>
  <c r="D3" i="65" s="1"/>
  <c r="E29" i="55"/>
  <c r="D5" i="7"/>
  <c r="D50" i="7" s="1"/>
  <c r="G18" i="52"/>
  <c r="K30" i="39" l="1"/>
  <c r="K29" i="39"/>
  <c r="B30" i="39"/>
  <c r="E6" i="36"/>
  <c r="E21" i="36" s="1"/>
  <c r="E43" i="36" s="1"/>
  <c r="E44" i="36" s="1"/>
  <c r="D46" i="36"/>
  <c r="C46" i="36"/>
  <c r="D48" i="35"/>
  <c r="C48" i="35"/>
  <c r="D39" i="54"/>
  <c r="D50" i="54" s="1"/>
  <c r="D64" i="54" s="1"/>
  <c r="C67" i="54"/>
  <c r="E6" i="19"/>
  <c r="E17" i="19" s="1"/>
  <c r="E31" i="19" s="1"/>
  <c r="E32" i="19" s="1"/>
  <c r="E39" i="19"/>
  <c r="E50" i="19" s="1"/>
  <c r="E64" i="19" s="1"/>
  <c r="E65" i="19" s="1"/>
  <c r="D39" i="17"/>
  <c r="D50" i="17" s="1"/>
  <c r="D64" i="17" s="1"/>
  <c r="E39" i="17" s="1"/>
  <c r="E50" i="17" s="1"/>
  <c r="E64" i="17" s="1"/>
  <c r="E65" i="17" s="1"/>
  <c r="C67" i="17"/>
  <c r="D34" i="18"/>
  <c r="D6" i="34"/>
  <c r="D31" i="34" s="1"/>
  <c r="D44" i="34" s="1"/>
  <c r="E6" i="34" s="1"/>
  <c r="E39" i="16"/>
  <c r="E50" i="16" s="1"/>
  <c r="E64" i="16" s="1"/>
  <c r="E65" i="16" s="1"/>
  <c r="D34" i="16"/>
  <c r="D71" i="7"/>
  <c r="D85" i="7" s="1"/>
  <c r="E18" i="3" s="1"/>
  <c r="C71" i="7"/>
  <c r="E85" i="7"/>
  <c r="B125" i="9"/>
  <c r="C125" i="9"/>
  <c r="D125" i="9"/>
  <c r="D126" i="9" s="1"/>
  <c r="G57" i="34"/>
  <c r="M35" i="21"/>
  <c r="M48" i="21" s="1"/>
  <c r="G97" i="7"/>
  <c r="G93" i="34"/>
  <c r="B126" i="9"/>
  <c r="C126" i="9"/>
  <c r="M55" i="21"/>
  <c r="D7" i="52"/>
  <c r="G26" i="24"/>
  <c r="G30" i="24" s="1"/>
  <c r="G32" i="24" s="1"/>
  <c r="J34" i="24" s="1"/>
  <c r="J36" i="24" s="1"/>
  <c r="M31" i="21"/>
  <c r="B43" i="32"/>
  <c r="D9" i="5"/>
  <c r="E10" i="34" s="1"/>
  <c r="D99" i="34"/>
  <c r="B48" i="34" s="1"/>
  <c r="D101" i="34"/>
  <c r="A28" i="65" s="1"/>
  <c r="G80" i="34"/>
  <c r="E8" i="5"/>
  <c r="E11" i="7" s="1"/>
  <c r="F9" i="5"/>
  <c r="F10" i="5"/>
  <c r="D34" i="54"/>
  <c r="E6" i="54"/>
  <c r="E17" i="54" s="1"/>
  <c r="E31" i="54" s="1"/>
  <c r="E32" i="54" s="1"/>
  <c r="E39" i="55"/>
  <c r="E50" i="55" s="1"/>
  <c r="E64" i="55" s="1"/>
  <c r="E65" i="55" s="1"/>
  <c r="D67" i="55"/>
  <c r="D67" i="54" l="1"/>
  <c r="E39" i="54"/>
  <c r="E50" i="54" s="1"/>
  <c r="E64" i="54" s="1"/>
  <c r="E65" i="54" s="1"/>
  <c r="D67" i="17"/>
  <c r="G43" i="34"/>
  <c r="C85" i="7"/>
  <c r="B15" i="21" s="1"/>
  <c r="B47" i="21" s="1"/>
  <c r="B49" i="21" s="1"/>
  <c r="D15" i="21"/>
  <c r="D47" i="21" s="1"/>
  <c r="D49" i="21" s="1"/>
  <c r="D84" i="7"/>
  <c r="D104" i="7"/>
  <c r="F15" i="21"/>
  <c r="F47" i="21" s="1"/>
  <c r="F49" i="21" s="1"/>
  <c r="F18" i="3"/>
  <c r="F50" i="3" s="1"/>
  <c r="E89" i="7"/>
  <c r="E84" i="7"/>
  <c r="F88" i="7"/>
  <c r="E14" i="5"/>
  <c r="D8" i="5"/>
  <c r="D14" i="5" s="1"/>
  <c r="E12" i="34"/>
  <c r="E30" i="34" s="1"/>
  <c r="F8" i="5"/>
  <c r="G18" i="58"/>
  <c r="C104" i="7" l="1"/>
  <c r="G89" i="7"/>
  <c r="C84" i="7"/>
  <c r="C86" i="7"/>
  <c r="C105" i="7" s="1"/>
  <c r="B89" i="7"/>
  <c r="E10" i="7"/>
  <c r="G81" i="34"/>
  <c r="E12" i="7"/>
  <c r="F14" i="5"/>
  <c r="G44" i="34"/>
  <c r="E31" i="34"/>
  <c r="E48" i="34" s="1"/>
  <c r="D6" i="7" l="1"/>
  <c r="D42" i="7" s="1"/>
  <c r="D86" i="7" s="1"/>
  <c r="E6" i="7" s="1"/>
  <c r="E49" i="34"/>
  <c r="E41" i="7"/>
  <c r="G85" i="7" s="1"/>
  <c r="G82" i="34"/>
  <c r="D51" i="7" l="1"/>
  <c r="D105" i="7"/>
  <c r="B90" i="7" s="1"/>
  <c r="G84" i="7"/>
  <c r="E50" i="34"/>
  <c r="G17" i="21"/>
  <c r="H17" i="21" s="1"/>
  <c r="G90" i="34" s="1"/>
  <c r="G20" i="3"/>
  <c r="G15" i="58"/>
  <c r="G22" i="58" s="1"/>
  <c r="D24" i="58" s="1"/>
  <c r="E42" i="7"/>
  <c r="K82" i="34"/>
  <c r="G83" i="34"/>
  <c r="G86" i="34" s="1"/>
  <c r="E29" i="34" l="1"/>
  <c r="J38" i="24"/>
  <c r="J40" i="24" s="1"/>
  <c r="G16" i="21"/>
  <c r="H16" i="21" s="1"/>
  <c r="G54" i="34" s="1"/>
  <c r="G19" i="3"/>
  <c r="G45" i="34"/>
  <c r="E23" i="58"/>
  <c r="G29" i="58"/>
  <c r="E30" i="58" s="1"/>
  <c r="D31" i="58" s="1"/>
  <c r="F33" i="58" s="1"/>
  <c r="F87" i="34" s="1"/>
  <c r="E90" i="7"/>
  <c r="E91" i="7" s="1"/>
  <c r="E51" i="7"/>
  <c r="E92" i="7" l="1"/>
  <c r="E40" i="7" s="1"/>
  <c r="K45" i="34"/>
  <c r="G46" i="34"/>
  <c r="G49" i="34" s="1"/>
  <c r="G18" i="3" l="1"/>
  <c r="G50" i="3" s="1"/>
  <c r="G51" i="3" s="1"/>
  <c r="G86" i="7"/>
  <c r="G87" i="7" s="1"/>
  <c r="G90" i="7" s="1"/>
  <c r="G15" i="21"/>
  <c r="G47" i="21" s="1"/>
  <c r="M56" i="21" s="1"/>
  <c r="H15" i="21" l="1"/>
  <c r="H47" i="21" s="1"/>
  <c r="G96" i="7" s="1"/>
  <c r="K86" i="7"/>
  <c r="M47" i="21"/>
  <c r="M49" i="21" s="1"/>
  <c r="M38" i="21" s="1"/>
  <c r="J38" i="21" s="1"/>
  <c r="G56" i="34" l="1"/>
  <c r="G94" i="7"/>
  <c r="G92" i="34"/>
  <c r="M53" i="21"/>
  <c r="M37" i="21"/>
  <c r="J37" i="21" s="1"/>
</calcChain>
</file>

<file path=xl/sharedStrings.xml><?xml version="1.0" encoding="utf-8"?>
<sst xmlns="http://schemas.openxmlformats.org/spreadsheetml/2006/main" count="2346" uniqueCount="1231">
  <si>
    <t>Computer Spreadsheet Preparation</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</si>
  <si>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</si>
  <si>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</si>
  <si>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</si>
  <si>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</si>
  <si>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</si>
  <si>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</si>
  <si>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</si>
  <si>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</si>
  <si>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</si>
  <si>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</si>
  <si>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</si>
  <si>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</si>
  <si>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</si>
  <si>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</si>
  <si>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</si>
  <si>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</si>
  <si>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</si>
  <si>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</si>
  <si>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</si>
  <si>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</si>
  <si>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</si>
  <si>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</si>
  <si>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</si>
  <si>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</si>
  <si>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</si>
  <si>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</si>
  <si>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</si>
  <si>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</si>
  <si>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</si>
  <si>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</si>
  <si>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</si>
  <si>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</si>
  <si>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</si>
  <si>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</si>
  <si>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</si>
  <si>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</si>
  <si>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</si>
  <si>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</si>
  <si>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</si>
  <si>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</si>
  <si>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</si>
  <si>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</si>
  <si>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</si>
  <si>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</si>
  <si>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</si>
  <si>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</si>
  <si>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</si>
  <si>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</si>
  <si>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</si>
  <si>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</si>
  <si>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</si>
  <si>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</si>
  <si>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</si>
  <si>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</si>
  <si>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</si>
  <si>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</si>
  <si>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</si>
  <si>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</si>
  <si>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</si>
  <si>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</si>
  <si>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</si>
  <si>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</si>
  <si>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</si>
  <si>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</si>
  <si>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</si>
  <si>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</si>
  <si>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</si>
  <si>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</si>
  <si>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</si>
  <si>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</si>
  <si>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</si>
  <si>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</si>
  <si>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</si>
  <si>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</si>
  <si>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Current</t>
  </si>
  <si>
    <t>Proposed</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</si>
  <si>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</si>
  <si>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</si>
  <si>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</si>
  <si>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</si>
  <si>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</si>
  <si>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</si>
  <si>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</si>
  <si>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</si>
  <si>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</si>
  <si>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</si>
  <si>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</si>
  <si>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</si>
  <si>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LAVTR</t>
  </si>
  <si>
    <t>City and County Revenue Sharing</t>
  </si>
  <si>
    <t>Enter year being budgeted (YYYY)</t>
  </si>
  <si>
    <t>10-113</t>
  </si>
  <si>
    <t xml:space="preserve">  G.O. Bonds</t>
  </si>
  <si>
    <t xml:space="preserve">  Revenue Bonds</t>
  </si>
  <si>
    <t xml:space="preserve">  Other</t>
  </si>
  <si>
    <t xml:space="preserve">  Lease Purchase Principal</t>
  </si>
  <si>
    <t>Other (non-tax levy) fund names: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</si>
  <si>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</si>
  <si>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</si>
  <si>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</si>
  <si>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</si>
  <si>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</si>
  <si>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</si>
  <si>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</si>
  <si>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</si>
  <si>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</si>
  <si>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</si>
  <si>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</si>
  <si>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</si>
  <si>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</si>
  <si>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</si>
  <si>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t>
  </si>
  <si>
    <t>adopt an ordinance to exceed this limit, publish the ordinance, and</t>
  </si>
  <si>
    <t>attach a copy of the published ordinance to this budget.</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</si>
  <si>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</si>
  <si>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</si>
  <si>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</si>
  <si>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</si>
  <si>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</si>
  <si>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</si>
  <si>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</si>
  <si>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</si>
  <si>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</si>
  <si>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</si>
  <si>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</si>
  <si>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</si>
  <si>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</si>
  <si>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</si>
  <si>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</si>
  <si>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</si>
  <si>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</si>
  <si>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</si>
  <si>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</si>
  <si>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</si>
  <si>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</si>
  <si>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</si>
  <si>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</si>
  <si>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</si>
  <si>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</si>
  <si>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</si>
  <si>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</si>
  <si>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</si>
  <si>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</si>
  <si>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</si>
  <si>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</si>
  <si>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</si>
  <si>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</si>
  <si>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</si>
  <si>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</si>
  <si>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</si>
  <si>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</si>
  <si>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</si>
  <si>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</si>
  <si>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</si>
  <si>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</si>
  <si>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</si>
  <si>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</si>
  <si>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</si>
  <si>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</si>
  <si>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</si>
  <si>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Enter City Name ( City of )</t>
  </si>
  <si>
    <t>1st</t>
  </si>
  <si>
    <t>2nd</t>
  </si>
  <si>
    <t>3rd</t>
  </si>
  <si>
    <t>Enter Other Counties' Name:</t>
  </si>
  <si>
    <t>Assessed Valuation:</t>
  </si>
  <si>
    <t>Total Assessed Valuation</t>
  </si>
  <si>
    <t>Attest:_____________________,</t>
  </si>
  <si>
    <t xml:space="preserve">  Real               Estate</t>
  </si>
  <si>
    <t>Recreational Vehicle</t>
  </si>
  <si>
    <t xml:space="preserve">16\20 M Vehicle </t>
  </si>
  <si>
    <t xml:space="preserve">Motor              Vehicle </t>
  </si>
  <si>
    <t>Total Vehicle Tax Estimates</t>
  </si>
  <si>
    <r>
      <t>**</t>
    </r>
    <r>
      <rPr>
        <b/>
        <u/>
        <sz val="12"/>
        <rFont val="Times New Roman"/>
        <family val="1"/>
      </rPr>
      <t>Note</t>
    </r>
    <r>
      <rPr>
        <sz val="12"/>
        <rFont val="Times New Roman"/>
        <family val="1"/>
      </rPr>
      <t>: The delinquency rate can be up to 5% more than the actual delinquency rate from the previous year.</t>
    </r>
  </si>
  <si>
    <t xml:space="preserve">Neighborhood Revitalization </t>
  </si>
  <si>
    <t>City4 Spreadsheet Instructions</t>
  </si>
  <si>
    <t xml:space="preserve">Cities can use the city.xls, city1.xls, city2, city3 or city4.xls files.   You must choose a form that meets the needs for the number of funds.  If you don't need all the funds, just leave the pages blank and number the completed pages sequentially. </t>
  </si>
  <si>
    <t>Input sheet for City4.XLS budget form</t>
  </si>
  <si>
    <t>Funds</t>
  </si>
  <si>
    <t xml:space="preserve">expenditure amounts should reflect the amended </t>
  </si>
  <si>
    <t>expenditure amounts.</t>
  </si>
  <si>
    <t>Neighborhood Revitalization Rebate</t>
  </si>
  <si>
    <t>Miscellaneous</t>
  </si>
  <si>
    <t>Does miscellaneous exceed 10% of Total Expenditure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</si>
  <si>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</si>
  <si>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</si>
  <si>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</si>
  <si>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37. Change Certificate page total for mil rates from 0 to blank.</t>
  </si>
  <si>
    <t>Enter Home County Name followed by "County"</t>
  </si>
  <si>
    <t>Cash Balance Jan 1</t>
  </si>
  <si>
    <t>39. Added 'excluding oil, gas, and mobile homes' on Clerks budget info on tab inputoth.</t>
  </si>
  <si>
    <t>***If you are merely leasing/renting with no intent to purchase, do not list--such transactions are not lease-purchases.</t>
  </si>
  <si>
    <t>21. Added four single no levy fund pages and 4 non-budgeted pages.</t>
  </si>
  <si>
    <t>22. Added question on Certificate page about the ordinance.</t>
  </si>
  <si>
    <t xml:space="preserve">Ad Valorem Tax </t>
  </si>
  <si>
    <t>23. Added note to the non-budgeted fund pages to ensure the amounts agree.</t>
  </si>
  <si>
    <t>24. Added to instructions about non-appropriated balances being limited to 5%.</t>
  </si>
  <si>
    <t>25. Added warning "Exceeds 5%" on all fund pages for the non-appropirated balance.</t>
  </si>
  <si>
    <t>26. Added three additional spaces for Counties information on the input pages.</t>
  </si>
  <si>
    <t>27. Added line on instruction page for the three additional Counties information.</t>
  </si>
  <si>
    <t>28. Added Neighborhood Revitalization table and added links to all tax levy fund pages.</t>
  </si>
  <si>
    <t>29. Added to the instructions about neighborhood revitalization and made new line for transfers.</t>
  </si>
  <si>
    <t xml:space="preserve">30. Added Slider to the Vehicle Allocation table and linked to the fund pages. </t>
  </si>
  <si>
    <t>31. Added to all budgeted fund pages the budget authority for the actual year, budget violation, and cash violation.</t>
  </si>
  <si>
    <t>32. Added instruction on the addition for item 32.</t>
  </si>
  <si>
    <t>38. Expanded on the preparation of budget note 11 for instructions for the Notice of Budget Hearing.</t>
  </si>
  <si>
    <t>The following were changed to this spreadsheet on 5/08/2008</t>
  </si>
  <si>
    <t>1. Instruction page #9a change from 'shown be shown' to read 'should be shown'.</t>
  </si>
  <si>
    <t>2. Change Transfers tab footer from 'Page No. 5' to read 'Page No. 4'.</t>
  </si>
  <si>
    <r>
      <t>3. Change all Non-Budgeted Funds forms from 'Only the actual budget year shown' to '</t>
    </r>
    <r>
      <rPr>
        <i/>
        <sz val="12"/>
        <rFont val="Times New Roman"/>
        <family val="1"/>
      </rPr>
      <t>Only the actual budget year for YYYY is to be shown</t>
    </r>
    <r>
      <rPr>
        <sz val="12"/>
        <rFont val="Times New Roman"/>
        <family val="1"/>
      </rPr>
      <t>'.</t>
    </r>
  </si>
  <si>
    <t>4. Change Budget Summary from 'Proposed Budget Expenditures' to read 'Proposed Budget YYYY Expenditures'.</t>
  </si>
  <si>
    <t>5. Change Legend #38 from 'note 10' to 'note 11'.</t>
  </si>
  <si>
    <t>6. All pages revision date was changed.</t>
  </si>
  <si>
    <t>The following were changed to this spreadsheet on 6/30/08</t>
  </si>
  <si>
    <t>1. Changed the link on Non-BudD to have the correct fund names picked up from inputpryr.</t>
  </si>
  <si>
    <t>The following were changed to this spreadsheet on 7/11/08</t>
  </si>
  <si>
    <t>1. Changed the formula on the 'summ tab' cell c20 to c29 to correct duplication on cell c20 and renumber c21-c29.</t>
  </si>
  <si>
    <t>Debt Service</t>
  </si>
  <si>
    <t xml:space="preserve">           General Fund - Detail Expend</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</si>
  <si>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</si>
  <si>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</si>
  <si>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</si>
  <si>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</si>
  <si>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</si>
  <si>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</si>
  <si>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</si>
  <si>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</si>
  <si>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</si>
  <si>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</si>
  <si>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</si>
  <si>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</si>
  <si>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</si>
  <si>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</si>
  <si>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</si>
  <si>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</si>
  <si>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</si>
  <si>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Changed 9a to reflect General Fund Detail (GenDetail) is linked to the General Fund (general) and that detail 'Page Total' amounts should agree to 'Sub-Total' on the General Fund page.</t>
  </si>
  <si>
    <t>13. Added 9j to 9l for additional edits for budget authority.</t>
  </si>
  <si>
    <t>The following were changed to this spreadsheet on 8/25/08</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</si>
  <si>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</si>
  <si>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</si>
  <si>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</si>
  <si>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</si>
  <si>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</si>
  <si>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</si>
  <si>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4. Changed foot note to reflect the changes maded on 7/1/08 to the above tabs.</t>
  </si>
  <si>
    <t>1b. First County block is for the Home County and the other three blocks are for counties that proves valuation and vehicle/slider information.</t>
  </si>
  <si>
    <t>1c. Dates for the entire budget workbook is controlled by the year entered into the "Enter year being budgeted (YYYY)" field.  If you find a date that is not correct for the budget being submitted, please contact us for assistance.</t>
  </si>
  <si>
    <t>7. Added four single page for no tax levy fund page.</t>
  </si>
  <si>
    <t>11. Added Neighborhood Revitalization, LAVTR, City and County Revenue Sharing, and Slider to the input page and to the General Fund page. Also each tax levy fund pages has the NR.</t>
  </si>
  <si>
    <t>33.  Added miscellanous category to both receipt and expenditure and set warning on fund pages.</t>
  </si>
  <si>
    <t>34. Added instruction concerning the miscellaneous category and how to fix warning.</t>
  </si>
  <si>
    <t xml:space="preserve">35. Added page number for neighborhood revit on the Certificate page. </t>
  </si>
  <si>
    <t>36. Added three spaces for additional counties on the inputpryr, clerk's info, and certificate page.</t>
  </si>
  <si>
    <t xml:space="preserve">General Instructions </t>
  </si>
  <si>
    <t>Fund Names:</t>
  </si>
  <si>
    <t>Statute</t>
  </si>
  <si>
    <t>General</t>
  </si>
  <si>
    <t>Fund name for all funds with a tax levy:</t>
  </si>
  <si>
    <t>Total</t>
  </si>
  <si>
    <t xml:space="preserve"> </t>
  </si>
  <si>
    <t>County</t>
  </si>
  <si>
    <t>Page</t>
  </si>
  <si>
    <t>Clerk's</t>
  </si>
  <si>
    <t>Table of Contents:</t>
  </si>
  <si>
    <t>No.</t>
  </si>
  <si>
    <t>Use Only</t>
  </si>
  <si>
    <t>Statement of Indebtedness</t>
  </si>
  <si>
    <t>Statement of Lease-Purchases</t>
  </si>
  <si>
    <t>Fund</t>
  </si>
  <si>
    <t>K.S.A.</t>
  </si>
  <si>
    <t>Totals</t>
  </si>
  <si>
    <t>x</t>
  </si>
  <si>
    <t>Assisted by: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</si>
  <si>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</si>
  <si>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</si>
  <si>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</si>
  <si>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</si>
  <si>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</si>
  <si>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</si>
  <si>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</si>
  <si>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</si>
  <si>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</si>
  <si>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</si>
  <si>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</si>
  <si>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</si>
  <si>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</si>
  <si>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</si>
  <si>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</si>
  <si>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</si>
  <si>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</si>
  <si>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</si>
  <si>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</si>
  <si>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</si>
  <si>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</si>
  <si>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</si>
  <si>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</si>
  <si>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</si>
  <si>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</si>
  <si>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</si>
  <si>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</si>
  <si>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</si>
  <si>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</si>
  <si>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</si>
  <si>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</si>
  <si>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</si>
  <si>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</si>
  <si>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</si>
  <si>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</si>
  <si>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</si>
  <si>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</si>
  <si>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</si>
  <si>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</si>
  <si>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</si>
  <si>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</si>
  <si>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</si>
  <si>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</si>
  <si>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</si>
  <si>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</si>
  <si>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</si>
  <si>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</si>
  <si>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</si>
  <si>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</si>
  <si>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</si>
  <si>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</si>
  <si>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</si>
  <si>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</si>
  <si>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</si>
  <si>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</si>
  <si>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</si>
  <si>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</si>
  <si>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</si>
  <si>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</si>
  <si>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</si>
  <si>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</si>
  <si>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</si>
  <si>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</si>
  <si>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</si>
  <si>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</si>
  <si>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</si>
  <si>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</si>
  <si>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</si>
  <si>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</si>
  <si>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</si>
  <si>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</si>
  <si>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77 change from Budget Summary to Budget Certificate.</t>
  </si>
  <si>
    <t>The following were changed to this spreadsheet on 6/16/09</t>
  </si>
  <si>
    <t>1. Mvalloc tab, 'Budget Tax Levy Amount for -1' links for amounts from 'inputPrYr' were changed to reflect column 'D' to column 'E'.</t>
  </si>
  <si>
    <t>forms in the appropriate locations. If any of the numbers are wrong, change them on this input sheet.</t>
  </si>
  <si>
    <t xml:space="preserve">Enter the following information from the sources shown.  This information will be entered on the budget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</si>
  <si>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</si>
  <si>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</si>
  <si>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Budget Tax Levy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</si>
  <si>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</si>
  <si>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</si>
  <si>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</si>
  <si>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</si>
  <si>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</si>
  <si>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</si>
  <si>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</si>
  <si>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</si>
  <si>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</si>
  <si>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</si>
  <si>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</si>
  <si>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</si>
  <si>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</si>
  <si>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</si>
  <si>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</si>
  <si>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</si>
  <si>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</si>
  <si>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</si>
  <si>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</si>
  <si>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</si>
  <si>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</si>
  <si>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</si>
  <si>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</si>
  <si>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</si>
  <si>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</si>
  <si>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</si>
  <si>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</si>
  <si>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</si>
  <si>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</si>
  <si>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</si>
  <si>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</si>
  <si>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</si>
  <si>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</si>
  <si>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</si>
  <si>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</si>
  <si>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</si>
  <si>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</si>
  <si>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</si>
  <si>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</si>
  <si>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</si>
  <si>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</si>
  <si>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</si>
  <si>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 xml:space="preserve">           General Fund - Detail Page 2</t>
  </si>
  <si>
    <t>Page 2 -Total</t>
  </si>
  <si>
    <t>Page 1 -Total</t>
  </si>
  <si>
    <t xml:space="preserve">Grand Total </t>
  </si>
  <si>
    <t>The following were changed to this spreadsheet on 10/6/09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</si>
  <si>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</si>
  <si>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</si>
  <si>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</si>
  <si>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</si>
  <si>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</si>
  <si>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</si>
  <si>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</si>
  <si>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</si>
  <si>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Gen tab added eight additional detail lines and linked to the detail page</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</si>
  <si>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</si>
  <si>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</si>
  <si>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</si>
  <si>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</si>
  <si>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</si>
  <si>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City Hall</t>
  </si>
  <si>
    <t>Available at:</t>
  </si>
  <si>
    <t>Examples</t>
  </si>
  <si>
    <t>August 12, 2010</t>
  </si>
  <si>
    <t>7:00 PM or 7:00 AM</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</si>
  <si>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</si>
  <si>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</si>
  <si>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</si>
  <si>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</si>
  <si>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</si>
  <si>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</si>
  <si>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</si>
  <si>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</si>
  <si>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</si>
  <si>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</si>
  <si>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</si>
  <si>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</si>
  <si>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</si>
  <si>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</si>
  <si>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</si>
  <si>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</si>
  <si>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</si>
  <si>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</si>
  <si>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</si>
  <si>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</si>
  <si>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</si>
  <si>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</si>
  <si>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</si>
  <si>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</si>
  <si>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</si>
  <si>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</si>
  <si>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</si>
  <si>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</si>
  <si>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</si>
  <si>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</si>
  <si>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</si>
  <si>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</si>
  <si>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</si>
  <si>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</si>
  <si>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</si>
  <si>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</si>
  <si>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</si>
  <si>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</si>
  <si>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</si>
  <si>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</si>
  <si>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</si>
  <si>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</si>
  <si>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</si>
  <si>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</si>
  <si>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</si>
  <si>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</si>
  <si>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</si>
  <si>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</si>
  <si>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</si>
  <si>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</si>
  <si>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</si>
  <si>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</si>
  <si>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</si>
  <si>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</si>
  <si>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</si>
  <si>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</si>
  <si>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</si>
  <si>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</si>
  <si>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</si>
  <si>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</si>
  <si>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</si>
  <si>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</si>
  <si>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</si>
  <si>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</si>
  <si>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</si>
  <si>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</si>
  <si>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</si>
  <si>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</si>
  <si>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</si>
  <si>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</si>
  <si>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</si>
  <si>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</si>
  <si>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</si>
  <si>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</si>
  <si>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</si>
  <si>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</si>
  <si>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</si>
  <si>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</si>
  <si>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</si>
  <si>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</si>
  <si>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</si>
  <si>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</si>
  <si>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</si>
  <si>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</si>
  <si>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</si>
  <si>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</si>
  <si>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</si>
  <si>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</si>
  <si>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</si>
  <si>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</si>
  <si>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</si>
  <si>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</si>
  <si>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</si>
  <si>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</si>
  <si>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</si>
  <si>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</si>
  <si>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</si>
  <si>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</si>
  <si>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</si>
  <si>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</si>
  <si>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</si>
  <si>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</si>
  <si>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</si>
  <si>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</si>
  <si>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</si>
  <si>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</si>
  <si>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</si>
  <si>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</si>
  <si>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</si>
  <si>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</si>
  <si>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</si>
  <si>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</si>
  <si>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</si>
  <si>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</si>
  <si>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</si>
  <si>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</si>
  <si>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</si>
  <si>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</si>
  <si>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</si>
  <si>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</si>
  <si>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</si>
  <si>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</si>
  <si>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</si>
  <si>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</si>
  <si>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</si>
  <si>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</si>
  <si>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</si>
  <si>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</si>
  <si>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</si>
  <si>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</si>
  <si>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</si>
  <si>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</si>
  <si>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</si>
  <si>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</si>
  <si>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</si>
  <si>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</si>
  <si>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</si>
  <si>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</si>
  <si>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</si>
  <si>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</si>
  <si>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</si>
  <si>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</si>
  <si>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</si>
  <si>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</si>
  <si>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</si>
  <si>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</si>
  <si>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</si>
  <si>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</si>
  <si>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</si>
  <si>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</si>
  <si>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</si>
  <si>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</si>
  <si>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</si>
  <si>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</si>
  <si>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</si>
  <si>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</si>
  <si>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</si>
  <si>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</si>
  <si>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</si>
  <si>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</si>
  <si>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</si>
  <si>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</si>
  <si>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</si>
  <si>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</si>
  <si>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</si>
  <si>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</si>
  <si>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</si>
  <si>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</si>
  <si>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</si>
  <si>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</si>
  <si>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</si>
  <si>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</si>
  <si>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</si>
  <si>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</si>
  <si>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</si>
  <si>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</si>
  <si>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</si>
  <si>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</si>
  <si>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</si>
  <si>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</si>
  <si>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</si>
  <si>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</si>
  <si>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</si>
  <si>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</si>
  <si>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</si>
  <si>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</si>
  <si>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</si>
  <si>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</si>
  <si>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</si>
  <si>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</si>
  <si>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</si>
  <si>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</si>
  <si>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</si>
  <si>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</si>
  <si>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</si>
  <si>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</si>
  <si>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</si>
  <si>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</si>
  <si>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</si>
  <si>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</si>
  <si>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</si>
  <si>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</si>
  <si>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</si>
  <si>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</si>
  <si>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</si>
  <si>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</si>
  <si>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</si>
  <si>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</si>
  <si>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</si>
  <si>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</si>
  <si>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</si>
  <si>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</si>
  <si>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</si>
  <si>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</si>
  <si>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</si>
  <si>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</si>
  <si>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</si>
  <si>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</si>
  <si>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</si>
  <si>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</si>
  <si>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</si>
  <si>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</si>
  <si>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</si>
  <si>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</si>
  <si>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</si>
  <si>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</si>
  <si>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</si>
  <si>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</si>
  <si>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r>
      <t>Adjustments</t>
    </r>
    <r>
      <rPr>
        <b/>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</si>
  <si>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</si>
  <si>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</si>
  <si>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</si>
  <si>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</si>
  <si>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</si>
  <si>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</si>
  <si>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</si>
  <si>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</si>
  <si>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</si>
  <si>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</si>
  <si>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6/29/10</t>
  </si>
  <si>
    <t>1. Computation Tab - Item #9 Total Estimated Valuation July 1, -1 changed cell E28 ref from D48 to B13</t>
  </si>
  <si>
    <t>2. GenDetail Tab - changed print area to print both 7b and 7c pages versus 7b only</t>
  </si>
  <si>
    <t>Official Title:</t>
  </si>
  <si>
    <t>City Clerk, City Treasurer, Mayor</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</si>
  <si>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</si>
  <si>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</si>
  <si>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</si>
  <si>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</si>
  <si>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</si>
  <si>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</si>
  <si>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</si>
  <si>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Does miscellaneous exceed 10% of Total Exp</t>
  </si>
  <si>
    <t>Does miscellaneous exceed 10% of Total Rec</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</si>
  <si>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</si>
  <si>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Non-Appropriated Balance</t>
  </si>
  <si>
    <t>Total Expenditure/Non-Appr Balance</t>
  </si>
  <si>
    <t>Delinquent Comp Rate:</t>
  </si>
  <si>
    <t>Desired Carryover Amount:</t>
  </si>
  <si>
    <t>Estimated Mill Rate Impact:</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</si>
  <si>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</si>
  <si>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</si>
  <si>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</si>
  <si>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</si>
  <si>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</si>
  <si>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</si>
  <si>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</si>
  <si>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</si>
  <si>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</si>
  <si>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</si>
  <si>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</si>
  <si>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</si>
  <si>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</si>
  <si>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</si>
  <si>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</si>
  <si>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</si>
  <si>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</si>
  <si>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</si>
  <si>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</si>
  <si>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</si>
  <si>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</si>
  <si>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</si>
  <si>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</si>
  <si>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</si>
  <si>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</si>
  <si>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</si>
  <si>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</si>
  <si>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</si>
  <si>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</si>
  <si>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</si>
  <si>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</si>
  <si>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</si>
  <si>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</si>
  <si>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</si>
  <si>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</si>
  <si>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</si>
  <si>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</si>
  <si>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</si>
  <si>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</si>
  <si>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</si>
  <si>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</si>
  <si>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</si>
  <si>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</si>
  <si>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</si>
  <si>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</si>
  <si>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</si>
  <si>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</si>
  <si>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</si>
  <si>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</si>
  <si>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</si>
  <si>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</si>
  <si>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</si>
  <si>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</si>
  <si>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</si>
  <si>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</si>
  <si>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</si>
  <si>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</si>
  <si>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</si>
  <si>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</si>
  <si>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</si>
  <si>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</si>
  <si>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</si>
  <si>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</si>
  <si>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</si>
  <si>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</si>
  <si>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</si>
  <si>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</si>
  <si>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</si>
  <si>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</si>
  <si>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</si>
  <si>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</si>
  <si>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</si>
  <si>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</si>
  <si>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</si>
  <si>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</si>
  <si>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</si>
  <si>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</si>
  <si>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</si>
  <si>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</si>
  <si>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</si>
  <si>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 (the year for the actual year column of the current budget).  After the information has been entered, please verify the data is correct. </t>
  </si>
  <si>
    <t>4c. The Certificate page allows for up to four counties assessed valuation.</t>
  </si>
  <si>
    <t>1. All pages removed the revision date</t>
  </si>
  <si>
    <t>2. All tax levy fund pages reduced the columns and revised the bottom of pages for see tabs</t>
  </si>
  <si>
    <t>3. Instruction tab added lines 4d (cert-rec), 11b (fund-rec), 14(project carryover), 14a (Desired Carryover), and 15 (protection)</t>
  </si>
  <si>
    <t>The following were changed to this spreadsheet on 9/7/10</t>
  </si>
  <si>
    <t xml:space="preserve">Totals </t>
  </si>
  <si>
    <t>4. Inputpryr tab added lines 25 and 26 for 'Other Fund Not Considered' and Recreation fund</t>
  </si>
  <si>
    <t>5. Certificate tab change the 'Expenditure' heading by adding  'Budget Authority for Expenditures'</t>
  </si>
  <si>
    <t>6. Certificate tab change 'Total' to 'Totals for City' and added another line for 'Totals Includes Recreation'</t>
  </si>
  <si>
    <t>7. Certificate tab added line for 'Recreation', statute, expenditure, ad valorem, and levy</t>
  </si>
  <si>
    <t>8. Certificate tab created check to determine if levy for recreation is exceeded</t>
  </si>
  <si>
    <t xml:space="preserve">9. Certificate tab added additional lines for the governing body signatures </t>
  </si>
  <si>
    <t>10. Certificate tab add the year in the block for 'County Clerk Use Only'</t>
  </si>
  <si>
    <t>11. Certificate tab moved the 'County Clerk's Use Only' from center to right</t>
  </si>
  <si>
    <t>12. Debt tab expand the 'Date' columns and removed two lines from the 'Other Section'</t>
  </si>
  <si>
    <t>13. Gen tab added revenue line for 'Compensation Use'</t>
  </si>
  <si>
    <t>14. Gen tab added table for 'Projection of Cash Carryover'</t>
  </si>
  <si>
    <t>15. Gen tab added table for 'Desired Carryover'</t>
  </si>
  <si>
    <t>16. Gen tab redefine print que to not include tables</t>
  </si>
  <si>
    <t>17. Gen tab hid the comp for see tabs</t>
  </si>
  <si>
    <t>18. DebtService tab reduced the Debt Service fund page and added the Recreation fund</t>
  </si>
  <si>
    <t>19. DebtService tab added table for 'Projected Carryover'</t>
  </si>
  <si>
    <t>20. DebtService tab redefine print que and hid comp for see tabs</t>
  </si>
  <si>
    <t>21. Levy page9 to page13 tab hid comp for see tabs</t>
  </si>
  <si>
    <t>22. Summ tab added line after total for Recreation fund and put a check to determine if levy was exceeded</t>
  </si>
  <si>
    <t>23. Summ tab merged cells above the 'City Official Title' and center a name if used</t>
  </si>
  <si>
    <t>24. Summ tab link the City Official Title to inputBudSum tab</t>
  </si>
  <si>
    <t>25. Summ tab changed proposed year expenditure column to 'Budget Authority (Includes Carryover)</t>
  </si>
  <si>
    <t>26. Summ tab added four tables to the right of the form</t>
  </si>
  <si>
    <t>27. InputBudSum tab added line for City Official Title and provided an example</t>
  </si>
  <si>
    <t>28. Revised TransferStatutes and NonBudFunds tabs</t>
  </si>
  <si>
    <t>29. Added Mill Rate Computation tab</t>
  </si>
  <si>
    <t>30. Summ tab redefine print que</t>
  </si>
  <si>
    <t>31. Add Helpful Links tab</t>
  </si>
  <si>
    <t>32. Certificate page deleted state block</t>
  </si>
  <si>
    <t>33. Added four more no tax levy fund pages</t>
  </si>
  <si>
    <t>34.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</si>
  <si>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</si>
  <si>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</si>
  <si>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</si>
  <si>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</si>
  <si>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</si>
  <si>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</si>
  <si>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</si>
  <si>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</si>
  <si>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</si>
  <si>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3/21/11</t>
  </si>
  <si>
    <t>1. Debt Service tab corrected cell G34 from E21 to E20</t>
  </si>
  <si>
    <t>The following were changed to this spreadsheet on 4/19/11</t>
  </si>
  <si>
    <t>1. Summ tab changed proposed year expenditure column to 'Budget Authority for Expenditures'</t>
  </si>
  <si>
    <t xml:space="preserve">Prior Year </t>
  </si>
  <si>
    <t>Current Year</t>
  </si>
  <si>
    <t xml:space="preserve">Proposed Budget </t>
  </si>
  <si>
    <t xml:space="preserve">Current Year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</si>
  <si>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</si>
  <si>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</si>
  <si>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</si>
  <si>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</si>
  <si>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</si>
  <si>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</si>
  <si>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</si>
  <si>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</si>
  <si>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</si>
  <si>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</si>
  <si>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</si>
  <si>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</si>
  <si>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</si>
  <si>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</si>
  <si>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</si>
  <si>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</si>
  <si>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</si>
  <si>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</si>
  <si>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</si>
  <si>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</si>
  <si>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</si>
  <si>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</si>
  <si>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</si>
  <si>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</si>
  <si>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</si>
  <si>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</si>
  <si>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</si>
  <si>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</si>
  <si>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</si>
  <si>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</si>
  <si>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</si>
  <si>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</si>
  <si>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</si>
  <si>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</si>
  <si>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</si>
  <si>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</si>
  <si>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</si>
  <si>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</si>
  <si>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</si>
  <si>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</si>
  <si>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</si>
  <si>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</si>
  <si>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</si>
  <si>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</si>
  <si>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</si>
  <si>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</si>
  <si>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</si>
  <si>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</si>
  <si>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</si>
  <si>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</si>
  <si>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</si>
  <si>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Items</t>
  </si>
  <si>
    <t xml:space="preserve"> Purchased</t>
  </si>
  <si>
    <t xml:space="preserve">Type of </t>
  </si>
  <si>
    <t xml:space="preserve"> Debt</t>
  </si>
  <si>
    <t xml:space="preserve">Allocation of Motor, Recreational, 16/20M Vehicle Tax </t>
  </si>
  <si>
    <t>12-1220</t>
  </si>
  <si>
    <t>Library</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</si>
  <si>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</si>
  <si>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</si>
  <si>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</si>
  <si>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</si>
  <si>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</si>
  <si>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</si>
  <si>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</si>
  <si>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</si>
  <si>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</si>
  <si>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</si>
  <si>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</si>
  <si>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</si>
  <si>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</si>
  <si>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</si>
  <si>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</si>
  <si>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</si>
  <si>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</si>
  <si>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</si>
  <si>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</si>
  <si>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</si>
  <si>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</si>
  <si>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</si>
  <si>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Email:</t>
  </si>
  <si>
    <t>_____________________  ______________________</t>
  </si>
  <si>
    <t>Expenditures Must Be Changed by:</t>
  </si>
  <si>
    <t>Mill Rate Comparison</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</si>
  <si>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</si>
  <si>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</si>
  <si>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</si>
  <si>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</si>
  <si>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</si>
  <si>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</si>
  <si>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</si>
  <si>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</si>
  <si>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</si>
  <si>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</si>
  <si>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</si>
  <si>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</si>
  <si>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</si>
  <si>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</si>
  <si>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</si>
  <si>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</si>
  <si>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</si>
  <si>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</si>
  <si>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</si>
  <si>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</si>
  <si>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</si>
  <si>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</si>
  <si>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</si>
  <si>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</si>
  <si>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</si>
  <si>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</si>
  <si>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</si>
  <si>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</si>
  <si>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</si>
  <si>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</si>
  <si>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</si>
  <si>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</si>
  <si>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</si>
  <si>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</si>
  <si>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</si>
  <si>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</si>
  <si>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</si>
  <si>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</si>
  <si>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was designed for a City having up to four counties providing budget information. The City4 spreadsheets has General Fund page (general), Debt Service and Library fund (DebtSvs-Library), 10 tax levy pages (levy page9 to levy page13), Special Highway page (Sp Hiway), 15 no levy fund pages (nolevypage15 to nolevypage21 with one under the Sp Hiway tab), 4 single no levy pages (SinNoLevy18-SinNolevy21), and 20 non-budgeted fund pages (NonBudA to NonBudD).</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</si>
  <si>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</si>
  <si>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</si>
  <si>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5. The information for the Computation to Determine Limit Page (computation) comes from data on the Input Page (inputOth) and Debt Service Page (DebtSvs-Library). If there is incorrect information on the Computation Page, please correct the source of the information from either the Input Page or Debt Service fund page. If you can not correct the error, please call us for assistance.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</si>
  <si>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</si>
  <si>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</si>
  <si>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(DebtSvs-Library), ten levy pages (levy page8 and levy page13), Special Highway Fund (SpecHwy), fifteen no levy fund pages (no levy page15 to no levy page21, and one fund below on Special Highway), four single no levy fund page (SinNoLevy18 to 21), and four non-budgeted fund pages (NonBudA thru d).  Only complete the fund pages needed.  When the fund pages are completed, the totals will be linked to the Certificate and Budget Summary pages.</t>
  </si>
  <si>
    <t>11a. General Fund page and General Fund Detail page number are linked.   If the municipality has a Library Fund, the Library Grant page becomes number 7 and the General Fund page would be numbered 8, otherwise the General would be 7.</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</si>
  <si>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</si>
  <si>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</si>
  <si>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</si>
  <si>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</si>
  <si>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</si>
  <si>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</si>
  <si>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</si>
  <si>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</si>
  <si>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</si>
  <si>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</si>
  <si>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</si>
  <si>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</si>
  <si>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</si>
  <si>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</si>
  <si>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</si>
  <si>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</si>
  <si>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</si>
  <si>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</si>
  <si>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</si>
  <si>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</si>
  <si>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</si>
  <si>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</si>
  <si>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</si>
  <si>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</si>
  <si>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</si>
  <si>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</si>
  <si>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</si>
  <si>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</si>
  <si>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Allocation of MVT, RVT, 16/20M Vehicle Tax</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</si>
  <si>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</si>
  <si>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</si>
  <si>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#4d to show Certificate page new schedule for Library Grant</t>
  </si>
  <si>
    <t xml:space="preserve">peter.haxton@library.ks.gov </t>
  </si>
  <si>
    <t>The following were changed to this spreadsheet on 2/22/12</t>
  </si>
  <si>
    <t>1. Library Grant tab, updated State Library e-mail contact address</t>
  </si>
  <si>
    <t>The following were changed to this spreadsheet on 4/10/12</t>
  </si>
  <si>
    <t>1. Corrected addition computation in column D, inputPrYr tab</t>
  </si>
  <si>
    <t>City of Bonner Springs</t>
  </si>
  <si>
    <t>Wyandotte County</t>
  </si>
  <si>
    <t>Johnson</t>
  </si>
  <si>
    <t>Leavenworth</t>
  </si>
  <si>
    <t>Spec. Rev. Aquatic Park Facility Sales Tax</t>
  </si>
  <si>
    <t>Spec. Rev. County Infrastructure</t>
  </si>
  <si>
    <t>Spec. Rev. Convention &amp; Tourism</t>
  </si>
  <si>
    <t>Spec. Rev. Drug &amp; Alcohol</t>
  </si>
  <si>
    <t>Spec. Rev. Economic Development</t>
  </si>
  <si>
    <t>Spec. Rev. Emergency Services Capital</t>
  </si>
  <si>
    <t>Spec. Rev. Emergency Medical Services</t>
  </si>
  <si>
    <t>Spec. Rev. Library Sales Tax</t>
  </si>
  <si>
    <t>Spec. Rev. Park Dedication</t>
  </si>
  <si>
    <t>Spec. Rev. Recreation Programs</t>
  </si>
  <si>
    <t>Spec. Rev. Risk Management</t>
  </si>
  <si>
    <t>Spec. Rev. Senior Center</t>
  </si>
  <si>
    <t>Spec. Rev. Sidewalk Escrow</t>
  </si>
  <si>
    <t>Spec. Rev. Soccer</t>
  </si>
  <si>
    <t>Spec. Rev. Special Parks &amp; Recreation</t>
  </si>
  <si>
    <t>Spec. Rev. Street Projects</t>
  </si>
  <si>
    <t>Spec. Rev. Summer Ball</t>
  </si>
  <si>
    <t>Spec. Rev. Swimming Pool</t>
  </si>
  <si>
    <t>Spec. Rev. Tiblow Transit</t>
  </si>
  <si>
    <t>Spec. Rev. TIF Develop Funds</t>
  </si>
  <si>
    <t>CID Development Fees</t>
  </si>
  <si>
    <t>Bonner Springs Ctr City Contribution</t>
  </si>
  <si>
    <t>Enterprise Fund - Solid Waste</t>
  </si>
  <si>
    <t>Enterprise Fund - Storm Water</t>
  </si>
  <si>
    <t>Enterprise Fund - Waste Water</t>
  </si>
  <si>
    <t>Enterprise Fund - Water</t>
  </si>
  <si>
    <t>Non Budgeted Funds</t>
  </si>
  <si>
    <t>Bonner Pointe TIF Increment</t>
  </si>
  <si>
    <t>Bonner Springs Center CID</t>
  </si>
  <si>
    <t>Certified</t>
  </si>
  <si>
    <t>Amended</t>
  </si>
  <si>
    <t>August 13, 2012</t>
  </si>
  <si>
    <t>7:30 p.m.</t>
  </si>
  <si>
    <t>205 East Second Street</t>
  </si>
  <si>
    <t>City Clerk's Office</t>
  </si>
  <si>
    <t>2002 G.O. Bonds</t>
  </si>
  <si>
    <t>2004 G.O. Bonds</t>
  </si>
  <si>
    <t>2005 G. O. Bonds - Pool</t>
  </si>
  <si>
    <t>2006 G. O. Bonds - Library</t>
  </si>
  <si>
    <t>2007 G. O. Bonds</t>
  </si>
  <si>
    <t>2008 G. O. Bonds - Lake Forest</t>
  </si>
  <si>
    <t>2009 G. O. Bonds</t>
  </si>
  <si>
    <t>2011 G. O. Bonds</t>
  </si>
  <si>
    <t>3.4-4.6</t>
  </si>
  <si>
    <t>Mar/Sept</t>
  </si>
  <si>
    <t>Street Sweeper</t>
  </si>
  <si>
    <t>Fire Rescue Truck</t>
  </si>
  <si>
    <t>City Sales &amp; Use Tax</t>
  </si>
  <si>
    <t>County Sales &amp; Use Tax</t>
  </si>
  <si>
    <t>Franchise Fees</t>
  </si>
  <si>
    <t>Fines</t>
  </si>
  <si>
    <t>Amusement Tax</t>
  </si>
  <si>
    <t>Reimbursed Expenses</t>
  </si>
  <si>
    <t>Loring Services - Streets</t>
  </si>
  <si>
    <t>Liquor Tax</t>
  </si>
  <si>
    <t>Permits</t>
  </si>
  <si>
    <t>Loring Services - Police</t>
  </si>
  <si>
    <t>Court Fees</t>
  </si>
  <si>
    <t>Licenses</t>
  </si>
  <si>
    <t>Service Charges</t>
  </si>
  <si>
    <t>Payment in Lieu of Tax</t>
  </si>
  <si>
    <t>Miscellaneous Revenue</t>
  </si>
  <si>
    <t>Recreation Fees</t>
  </si>
  <si>
    <t>Animal Fees</t>
  </si>
  <si>
    <t>Miscellaneous Fees</t>
  </si>
  <si>
    <t>Grants</t>
  </si>
  <si>
    <t>Neighborhood Revitalization</t>
  </si>
  <si>
    <t>Transfers from:  Water</t>
  </si>
  <si>
    <t xml:space="preserve">                           Waste Water</t>
  </si>
  <si>
    <t xml:space="preserve">                           Solid Waste</t>
  </si>
  <si>
    <t xml:space="preserve">                           Special Drug &amp; Alcohol</t>
  </si>
  <si>
    <t>Bonner Beautiful</t>
  </si>
  <si>
    <t>Budget &amp; Finance</t>
  </si>
  <si>
    <t>Building Codes</t>
  </si>
  <si>
    <t>Cemetery</t>
  </si>
  <si>
    <t>City Band</t>
  </si>
  <si>
    <t>City Council</t>
  </si>
  <si>
    <t>City Manager</t>
  </si>
  <si>
    <t>Custodial</t>
  </si>
  <si>
    <t>Fire</t>
  </si>
  <si>
    <t>Municipal Court</t>
  </si>
  <si>
    <t>Police</t>
  </si>
  <si>
    <t>Project Manager</t>
  </si>
  <si>
    <t>Public Works</t>
  </si>
  <si>
    <t>Transfers &amp; Contingencies</t>
  </si>
  <si>
    <t>Parks &amp; Recreation</t>
  </si>
  <si>
    <t>Planning</t>
  </si>
  <si>
    <t xml:space="preserve">   Salaries</t>
  </si>
  <si>
    <t xml:space="preserve">   Contractual</t>
  </si>
  <si>
    <t xml:space="preserve">   Commodities</t>
  </si>
  <si>
    <t xml:space="preserve">   Capital Outlay</t>
  </si>
  <si>
    <t xml:space="preserve">   Miscellaneous Expenses</t>
  </si>
  <si>
    <t xml:space="preserve">   Transfers</t>
  </si>
  <si>
    <t>Use October Certified</t>
  </si>
  <si>
    <t>Casino Revenue</t>
  </si>
  <si>
    <t>With Delinquency</t>
  </si>
  <si>
    <t>Hard Entered Tax in</t>
  </si>
  <si>
    <t xml:space="preserve">Tax Levy Funds </t>
  </si>
  <si>
    <t>Amended Gen Fund</t>
  </si>
  <si>
    <t>2012 Budget</t>
  </si>
  <si>
    <t>Amendment</t>
  </si>
  <si>
    <t xml:space="preserve">          Subtotal =Less Miscellaneous</t>
  </si>
  <si>
    <t>Reimbursed Maintenance Supplies</t>
  </si>
  <si>
    <t>Tax Distribution</t>
  </si>
  <si>
    <t>.</t>
  </si>
  <si>
    <t>Special Assessments</t>
  </si>
  <si>
    <t>Accrued Interest</t>
  </si>
  <si>
    <t>Transfer from:  Waste Water</t>
  </si>
  <si>
    <t xml:space="preserve">                         Water</t>
  </si>
  <si>
    <t xml:space="preserve">                          Library Sales Tax</t>
  </si>
  <si>
    <t xml:space="preserve">                          2007-A Bond </t>
  </si>
  <si>
    <t xml:space="preserve">                          2008-A Bond</t>
  </si>
  <si>
    <t xml:space="preserve">                          2009-A Bond</t>
  </si>
  <si>
    <t xml:space="preserve">                          Storm Sewer</t>
  </si>
  <si>
    <t xml:space="preserve">                          Emerg. Services Sales Tax</t>
  </si>
  <si>
    <t xml:space="preserve">                          Aquatic Facility Sales Tax</t>
  </si>
  <si>
    <t xml:space="preserve">Neighborhood Revitalization Rebates </t>
  </si>
  <si>
    <t>Miscellaneous Cash Basis Reserve</t>
  </si>
  <si>
    <t>Transfer to Debt Service</t>
  </si>
  <si>
    <t>Transient Guest Tax</t>
  </si>
  <si>
    <t xml:space="preserve">Personnel Services </t>
  </si>
  <si>
    <t>Contractual Services</t>
  </si>
  <si>
    <t>Commodities</t>
  </si>
  <si>
    <t>Transfer to General Fund - DARE</t>
  </si>
  <si>
    <t>IRB Origination Fee</t>
  </si>
  <si>
    <t>Ambulance Fees</t>
  </si>
  <si>
    <t>Transfer from General Fund</t>
  </si>
  <si>
    <t>Reimbursed Expense</t>
  </si>
  <si>
    <t>Personnel Services</t>
  </si>
  <si>
    <t>Major Capital Items</t>
  </si>
  <si>
    <t xml:space="preserve">Miscellaneous Revenue </t>
  </si>
  <si>
    <t>Capital Items</t>
  </si>
  <si>
    <t>Transfer to General Fund</t>
  </si>
  <si>
    <t>Contractual</t>
  </si>
  <si>
    <t>Transfer to Swimming Pool</t>
  </si>
  <si>
    <t>Transfer to Soccer</t>
  </si>
  <si>
    <t>Miscellaneous Program Fees</t>
  </si>
  <si>
    <t>Ball Program Fees</t>
  </si>
  <si>
    <t>Sponsor Fees</t>
  </si>
  <si>
    <t>Concession Revenue</t>
  </si>
  <si>
    <t>Transfer from Special Parks</t>
  </si>
  <si>
    <t>Program Fees</t>
  </si>
  <si>
    <t>Daily Admissions</t>
  </si>
  <si>
    <t>Season Passes</t>
  </si>
  <si>
    <t>Private Rentals</t>
  </si>
  <si>
    <t>Aquatic Programs</t>
  </si>
  <si>
    <t>Swim Lessons</t>
  </si>
  <si>
    <t>Private Swim Lessons</t>
  </si>
  <si>
    <t>Swim Team Fees</t>
  </si>
  <si>
    <t>Swim Team Fundraiser</t>
  </si>
  <si>
    <t>Swim Tem T-Shirt Reimbursements</t>
  </si>
  <si>
    <t>Lifeguard Reimbursements</t>
  </si>
  <si>
    <t>Merchandise Sales</t>
  </si>
  <si>
    <t>Cancellation Fees</t>
  </si>
  <si>
    <t>Concession Sales</t>
  </si>
  <si>
    <t>Impact Fees</t>
  </si>
  <si>
    <t>Wyandotte County Social Services</t>
  </si>
  <si>
    <t xml:space="preserve">Capital Items </t>
  </si>
  <si>
    <t>Sidewalk Escrow Fees</t>
  </si>
  <si>
    <t>Major Capital Items - Sidewalks</t>
  </si>
  <si>
    <t>State Highway Tax</t>
  </si>
  <si>
    <t>County Highway Tax</t>
  </si>
  <si>
    <t>State Connecting Link</t>
  </si>
  <si>
    <t>Transfer to 1998 Temporary Note</t>
  </si>
  <si>
    <t>KDOT Section 5311 Grant</t>
  </si>
  <si>
    <t>Donations - Fares</t>
  </si>
  <si>
    <t>Donations - Other</t>
  </si>
  <si>
    <t xml:space="preserve">Transfer from General Fund </t>
  </si>
  <si>
    <t>Developer Fees</t>
  </si>
  <si>
    <t>TIF Increment Wy Co Ad Valorem Tax</t>
  </si>
  <si>
    <t>Major Capital Traffic Signal K-7/130</t>
  </si>
  <si>
    <t>CID Sales Tax</t>
  </si>
  <si>
    <t>User Charges</t>
  </si>
  <si>
    <t>Penalties</t>
  </si>
  <si>
    <t>Storm Water Fees</t>
  </si>
  <si>
    <t>Transfer to Debt Services - Front Street</t>
  </si>
  <si>
    <t>Connection Fees</t>
  </si>
  <si>
    <t>Transfer from General Fund-Development Fees</t>
  </si>
  <si>
    <t>Cancel Prior Year Encumbrances</t>
  </si>
  <si>
    <t>Transfer to:  Debt Service</t>
  </si>
  <si>
    <t xml:space="preserve">                     General Fund - Weed Control</t>
  </si>
  <si>
    <t xml:space="preserve">                     General Fund - Administrative</t>
  </si>
  <si>
    <t>Miscellaneous Permits</t>
  </si>
  <si>
    <t xml:space="preserve">Impact Fees </t>
  </si>
  <si>
    <t>Fees (Notices, Connects &amp; Meters)</t>
  </si>
  <si>
    <t>Cancel Prior Year Encumbrance</t>
  </si>
  <si>
    <t>Transfer from Nettleton Waterline</t>
  </si>
  <si>
    <t>Transfer to:  Linda Lane Water Line</t>
  </si>
  <si>
    <t xml:space="preserve">                     Debt Service</t>
  </si>
  <si>
    <t>General Fund</t>
  </si>
  <si>
    <t>Emergency Medical Services</t>
  </si>
  <si>
    <t>Senior Center</t>
  </si>
  <si>
    <t>Swimming Pool</t>
  </si>
  <si>
    <t>Tiblow Transit</t>
  </si>
  <si>
    <t>Street Projects</t>
  </si>
  <si>
    <t>Waste Water</t>
  </si>
  <si>
    <t>Ord. 2178</t>
  </si>
  <si>
    <t>Soccer</t>
  </si>
  <si>
    <t xml:space="preserve">                       Proposed Budget 2013 Expenditures &amp; Amount of Current Year Estimate for 2012 Ad Valorem Tax establish the maximum limits of the 2013 Budget.</t>
  </si>
  <si>
    <t xml:space="preserve">                     The Hearing will include 2012 Budget Amendments shown in bold in the 2012 Expenditure Column.</t>
  </si>
  <si>
    <t>Water</t>
  </si>
  <si>
    <t>Library Sales Tax</t>
  </si>
  <si>
    <t>Total to General Fund</t>
  </si>
  <si>
    <t>Total Miscellaneous</t>
  </si>
  <si>
    <t>Solid Waste</t>
  </si>
  <si>
    <t>Storm Water</t>
  </si>
  <si>
    <t xml:space="preserve">Water </t>
  </si>
  <si>
    <t>Bonner Springs Center City Contribution</t>
  </si>
  <si>
    <t>Special Drug &amp; Alcohol</t>
  </si>
  <si>
    <t>Special Parks &amp; Recreation</t>
  </si>
  <si>
    <t>Emergency Services Sales Tax</t>
  </si>
  <si>
    <t>Aquatic Facility Sales Tax</t>
  </si>
  <si>
    <t>12-825d</t>
  </si>
  <si>
    <t>12-197</t>
  </si>
  <si>
    <t xml:space="preserve">            Total Expenditure/Non-Appr Balance</t>
  </si>
  <si>
    <t>Misc. Capital Project Funds</t>
  </si>
  <si>
    <t>Misc. Fiduciary/Int Ser Funds</t>
  </si>
  <si>
    <t>Misc. Spec. Rev. Funds</t>
  </si>
  <si>
    <t>Bond Proceeds</t>
  </si>
  <si>
    <t>Transfer from Street Projects</t>
  </si>
  <si>
    <t xml:space="preserve">Transfer from Water </t>
  </si>
  <si>
    <t>Capital Outlay</t>
  </si>
  <si>
    <t>Payoff Bond &amp; Temp Note</t>
  </si>
  <si>
    <t>Transfer to Water</t>
  </si>
  <si>
    <t>Fees</t>
  </si>
  <si>
    <t>Donations</t>
  </si>
  <si>
    <t>Transfer from Drug &amp; Alcohol</t>
  </si>
  <si>
    <t>Commodity Items</t>
  </si>
  <si>
    <t>Prior Year Actual 2011</t>
  </si>
  <si>
    <t>Current Year Estimate 2012</t>
  </si>
  <si>
    <t xml:space="preserve">       Proposed Budget for 2013</t>
  </si>
  <si>
    <t>Amount of 2012</t>
  </si>
  <si>
    <t>Total from General Fund</t>
  </si>
  <si>
    <t xml:space="preserve">Waste Water </t>
  </si>
  <si>
    <t>Misc. Fiduciary/Internal Service</t>
  </si>
  <si>
    <t>Misc. Capital Projects</t>
  </si>
  <si>
    <t>Clausie W. Smith, Mayor</t>
  </si>
  <si>
    <t>Attest:  Rita Hoag, City Clerk</t>
  </si>
  <si>
    <t>(Seal)</t>
  </si>
  <si>
    <t xml:space="preserve">publication was held; (2) after the Budget Hearing, the 2012 Budget Amendments were approved </t>
  </si>
  <si>
    <t>We, the undersigned, officers of the City of Bonner Springs certify that:  (1) the hearing mentioned in the attached</t>
  </si>
  <si>
    <t>Environmental Codes</t>
  </si>
  <si>
    <t>Sewer Surcharges</t>
  </si>
  <si>
    <t>Sewer Impact Fees</t>
  </si>
  <si>
    <t>and this budget was duly approved and adopted as the maximum expenditures for the various funds for the year 2013 and</t>
  </si>
  <si>
    <t>CERTIFICATE - Ordinance No. 2344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</si>
</sst>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0.000"/>
    <numFmt numFmtId="171" formatCode="#,##0.000_);\(#,##0.000\)"/>
    <numFmt numFmtId="172" formatCode="#,##0.000"/>
    <numFmt numFmtId="173" formatCode="[$-409]mmmm\ d\,\ yyyy;@"/>
    <numFmt numFmtId="174" formatCode="[$-409]h:mm\ AM/PM;@"/>
    <numFmt numFmtId="175" formatCode="&quot;$&quot;#,##0"/>
    <numFmt numFmtId="176" formatCode="&quot;$&quot;#,##0.00"/>
    <numFmt numFmtId="177" formatCode="#,###"/>
    <numFmt numFmtId="178" formatCode="#,##0.000_);[Red]\(#,##0.000\)"/>
    <numFmt numFmtId="179" formatCode="0.0%"/>
    <numFmt numFmtId="180" formatCode="0.00000%"/>
  </numFmts>
  <fonts count="59" x14ac:knownFonts="1">
    <font>
      <sz val="12"/>
      <name val="Courier"/>
    </font>
    <font>
      <b/>
      <sz val="12"/>
      <name val="Courier"/>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name val="Courier"/>
      <family val="3"/>
    </font>
    <font>
      <sz val="12"/>
      <color indexed="10"/>
      <name val="Courier"/>
      <family val="3"/>
    </font>
    <font>
      <i/>
      <sz val="12"/>
      <name val="Times New Roman"/>
      <family val="1"/>
    </font>
    <font>
      <b/>
      <sz val="14"/>
      <name val="Times New Roman"/>
      <family val="1"/>
    </font>
    <font>
      <sz val="12"/>
      <color indexed="8"/>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New"/>
      <family val="3"/>
    </font>
    <font>
      <b/>
      <sz val="12"/>
      <name val="Courier"/>
      <family val="3"/>
    </font>
    <font>
      <i/>
      <sz val="12"/>
      <name val="Courier"/>
      <family val="3"/>
    </font>
    <font>
      <i/>
      <u/>
      <sz val="12"/>
      <name val="Courier"/>
      <family val="3"/>
    </font>
    <font>
      <sz val="12"/>
      <name val="Courier New"/>
      <family val="3"/>
    </font>
    <font>
      <sz val="9"/>
      <name val="Courier"/>
      <family val="3"/>
    </font>
    <font>
      <sz val="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b/>
      <u/>
      <sz val="8"/>
      <name val="Times New Roman"/>
      <family val="1"/>
    </font>
    <font>
      <u/>
      <sz val="12"/>
      <color indexed="10"/>
      <name val="Times New Roman"/>
      <family val="1"/>
    </font>
    <font>
      <sz val="8"/>
      <color indexed="10"/>
      <name val="Times New Roman"/>
      <family val="1"/>
    </font>
    <font>
      <sz val="10"/>
      <name val="Courier"/>
      <family val="3"/>
    </font>
    <font>
      <sz val="10"/>
      <color indexed="10"/>
      <name val="Times New Roman"/>
      <family val="1"/>
    </font>
    <font>
      <sz val="11"/>
      <color theme="1"/>
      <name val="Calibri"/>
      <family val="2"/>
      <scheme val="minor"/>
    </font>
    <font>
      <u/>
      <sz val="12"/>
      <color rgb="FFFF0000"/>
      <name val="Times New Roman"/>
      <family val="1"/>
    </font>
    <font>
      <sz val="11"/>
      <color rgb="FF000000"/>
      <name val="Cambria"/>
      <family val="1"/>
    </font>
    <font>
      <b/>
      <sz val="11"/>
      <color theme="1"/>
      <name val="Cambria"/>
      <family val="1"/>
    </font>
    <font>
      <sz val="10"/>
      <color rgb="FFFF0000"/>
      <name val="Times New Roman"/>
      <family val="1"/>
    </font>
    <font>
      <b/>
      <sz val="12"/>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34"/>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medium">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double">
        <color indexed="0"/>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64"/>
      </left>
      <right style="thin">
        <color indexed="64"/>
      </right>
      <top style="medium">
        <color indexed="64"/>
      </top>
      <bottom style="double">
        <color indexed="64"/>
      </bottom>
      <diagonal/>
    </border>
  </borders>
  <cellStyleXfs count="323">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xf numFmtId="0" fontId="28"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32" fillId="0" borderId="0"/>
    <xf numFmtId="0" fontId="28" fillId="0" borderId="0"/>
    <xf numFmtId="0" fontId="28" fillId="0" borderId="0"/>
    <xf numFmtId="0" fontId="28"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32"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 fillId="0" borderId="0"/>
    <xf numFmtId="0" fontId="2" fillId="0" borderId="0"/>
  </cellStyleXfs>
  <cellXfs count="950">
    <xf numFmtId="0" fontId="0" fillId="0" borderId="0" xfId="0"/>
    <xf numFmtId="0" fontId="4" fillId="0" borderId="0" xfId="0" applyFont="1"/>
    <xf numFmtId="0" fontId="4" fillId="0" borderId="0" xfId="0" applyFont="1" applyAlignment="1">
      <alignment wrapText="1"/>
    </xf>
    <xf numFmtId="0" fontId="4" fillId="0" borderId="0" xfId="0" applyFont="1" applyProtection="1">
      <protection locked="0"/>
    </xf>
    <xf numFmtId="0" fontId="4" fillId="2" borderId="1" xfId="0" applyFont="1" applyFill="1" applyBorder="1" applyProtection="1">
      <protection locked="0"/>
    </xf>
    <xf numFmtId="37" fontId="4" fillId="0" borderId="0" xfId="0" applyNumberFormat="1" applyFont="1" applyProtection="1">
      <protection locked="0"/>
    </xf>
    <xf numFmtId="0" fontId="4" fillId="3" borderId="0" xfId="0" applyFont="1" applyFill="1" applyProtection="1"/>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1" xfId="0" applyFont="1" applyFill="1" applyBorder="1" applyProtection="1"/>
    <xf numFmtId="37" fontId="4" fillId="3" borderId="0" xfId="0" applyNumberFormat="1" applyFont="1" applyFill="1" applyProtection="1"/>
    <xf numFmtId="0" fontId="3" fillId="3" borderId="0" xfId="322"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Continuous"/>
    </xf>
    <xf numFmtId="0" fontId="4" fillId="3" borderId="5" xfId="0" applyFont="1" applyFill="1" applyBorder="1" applyAlignment="1" applyProtection="1">
      <alignment horizontal="centerContinuous"/>
    </xf>
    <xf numFmtId="0" fontId="4" fillId="3" borderId="6" xfId="0" applyFont="1" applyFill="1" applyBorder="1" applyAlignment="1" applyProtection="1">
      <alignment horizontal="center"/>
    </xf>
    <xf numFmtId="0" fontId="4" fillId="3" borderId="7" xfId="0" applyFont="1" applyFill="1" applyBorder="1" applyAlignment="1" applyProtection="1">
      <alignment horizontal="center"/>
    </xf>
    <xf numFmtId="0" fontId="4" fillId="3" borderId="1" xfId="0" applyFont="1" applyFill="1" applyBorder="1" applyAlignment="1" applyProtection="1">
      <alignment horizontal="center"/>
    </xf>
    <xf numFmtId="0" fontId="4" fillId="3" borderId="1" xfId="0" applyFont="1" applyFill="1" applyBorder="1" applyAlignment="1" applyProtection="1">
      <alignment horizontal="left"/>
    </xf>
    <xf numFmtId="2" fontId="4" fillId="3" borderId="1" xfId="0" applyNumberFormat="1" applyFont="1" applyFill="1" applyBorder="1" applyProtection="1"/>
    <xf numFmtId="3" fontId="4" fillId="3" borderId="1" xfId="0" applyNumberFormat="1" applyFont="1" applyFill="1" applyBorder="1" applyProtection="1"/>
    <xf numFmtId="0" fontId="3" fillId="3" borderId="1" xfId="0" applyFont="1" applyFill="1" applyBorder="1" applyAlignment="1" applyProtection="1">
      <alignment horizontal="left"/>
    </xf>
    <xf numFmtId="0" fontId="4" fillId="3" borderId="8" xfId="0" applyFont="1" applyFill="1" applyBorder="1" applyAlignment="1" applyProtection="1">
      <alignment horizontal="fill"/>
    </xf>
    <xf numFmtId="1" fontId="4" fillId="3" borderId="0" xfId="0" applyNumberFormat="1" applyFont="1" applyFill="1" applyBorder="1" applyAlignment="1" applyProtection="1">
      <alignment horizontal="right"/>
    </xf>
    <xf numFmtId="1" fontId="4" fillId="3" borderId="9" xfId="0" applyNumberFormat="1" applyFont="1" applyFill="1" applyBorder="1" applyAlignment="1" applyProtection="1">
      <alignment horizontal="center"/>
    </xf>
    <xf numFmtId="0" fontId="4" fillId="0" borderId="0" xfId="0" applyFont="1" applyAlignment="1" applyProtection="1">
      <alignment horizontal="left"/>
      <protection locked="0"/>
    </xf>
    <xf numFmtId="0" fontId="3" fillId="3" borderId="1" xfId="0" applyFont="1" applyFill="1" applyBorder="1" applyAlignment="1" applyProtection="1">
      <alignment horizontal="center"/>
    </xf>
    <xf numFmtId="3" fontId="4" fillId="3" borderId="1" xfId="0" applyNumberFormat="1" applyFont="1" applyFill="1" applyBorder="1" applyAlignment="1" applyProtection="1">
      <alignment horizontal="center"/>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37" fontId="4" fillId="2" borderId="1" xfId="0" applyNumberFormat="1" applyFont="1" applyFill="1" applyBorder="1" applyAlignment="1" applyProtection="1">
      <alignment horizontal="center"/>
      <protection locked="0"/>
    </xf>
    <xf numFmtId="169" fontId="4" fillId="2" borderId="1" xfId="0" applyNumberFormat="1" applyFont="1" applyFill="1" applyBorder="1" applyAlignment="1" applyProtection="1">
      <alignment horizontal="center"/>
      <protection locked="0"/>
    </xf>
    <xf numFmtId="168" fontId="3" fillId="3" borderId="1" xfId="0" applyNumberFormat="1" applyFont="1" applyFill="1" applyBorder="1" applyAlignment="1" applyProtection="1">
      <alignment horizontal="center"/>
    </xf>
    <xf numFmtId="2" fontId="3" fillId="3" borderId="1" xfId="0" applyNumberFormat="1" applyFont="1" applyFill="1" applyBorder="1" applyAlignment="1" applyProtection="1">
      <alignment horizontal="center"/>
    </xf>
    <xf numFmtId="3" fontId="3" fillId="3" borderId="1" xfId="0" applyNumberFormat="1" applyFont="1" applyFill="1" applyBorder="1" applyAlignment="1" applyProtection="1">
      <alignment horizontal="center"/>
    </xf>
    <xf numFmtId="169" fontId="3" fillId="3" borderId="1" xfId="0" applyNumberFormat="1" applyFont="1" applyFill="1" applyBorder="1" applyAlignment="1" applyProtection="1">
      <alignment horizontal="center"/>
    </xf>
    <xf numFmtId="168" fontId="4" fillId="3" borderId="1" xfId="0" applyNumberFormat="1" applyFont="1" applyFill="1" applyBorder="1" applyAlignment="1" applyProtection="1">
      <alignment horizontal="center"/>
    </xf>
    <xf numFmtId="2" fontId="4" fillId="3" borderId="1" xfId="0" applyNumberFormat="1" applyFont="1" applyFill="1" applyBorder="1" applyAlignment="1" applyProtection="1">
      <alignment horizontal="center"/>
    </xf>
    <xf numFmtId="169" fontId="4" fillId="3" borderId="1" xfId="0" applyNumberFormat="1" applyFont="1" applyFill="1" applyBorder="1" applyAlignment="1" applyProtection="1">
      <alignment horizontal="center"/>
    </xf>
    <xf numFmtId="1" fontId="3" fillId="3" borderId="1" xfId="0" applyNumberFormat="1" applyFont="1" applyFill="1" applyBorder="1" applyAlignment="1" applyProtection="1">
      <alignment horizontal="center"/>
    </xf>
    <xf numFmtId="1" fontId="4" fillId="3" borderId="1" xfId="0" applyNumberFormat="1" applyFont="1" applyFill="1" applyBorder="1" applyAlignment="1" applyProtection="1">
      <alignment horizontal="center"/>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7" fontId="3" fillId="5" borderId="1" xfId="0" applyNumberFormat="1" applyFont="1" applyFill="1" applyBorder="1" applyAlignment="1" applyProtection="1">
      <alignment horizontal="center"/>
    </xf>
    <xf numFmtId="3" fontId="3" fillId="5" borderId="1" xfId="0" applyNumberFormat="1" applyFont="1" applyFill="1" applyBorder="1" applyAlignment="1" applyProtection="1">
      <alignment horizontal="center"/>
    </xf>
    <xf numFmtId="0" fontId="5" fillId="0" borderId="0" xfId="0" applyFont="1"/>
    <xf numFmtId="0" fontId="4" fillId="3" borderId="3" xfId="0" applyFont="1" applyFill="1" applyBorder="1" applyAlignment="1" applyProtection="1">
      <alignment horizontal="center" shrinkToFit="1"/>
    </xf>
    <xf numFmtId="0" fontId="4" fillId="3" borderId="6" xfId="0" applyFont="1" applyFill="1" applyBorder="1" applyAlignment="1" applyProtection="1">
      <alignment horizontal="center" shrinkToFi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4"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8"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12" fillId="3" borderId="0" xfId="0" applyNumberFormat="1" applyFont="1" applyFill="1" applyAlignment="1" applyProtection="1">
      <alignment horizontal="left" vertical="center"/>
    </xf>
    <xf numFmtId="0" fontId="0" fillId="3" borderId="0" xfId="0" applyFill="1" applyAlignment="1">
      <alignment horizontal="left" vertical="center"/>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4" borderId="8" xfId="0" applyNumberFormat="1" applyFont="1" applyFill="1" applyBorder="1" applyAlignment="1" applyProtection="1">
      <alignment horizontal="left" vertical="center"/>
      <protection locked="0"/>
    </xf>
    <xf numFmtId="0" fontId="4" fillId="4" borderId="8" xfId="0" applyFont="1" applyFill="1" applyBorder="1" applyAlignment="1" applyProtection="1">
      <alignment vertical="center"/>
    </xf>
    <xf numFmtId="37" fontId="4" fillId="4" borderId="11" xfId="0" applyNumberFormat="1" applyFont="1" applyFill="1" applyBorder="1" applyAlignment="1" applyProtection="1">
      <alignment horizontal="left" vertical="center"/>
      <protection locked="0"/>
    </xf>
    <xf numFmtId="0" fontId="4" fillId="4" borderId="11" xfId="0" applyFont="1" applyFill="1" applyBorder="1" applyAlignment="1" applyProtection="1">
      <alignment vertical="center"/>
    </xf>
    <xf numFmtId="0" fontId="12" fillId="3" borderId="0" xfId="0" applyFont="1" applyFill="1" applyAlignment="1" applyProtection="1">
      <alignment vertical="center"/>
    </xf>
    <xf numFmtId="37" fontId="4" fillId="3" borderId="0" xfId="0" applyNumberFormat="1" applyFont="1" applyFill="1" applyBorder="1" applyAlignment="1" applyProtection="1">
      <alignment horizontal="left" vertical="center"/>
      <protection locked="0"/>
    </xf>
    <xf numFmtId="37" fontId="4" fillId="3" borderId="0" xfId="0" applyNumberFormat="1" applyFont="1" applyFill="1" applyAlignment="1" applyProtection="1">
      <alignment horizontal="left" vertical="center"/>
    </xf>
    <xf numFmtId="0" fontId="3" fillId="4" borderId="1" xfId="0" applyFont="1" applyFill="1" applyBorder="1" applyAlignment="1" applyProtection="1">
      <alignment horizontal="center"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9" borderId="0" xfId="0" applyFont="1" applyFill="1" applyAlignment="1" applyProtection="1">
      <alignment vertical="center"/>
    </xf>
    <xf numFmtId="0" fontId="4" fillId="9" borderId="0" xfId="0" applyFont="1" applyFill="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0" fontId="4" fillId="3" borderId="8" xfId="0" applyFont="1" applyFill="1" applyBorder="1" applyAlignment="1" applyProtection="1">
      <alignment vertical="center"/>
    </xf>
    <xf numFmtId="0" fontId="4" fillId="7" borderId="3" xfId="0" applyNumberFormat="1" applyFont="1" applyFill="1" applyBorder="1" applyAlignment="1" applyProtection="1">
      <alignment horizontal="center" vertical="center"/>
    </xf>
    <xf numFmtId="0" fontId="4" fillId="7" borderId="4" xfId="0" applyNumberFormat="1" applyFont="1" applyFill="1" applyBorder="1" applyAlignment="1" applyProtection="1">
      <alignment horizontal="center" vertical="center"/>
    </xf>
    <xf numFmtId="37" fontId="4" fillId="3" borderId="0" xfId="0" applyNumberFormat="1" applyFont="1" applyFill="1" applyAlignment="1" applyProtection="1">
      <alignment horizontal="center" vertical="center"/>
    </xf>
    <xf numFmtId="37" fontId="4" fillId="7" borderId="7"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8" xfId="0" applyNumberFormat="1" applyFont="1" applyFill="1" applyBorder="1" applyAlignment="1" applyProtection="1">
      <alignment horizontal="left" vertical="center"/>
    </xf>
    <xf numFmtId="37" fontId="4" fillId="3" borderId="11" xfId="0" applyNumberFormat="1" applyFont="1" applyFill="1" applyBorder="1" applyAlignment="1" applyProtection="1">
      <alignment vertical="center"/>
    </xf>
    <xf numFmtId="37" fontId="4" fillId="5" borderId="1"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4" fillId="4" borderId="1" xfId="0" applyNumberFormat="1" applyFont="1" applyFill="1" applyBorder="1" applyAlignment="1" applyProtection="1">
      <alignment vertical="center"/>
      <protection locked="0"/>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8" xfId="0" applyNumberFormat="1" applyFont="1" applyFill="1" applyBorder="1" applyAlignment="1" applyProtection="1">
      <alignment vertical="center"/>
      <protection locked="0"/>
    </xf>
    <xf numFmtId="3" fontId="4" fillId="5" borderId="1" xfId="0" applyNumberFormat="1" applyFont="1" applyFill="1" applyBorder="1" applyAlignment="1" applyProtection="1">
      <alignment vertical="center"/>
    </xf>
    <xf numFmtId="164" fontId="4" fillId="3" borderId="0"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9" borderId="0" xfId="0" applyNumberFormat="1" applyFont="1" applyFill="1" applyAlignment="1" applyProtection="1">
      <alignment horizontal="center" vertical="center"/>
    </xf>
    <xf numFmtId="0" fontId="4" fillId="9" borderId="8" xfId="0" applyFont="1" applyFill="1" applyBorder="1" applyAlignment="1">
      <alignment horizontal="center" vertical="center"/>
    </xf>
    <xf numFmtId="37" fontId="4" fillId="3" borderId="1" xfId="0" applyNumberFormat="1" applyFont="1" applyFill="1" applyBorder="1" applyAlignment="1" applyProtection="1">
      <alignment vertical="center"/>
    </xf>
    <xf numFmtId="0" fontId="4" fillId="3" borderId="12" xfId="0" applyFont="1" applyFill="1" applyBorder="1" applyAlignment="1" applyProtection="1">
      <alignment vertical="center"/>
    </xf>
    <xf numFmtId="164" fontId="4" fillId="5" borderId="1" xfId="0" applyNumberFormat="1" applyFont="1" applyFill="1" applyBorder="1" applyAlignment="1" applyProtection="1">
      <alignment vertical="center"/>
    </xf>
    <xf numFmtId="37" fontId="4" fillId="7" borderId="8" xfId="0" applyNumberFormat="1" applyFont="1" applyFill="1" applyBorder="1" applyAlignment="1" applyProtection="1">
      <alignment horizontal="left" vertical="center"/>
    </xf>
    <xf numFmtId="0" fontId="4" fillId="7" borderId="8" xfId="0" applyFont="1" applyFill="1" applyBorder="1" applyAlignment="1" applyProtection="1">
      <alignment vertical="center"/>
    </xf>
    <xf numFmtId="37" fontId="4" fillId="7" borderId="11" xfId="0" applyNumberFormat="1" applyFont="1" applyFill="1" applyBorder="1" applyAlignment="1" applyProtection="1">
      <alignment horizontal="left" vertical="center"/>
    </xf>
    <xf numFmtId="0" fontId="4" fillId="7" borderId="11" xfId="0" applyFont="1" applyFill="1" applyBorder="1" applyAlignment="1" applyProtection="1">
      <alignment vertical="center"/>
    </xf>
    <xf numFmtId="0" fontId="4" fillId="3" borderId="11" xfId="0" applyFont="1" applyFill="1" applyBorder="1" applyAlignment="1" applyProtection="1">
      <alignment vertical="center"/>
    </xf>
    <xf numFmtId="0" fontId="4" fillId="3" borderId="10" xfId="0" applyFont="1" applyFill="1" applyBorder="1" applyAlignment="1" applyProtection="1">
      <alignment vertical="center"/>
    </xf>
    <xf numFmtId="37" fontId="12" fillId="9"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center" vertical="center"/>
      <protection locked="0"/>
    </xf>
    <xf numFmtId="0" fontId="4" fillId="9" borderId="8" xfId="0" applyFont="1" applyFill="1" applyBorder="1" applyAlignment="1" applyProtection="1">
      <alignment vertical="center"/>
    </xf>
    <xf numFmtId="0" fontId="4" fillId="3" borderId="12" xfId="0" applyFont="1" applyFill="1" applyBorder="1" applyAlignment="1" applyProtection="1">
      <alignment vertical="center"/>
      <protection locked="0"/>
    </xf>
    <xf numFmtId="0" fontId="4" fillId="9" borderId="11" xfId="0" applyFont="1" applyFill="1" applyBorder="1" applyAlignment="1" applyProtection="1">
      <alignment vertical="center"/>
    </xf>
    <xf numFmtId="0" fontId="4" fillId="3" borderId="10" xfId="0" applyFont="1" applyFill="1" applyBorder="1" applyAlignment="1" applyProtection="1">
      <alignment vertical="center"/>
      <protection locked="0"/>
    </xf>
    <xf numFmtId="0" fontId="0" fillId="0" borderId="0" xfId="0" applyAlignment="1">
      <alignment vertical="center"/>
    </xf>
    <xf numFmtId="37" fontId="4" fillId="3" borderId="0" xfId="0" applyNumberFormat="1" applyFont="1" applyFill="1" applyAlignment="1">
      <alignment vertical="center"/>
    </xf>
    <xf numFmtId="0" fontId="4" fillId="3" borderId="0" xfId="0" applyFont="1" applyFill="1" applyAlignment="1">
      <alignment vertical="center"/>
    </xf>
    <xf numFmtId="37" fontId="4" fillId="3" borderId="12" xfId="0" applyNumberFormat="1" applyFont="1" applyFill="1" applyBorder="1" applyAlignment="1" applyProtection="1">
      <alignment horizontal="left" vertical="center"/>
    </xf>
    <xf numFmtId="37" fontId="4" fillId="3" borderId="11" xfId="0" applyNumberFormat="1" applyFont="1" applyFill="1" applyBorder="1" applyAlignment="1" applyProtection="1">
      <alignment horizontal="left" vertical="center"/>
    </xf>
    <xf numFmtId="3" fontId="4" fillId="4" borderId="11"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4" fillId="3" borderId="7" xfId="0" applyNumberFormat="1" applyFont="1" applyFill="1" applyBorder="1" applyAlignment="1" applyProtection="1">
      <alignment horizontal="center" vertical="center" wrapText="1"/>
    </xf>
    <xf numFmtId="37" fontId="4" fillId="4" borderId="1" xfId="0" applyNumberFormat="1" applyFont="1" applyFill="1" applyBorder="1" applyAlignment="1" applyProtection="1">
      <alignment horizontal="right" vertical="center" wrapText="1"/>
      <protection locked="0"/>
    </xf>
    <xf numFmtId="37" fontId="4" fillId="5" borderId="1" xfId="0" applyNumberFormat="1" applyFont="1" applyFill="1" applyBorder="1" applyAlignment="1" applyProtection="1">
      <alignment horizontal="right" vertical="center" wrapText="1"/>
    </xf>
    <xf numFmtId="37" fontId="4" fillId="3" borderId="0" xfId="0" applyNumberFormat="1"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xf>
    <xf numFmtId="170" fontId="4" fillId="4" borderId="8" xfId="0" applyNumberFormat="1" applyFont="1" applyFill="1" applyBorder="1" applyAlignment="1" applyProtection="1">
      <alignment vertical="center"/>
      <protection locked="0"/>
    </xf>
    <xf numFmtId="170" fontId="4" fillId="4" borderId="11" xfId="0" applyNumberFormat="1" applyFont="1" applyFill="1" applyBorder="1" applyAlignment="1" applyProtection="1">
      <alignment vertical="center"/>
      <protection locked="0"/>
    </xf>
    <xf numFmtId="0" fontId="0" fillId="3" borderId="0" xfId="0" applyFill="1" applyAlignment="1" applyProtection="1">
      <alignment vertical="center"/>
    </xf>
    <xf numFmtId="3" fontId="0" fillId="3" borderId="0" xfId="0" applyNumberFormat="1" applyFill="1" applyBorder="1" applyAlignment="1" applyProtection="1">
      <alignment vertical="center"/>
      <protection locked="0"/>
    </xf>
    <xf numFmtId="3" fontId="4" fillId="9" borderId="0" xfId="0" applyNumberFormat="1" applyFont="1" applyFill="1" applyAlignment="1" applyProtection="1">
      <alignment vertical="center"/>
    </xf>
    <xf numFmtId="3" fontId="4" fillId="7"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0" fontId="4" fillId="3" borderId="4" xfId="0" applyFont="1" applyFill="1" applyBorder="1" applyAlignment="1" applyProtection="1">
      <alignment vertical="center"/>
    </xf>
    <xf numFmtId="37" fontId="4" fillId="3" borderId="2" xfId="0" applyNumberFormat="1" applyFont="1" applyFill="1" applyBorder="1" applyAlignment="1">
      <alignment horizontal="left" vertical="center"/>
    </xf>
    <xf numFmtId="37" fontId="4" fillId="3" borderId="2" xfId="0" applyNumberFormat="1" applyFont="1" applyFill="1" applyBorder="1" applyAlignment="1" applyProtection="1">
      <alignment horizontal="left" vertical="center"/>
    </xf>
    <xf numFmtId="3" fontId="4" fillId="4" borderId="10"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xf>
    <xf numFmtId="3" fontId="4" fillId="3" borderId="8"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3" fontId="4" fillId="3" borderId="10" xfId="0" applyNumberFormat="1" applyFont="1" applyFill="1" applyBorder="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lignment horizontal="center" vertical="center"/>
    </xf>
    <xf numFmtId="37" fontId="4" fillId="8" borderId="0" xfId="0" applyNumberFormat="1" applyFont="1" applyFill="1" applyBorder="1" applyAlignment="1" applyProtection="1">
      <alignment horizontal="left" vertical="center"/>
    </xf>
    <xf numFmtId="0" fontId="4" fillId="8" borderId="0" xfId="0" applyFont="1" applyFill="1" applyAlignment="1" applyProtection="1">
      <alignment vertical="center"/>
    </xf>
    <xf numFmtId="0" fontId="0" fillId="8" borderId="0" xfId="0" applyFill="1" applyAlignment="1">
      <alignment vertical="center"/>
    </xf>
    <xf numFmtId="0" fontId="3" fillId="9" borderId="14" xfId="0" applyFont="1" applyFill="1" applyBorder="1" applyAlignment="1">
      <alignment vertical="center"/>
    </xf>
    <xf numFmtId="0" fontId="1" fillId="9" borderId="14" xfId="0" applyFont="1" applyFill="1" applyBorder="1" applyAlignment="1">
      <alignment vertical="center"/>
    </xf>
    <xf numFmtId="0" fontId="0" fillId="9" borderId="14" xfId="0" applyFill="1" applyBorder="1" applyAlignment="1" applyProtection="1">
      <alignment vertical="center"/>
      <protection locked="0"/>
    </xf>
    <xf numFmtId="0" fontId="0" fillId="10" borderId="14"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0" fontId="0" fillId="3" borderId="12" xfId="0" applyFill="1" applyBorder="1" applyAlignment="1">
      <alignment vertical="center"/>
    </xf>
    <xf numFmtId="3" fontId="4" fillId="4" borderId="7" xfId="0" applyNumberFormat="1" applyFont="1" applyFill="1" applyBorder="1" applyAlignment="1" applyProtection="1">
      <alignment vertical="center"/>
      <protection locked="0"/>
    </xf>
    <xf numFmtId="0" fontId="4" fillId="3" borderId="11" xfId="0" applyFont="1" applyFill="1" applyBorder="1" applyAlignment="1">
      <alignment vertical="center"/>
    </xf>
    <xf numFmtId="0" fontId="0" fillId="3" borderId="11" xfId="0" applyFill="1" applyBorder="1" applyAlignment="1">
      <alignment vertical="center"/>
    </xf>
    <xf numFmtId="0" fontId="0" fillId="3" borderId="10" xfId="0" applyFill="1" applyBorder="1" applyAlignment="1">
      <alignment vertical="center"/>
    </xf>
    <xf numFmtId="0" fontId="4" fillId="7" borderId="3" xfId="0" applyFont="1" applyFill="1" applyBorder="1" applyAlignment="1">
      <alignment horizontal="center" vertical="center"/>
    </xf>
    <xf numFmtId="0" fontId="4" fillId="7" borderId="6" xfId="0" applyFont="1" applyFill="1" applyBorder="1" applyAlignment="1">
      <alignment horizontal="center" vertical="center"/>
    </xf>
    <xf numFmtId="0" fontId="15" fillId="3" borderId="0" xfId="0" applyFont="1" applyFill="1" applyAlignment="1">
      <alignment vertical="center"/>
    </xf>
    <xf numFmtId="0" fontId="19" fillId="3" borderId="0" xfId="0" applyFont="1" applyFill="1" applyAlignment="1">
      <alignment vertical="center"/>
    </xf>
    <xf numFmtId="0" fontId="4" fillId="7" borderId="7" xfId="0" applyFont="1" applyFill="1" applyBorder="1" applyAlignment="1">
      <alignment horizontal="center" vertical="center"/>
    </xf>
    <xf numFmtId="0" fontId="15" fillId="0" borderId="0" xfId="0" applyFont="1" applyFill="1" applyAlignment="1">
      <alignment vertical="center"/>
    </xf>
    <xf numFmtId="37" fontId="4" fillId="3" borderId="7" xfId="0" applyNumberFormat="1" applyFont="1" applyFill="1" applyBorder="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Continuous" vertical="center"/>
    </xf>
    <xf numFmtId="37" fontId="4" fillId="3" borderId="2" xfId="0" applyNumberFormat="1" applyFont="1" applyFill="1" applyBorder="1" applyAlignment="1" applyProtection="1">
      <alignment horizontal="centerContinuous" vertical="center"/>
    </xf>
    <xf numFmtId="0" fontId="4" fillId="3" borderId="11" xfId="0" applyFont="1" applyFill="1" applyBorder="1" applyAlignment="1" applyProtection="1">
      <alignment horizontal="centerContinuous" vertical="center"/>
    </xf>
    <xf numFmtId="0" fontId="4" fillId="3" borderId="10" xfId="0" applyFont="1" applyFill="1" applyBorder="1" applyAlignment="1" applyProtection="1">
      <alignment horizontal="centerContinuous" vertical="center"/>
    </xf>
    <xf numFmtId="37" fontId="4" fillId="3" borderId="8"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center" vertical="center"/>
    </xf>
    <xf numFmtId="0" fontId="4" fillId="3" borderId="6" xfId="0" applyFont="1" applyFill="1" applyBorder="1" applyAlignment="1">
      <alignment horizontal="center" vertical="center"/>
    </xf>
    <xf numFmtId="37" fontId="3" fillId="3" borderId="8"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center" vertical="center"/>
    </xf>
    <xf numFmtId="0" fontId="4" fillId="3" borderId="7" xfId="0" applyFont="1" applyFill="1" applyBorder="1" applyAlignment="1">
      <alignment horizontal="center"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6" xfId="0" applyFont="1" applyFill="1" applyBorder="1" applyAlignment="1" applyProtection="1">
      <alignment vertical="center"/>
    </xf>
    <xf numFmtId="37" fontId="12" fillId="3" borderId="2" xfId="0" applyNumberFormat="1" applyFont="1" applyFill="1" applyBorder="1" applyAlignment="1" applyProtection="1">
      <alignment horizontal="left" vertical="center"/>
    </xf>
    <xf numFmtId="37" fontId="12" fillId="3" borderId="10"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vertical="center"/>
    </xf>
    <xf numFmtId="37" fontId="4" fillId="5" borderId="1" xfId="0" applyNumberFormat="1" applyFont="1" applyFill="1" applyBorder="1" applyAlignment="1" applyProtection="1">
      <alignment horizontal="center" vertical="center"/>
    </xf>
    <xf numFmtId="37" fontId="4" fillId="3" borderId="2" xfId="0" applyNumberFormat="1" applyFont="1" applyFill="1" applyBorder="1" applyAlignment="1" applyProtection="1">
      <alignment vertical="center"/>
    </xf>
    <xf numFmtId="0" fontId="4" fillId="3" borderId="10" xfId="0" applyFont="1" applyFill="1" applyBorder="1" applyAlignment="1" applyProtection="1">
      <alignment horizontal="center" vertical="center"/>
    </xf>
    <xf numFmtId="37" fontId="4" fillId="3" borderId="10" xfId="0" applyNumberFormat="1"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37" fontId="4" fillId="11" borderId="1" xfId="0" applyNumberFormat="1" applyFont="1" applyFill="1" applyBorder="1" applyAlignment="1" applyProtection="1">
      <alignment horizontal="left" vertical="center"/>
    </xf>
    <xf numFmtId="0" fontId="4" fillId="11" borderId="1" xfId="0" applyFont="1" applyFill="1" applyBorder="1" applyAlignment="1" applyProtection="1">
      <alignment vertical="center"/>
    </xf>
    <xf numFmtId="37" fontId="4" fillId="11" borderId="1" xfId="0" applyNumberFormat="1" applyFont="1" applyFill="1" applyBorder="1" applyAlignment="1" applyProtection="1">
      <alignment vertical="center"/>
    </xf>
    <xf numFmtId="37" fontId="5" fillId="3" borderId="6"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37" fontId="4" fillId="3" borderId="0" xfId="0" applyNumberFormat="1" applyFont="1" applyFill="1" applyAlignment="1" applyProtection="1">
      <alignment horizontal="right" vertical="center"/>
    </xf>
    <xf numFmtId="0" fontId="4" fillId="4" borderId="8"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8" xfId="0" applyNumberFormat="1" applyFont="1" applyFill="1" applyBorder="1" applyAlignment="1">
      <alignment vertical="center"/>
    </xf>
    <xf numFmtId="3" fontId="4" fillId="3" borderId="11" xfId="0" applyNumberFormat="1" applyFont="1" applyFill="1" applyBorder="1" applyAlignment="1" applyProtection="1">
      <alignment horizontal="right" vertical="center"/>
    </xf>
    <xf numFmtId="0" fontId="3" fillId="3" borderId="0" xfId="0" applyFont="1" applyFill="1" applyAlignment="1">
      <alignment vertical="center"/>
    </xf>
    <xf numFmtId="3" fontId="4" fillId="3" borderId="11" xfId="0" applyNumberFormat="1" applyFont="1" applyFill="1" applyBorder="1" applyAlignment="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11" xfId="0" applyNumberFormat="1" applyFont="1" applyFill="1" applyBorder="1" applyAlignment="1" applyProtection="1">
      <alignment vertical="center"/>
    </xf>
    <xf numFmtId="3" fontId="4" fillId="3" borderId="13" xfId="0" applyNumberFormat="1" applyFont="1" applyFill="1" applyBorder="1" applyAlignment="1">
      <alignment vertical="center"/>
    </xf>
    <xf numFmtId="0" fontId="4" fillId="3" borderId="13" xfId="0" applyFont="1" applyFill="1" applyBorder="1" applyAlignment="1">
      <alignment vertical="center"/>
    </xf>
    <xf numFmtId="0" fontId="4" fillId="3" borderId="0" xfId="0" applyFont="1" applyFill="1" applyBorder="1" applyAlignment="1">
      <alignment vertical="center"/>
    </xf>
    <xf numFmtId="167" fontId="4" fillId="3" borderId="8"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6" xfId="0" applyNumberFormat="1" applyFont="1" applyFill="1" applyBorder="1" applyAlignment="1">
      <alignment vertical="center"/>
    </xf>
    <xf numFmtId="3" fontId="4" fillId="3" borderId="8" xfId="1" applyNumberFormat="1" applyFont="1" applyFill="1" applyBorder="1" applyAlignment="1" applyProtection="1">
      <alignment vertical="center"/>
    </xf>
    <xf numFmtId="0" fontId="6" fillId="0" borderId="0" xfId="0" applyFont="1" applyAlignment="1">
      <alignment vertical="center"/>
    </xf>
    <xf numFmtId="37" fontId="4" fillId="3" borderId="0" xfId="0" applyNumberFormat="1" applyFont="1" applyFill="1" applyAlignment="1" applyProtection="1">
      <alignment vertical="center"/>
    </xf>
    <xf numFmtId="0" fontId="4" fillId="3" borderId="8"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3" fontId="4" fillId="5" borderId="17" xfId="0" applyNumberFormat="1"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8"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165" fontId="4" fillId="5" borderId="8" xfId="0" applyNumberFormat="1" applyFont="1" applyFill="1" applyBorder="1" applyAlignment="1" applyProtection="1">
      <alignment vertical="center"/>
    </xf>
    <xf numFmtId="0" fontId="4" fillId="0" borderId="0" xfId="0" applyFont="1" applyAlignment="1" applyProtection="1">
      <alignment horizontal="center" vertical="center"/>
      <protection locked="0"/>
    </xf>
    <xf numFmtId="0" fontId="3" fillId="3" borderId="8"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xf>
    <xf numFmtId="1" fontId="4" fillId="3" borderId="7" xfId="0" applyNumberFormat="1" applyFont="1" applyFill="1" applyBorder="1" applyAlignment="1" applyProtection="1">
      <alignment horizontal="center" vertical="center"/>
    </xf>
    <xf numFmtId="0" fontId="4" fillId="4" borderId="7" xfId="0" applyFont="1" applyFill="1" applyBorder="1" applyAlignment="1" applyProtection="1">
      <alignment vertical="center"/>
      <protection locked="0"/>
    </xf>
    <xf numFmtId="0" fontId="4" fillId="4" borderId="7" xfId="0" applyFont="1" applyFill="1" applyBorder="1" applyAlignment="1" applyProtection="1">
      <alignment horizontal="center" vertical="center"/>
      <protection locked="0"/>
    </xf>
    <xf numFmtId="0" fontId="4" fillId="4" borderId="1" xfId="0" applyFont="1" applyFill="1" applyBorder="1" applyAlignment="1" applyProtection="1">
      <alignment vertical="center"/>
      <protection locked="0"/>
    </xf>
    <xf numFmtId="0" fontId="3" fillId="3" borderId="1" xfId="0" applyFont="1" applyFill="1" applyBorder="1" applyAlignment="1" applyProtection="1">
      <alignment horizontal="center" vertical="center"/>
    </xf>
    <xf numFmtId="3" fontId="4" fillId="5"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4" borderId="1" xfId="0" applyFont="1" applyFill="1" applyBorder="1" applyAlignment="1" applyProtection="1">
      <alignment horizontal="center" vertical="center"/>
      <protection locked="0"/>
    </xf>
    <xf numFmtId="0" fontId="4" fillId="3" borderId="0" xfId="0" applyNumberFormat="1" applyFont="1" applyFill="1" applyAlignment="1" applyProtection="1">
      <alignment horizontal="right" vertical="center"/>
    </xf>
    <xf numFmtId="0" fontId="3" fillId="3" borderId="0" xfId="322" applyFont="1" applyFill="1" applyAlignment="1" applyProtection="1">
      <alignment horizontal="centerContinuous" vertical="center"/>
    </xf>
    <xf numFmtId="0" fontId="4" fillId="3" borderId="8" xfId="0" applyFont="1" applyFill="1" applyBorder="1" applyAlignment="1" applyProtection="1">
      <alignment horizontal="fill" vertical="center"/>
    </xf>
    <xf numFmtId="0" fontId="4"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14" fontId="4" fillId="3" borderId="7" xfId="0" quotePrefix="1"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 fontId="3" fillId="5" borderId="17" xfId="0" applyNumberFormat="1" applyFont="1" applyFill="1" applyBorder="1" applyAlignment="1" applyProtection="1">
      <alignment horizontal="center" vertical="center"/>
    </xf>
    <xf numFmtId="0" fontId="4" fillId="8" borderId="0" xfId="321" applyFont="1" applyFill="1" applyAlignment="1" applyProtection="1">
      <alignment vertical="center"/>
    </xf>
    <xf numFmtId="0" fontId="4" fillId="0" borderId="0" xfId="0" applyFont="1" applyAlignment="1">
      <alignment horizontal="centerContinuous" vertical="center"/>
    </xf>
    <xf numFmtId="37" fontId="4" fillId="3" borderId="0" xfId="0" applyNumberFormat="1" applyFont="1" applyFill="1" applyBorder="1" applyAlignment="1" applyProtection="1">
      <alignment horizontal="fill" vertical="center"/>
    </xf>
    <xf numFmtId="1" fontId="4" fillId="3" borderId="2" xfId="0" applyNumberFormat="1" applyFont="1" applyFill="1" applyBorder="1" applyAlignment="1" applyProtection="1">
      <alignment horizontal="centerContinuous" vertical="center"/>
    </xf>
    <xf numFmtId="1" fontId="4" fillId="3" borderId="3"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8" xfId="0" applyNumberFormat="1" applyFont="1" applyFill="1" applyBorder="1" applyAlignment="1" applyProtection="1">
      <alignment horizontal="center" vertical="center"/>
    </xf>
    <xf numFmtId="0" fontId="4" fillId="4" borderId="0" xfId="0" applyFont="1" applyFill="1" applyAlignment="1" applyProtection="1">
      <alignment horizontal="left" vertical="center"/>
      <protection locked="0"/>
    </xf>
    <xf numFmtId="0" fontId="4" fillId="3" borderId="3"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4"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3" fontId="4" fillId="4" borderId="3" xfId="0" applyNumberFormat="1" applyFont="1" applyFill="1" applyBorder="1" applyAlignment="1" applyProtection="1">
      <alignment horizontal="center" vertical="center"/>
      <protection locked="0"/>
    </xf>
    <xf numFmtId="3" fontId="4" fillId="3" borderId="17" xfId="0" applyNumberFormat="1" applyFont="1" applyFill="1" applyBorder="1" applyAlignment="1" applyProtection="1">
      <alignment horizontal="center" vertical="center"/>
    </xf>
    <xf numFmtId="172" fontId="4" fillId="3" borderId="17" xfId="0" applyNumberFormat="1" applyFont="1" applyFill="1" applyBorder="1" applyAlignment="1" applyProtection="1">
      <alignment horizontal="center" vertical="center"/>
    </xf>
    <xf numFmtId="172" fontId="4" fillId="3" borderId="8"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8" xfId="0" applyNumberFormat="1" applyFont="1" applyFill="1" applyBorder="1" applyAlignment="1">
      <alignment horizontal="center" vertical="center"/>
    </xf>
    <xf numFmtId="0" fontId="0" fillId="3" borderId="0" xfId="0" applyFill="1" applyAlignment="1">
      <alignment horizontal="center" vertical="center"/>
    </xf>
    <xf numFmtId="172" fontId="4" fillId="3" borderId="8" xfId="0" applyNumberFormat="1" applyFont="1" applyFill="1" applyBorder="1" applyAlignment="1">
      <alignment horizontal="center" vertical="center"/>
    </xf>
    <xf numFmtId="170" fontId="4" fillId="3" borderId="0" xfId="0" applyNumberFormat="1" applyFont="1" applyFill="1" applyBorder="1" applyAlignment="1" applyProtection="1">
      <alignment vertical="center"/>
    </xf>
    <xf numFmtId="0" fontId="0"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3" borderId="0" xfId="0" applyFont="1" applyFill="1" applyAlignment="1">
      <alignment horizontal="center" vertical="center"/>
    </xf>
    <xf numFmtId="0" fontId="4" fillId="3" borderId="10" xfId="0" applyFont="1" applyFill="1" applyBorder="1" applyAlignment="1">
      <alignment horizontal="center" vertical="center"/>
    </xf>
    <xf numFmtId="0" fontId="11" fillId="3" borderId="3" xfId="0" applyFont="1" applyFill="1" applyBorder="1" applyAlignment="1">
      <alignment vertical="center"/>
    </xf>
    <xf numFmtId="0" fontId="11" fillId="3" borderId="10" xfId="0" applyFont="1" applyFill="1" applyBorder="1" applyAlignment="1">
      <alignment horizontal="center" vertical="center"/>
    </xf>
    <xf numFmtId="0" fontId="11" fillId="3" borderId="4" xfId="0" applyFont="1" applyFill="1" applyBorder="1" applyAlignment="1">
      <alignment vertical="center"/>
    </xf>
    <xf numFmtId="0" fontId="11" fillId="3" borderId="1" xfId="0" applyFont="1" applyFill="1" applyBorder="1" applyAlignment="1">
      <alignment horizontal="center" vertical="center"/>
    </xf>
    <xf numFmtId="0" fontId="4" fillId="3" borderId="10" xfId="0" applyFont="1" applyFill="1" applyBorder="1" applyAlignment="1">
      <alignment vertical="center"/>
    </xf>
    <xf numFmtId="0" fontId="4" fillId="3" borderId="1" xfId="0" applyFont="1" applyFill="1" applyBorder="1" applyAlignment="1">
      <alignment horizontal="center" vertical="center"/>
    </xf>
    <xf numFmtId="0" fontId="11" fillId="3" borderId="9" xfId="0" applyFont="1" applyFill="1" applyBorder="1" applyAlignment="1">
      <alignment vertical="center"/>
    </xf>
    <xf numFmtId="3" fontId="11" fillId="4" borderId="1" xfId="0" applyNumberFormat="1" applyFont="1" applyFill="1" applyBorder="1" applyAlignment="1" applyProtection="1">
      <alignment horizontal="center" vertical="center"/>
      <protection locked="0"/>
    </xf>
    <xf numFmtId="0" fontId="11" fillId="3" borderId="8" xfId="0" applyFont="1" applyFill="1" applyBorder="1" applyAlignment="1">
      <alignment vertical="center"/>
    </xf>
    <xf numFmtId="3" fontId="11" fillId="5"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4" borderId="1" xfId="0" applyFont="1" applyFill="1" applyBorder="1" applyAlignment="1" applyProtection="1">
      <alignment vertical="center"/>
      <protection locked="0"/>
    </xf>
    <xf numFmtId="3" fontId="11" fillId="4" borderId="4" xfId="0" applyNumberFormat="1" applyFont="1" applyFill="1" applyBorder="1" applyAlignment="1" applyProtection="1">
      <alignment vertical="center"/>
      <protection locked="0"/>
    </xf>
    <xf numFmtId="0" fontId="11" fillId="4" borderId="4" xfId="0" applyFont="1" applyFill="1" applyBorder="1" applyAlignment="1" applyProtection="1">
      <alignment vertical="center"/>
      <protection locked="0"/>
    </xf>
    <xf numFmtId="0" fontId="11" fillId="4" borderId="0" xfId="0" applyFont="1" applyFill="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7" xfId="0" applyFont="1" applyFill="1" applyBorder="1" applyAlignment="1" applyProtection="1">
      <alignment vertical="center"/>
      <protection locked="0"/>
    </xf>
    <xf numFmtId="0" fontId="11" fillId="4" borderId="15" xfId="0" applyFont="1" applyFill="1" applyBorder="1" applyAlignment="1" applyProtection="1">
      <alignment vertical="center"/>
      <protection locked="0"/>
    </xf>
    <xf numFmtId="3" fontId="17" fillId="11" borderId="1" xfId="0" applyNumberFormat="1" applyFont="1" applyFill="1" applyBorder="1" applyAlignment="1">
      <alignment horizontal="center" vertical="center"/>
    </xf>
    <xf numFmtId="3" fontId="27" fillId="11" borderId="0" xfId="0" applyNumberFormat="1" applyFont="1" applyFill="1" applyAlignment="1">
      <alignment horizontal="center" vertical="center"/>
    </xf>
    <xf numFmtId="3" fontId="4" fillId="0" borderId="0" xfId="0" applyNumberFormat="1" applyFont="1" applyAlignment="1">
      <alignment vertical="center"/>
    </xf>
    <xf numFmtId="1" fontId="4" fillId="3" borderId="0" xfId="0" applyNumberFormat="1" applyFont="1" applyFill="1" applyBorder="1" applyAlignment="1" applyProtection="1">
      <alignment horizontal="right" vertical="center"/>
    </xf>
    <xf numFmtId="0" fontId="3" fillId="3" borderId="0" xfId="0" applyFont="1" applyFill="1" applyAlignment="1" applyProtection="1">
      <alignment vertical="center"/>
    </xf>
    <xf numFmtId="166" fontId="4" fillId="3" borderId="8" xfId="0" applyNumberFormat="1" applyFont="1" applyFill="1" applyBorder="1" applyAlignment="1" applyProtection="1">
      <alignment vertical="center"/>
    </xf>
    <xf numFmtId="37" fontId="4" fillId="3" borderId="8" xfId="0" quotePrefix="1" applyNumberFormat="1" applyFont="1" applyFill="1" applyBorder="1" applyAlignment="1" applyProtection="1">
      <alignment horizontal="right" vertical="center"/>
    </xf>
    <xf numFmtId="3" fontId="4" fillId="2" borderId="10" xfId="0" applyNumberFormat="1" applyFont="1" applyFill="1" applyBorder="1" applyAlignment="1" applyProtection="1">
      <alignment vertical="center"/>
      <protection locked="0"/>
    </xf>
    <xf numFmtId="3" fontId="4" fillId="3" borderId="1" xfId="0" applyNumberFormat="1" applyFont="1" applyFill="1" applyBorder="1" applyAlignment="1" applyProtection="1">
      <alignment vertical="center"/>
    </xf>
    <xf numFmtId="37" fontId="4" fillId="3" borderId="9" xfId="0" applyNumberFormat="1" applyFont="1" applyFill="1" applyBorder="1" applyAlignment="1" applyProtection="1">
      <alignment horizontal="left" vertical="center"/>
    </xf>
    <xf numFmtId="0" fontId="4" fillId="2" borderId="2" xfId="0" applyFont="1" applyFill="1" applyBorder="1" applyAlignment="1" applyProtection="1">
      <alignment vertical="center"/>
      <protection locked="0"/>
    </xf>
    <xf numFmtId="37" fontId="4" fillId="2" borderId="1" xfId="0" applyNumberFormat="1"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37" fontId="4" fillId="2" borderId="2" xfId="0" applyNumberFormat="1" applyFont="1" applyFill="1" applyBorder="1" applyAlignment="1" applyProtection="1">
      <alignment horizontal="left" vertical="center"/>
      <protection locked="0"/>
    </xf>
    <xf numFmtId="0" fontId="4" fillId="3" borderId="2" xfId="0" applyFont="1" applyFill="1" applyBorder="1" applyAlignment="1" applyProtection="1">
      <alignment vertical="center"/>
    </xf>
    <xf numFmtId="3" fontId="15" fillId="6"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37" fontId="3" fillId="5" borderId="1" xfId="0" applyNumberFormat="1" applyFont="1" applyFill="1" applyBorder="1" applyAlignment="1" applyProtection="1">
      <alignment vertical="center"/>
    </xf>
    <xf numFmtId="3" fontId="3" fillId="5" borderId="1" xfId="0" applyNumberFormat="1" applyFont="1" applyFill="1" applyBorder="1" applyAlignment="1" applyProtection="1">
      <alignment vertical="center"/>
    </xf>
    <xf numFmtId="3" fontId="4" fillId="3" borderId="0" xfId="0" applyNumberFormat="1" applyFont="1" applyFill="1" applyAlignment="1" applyProtection="1">
      <alignment horizontal="center" vertical="center"/>
    </xf>
    <xf numFmtId="0" fontId="13" fillId="3" borderId="0" xfId="0" applyFont="1" applyFill="1" applyAlignment="1" applyProtection="1">
      <alignment horizontal="center" vertical="center"/>
    </xf>
    <xf numFmtId="0" fontId="4" fillId="3" borderId="7" xfId="0" applyNumberFormat="1" applyFont="1" applyFill="1" applyBorder="1" applyAlignment="1" applyProtection="1">
      <alignment horizontal="center" vertical="center"/>
    </xf>
    <xf numFmtId="0" fontId="4" fillId="3" borderId="2"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2" borderId="2" xfId="0" applyFont="1" applyFill="1" applyBorder="1" applyAlignment="1" applyProtection="1">
      <alignment horizontal="left" vertical="center"/>
      <protection locked="0"/>
    </xf>
    <xf numFmtId="3" fontId="4" fillId="3" borderId="8" xfId="0" applyNumberFormat="1" applyFont="1" applyFill="1" applyBorder="1" applyAlignment="1" applyProtection="1">
      <alignment horizontal="fill" vertical="center"/>
    </xf>
    <xf numFmtId="3" fontId="4" fillId="3" borderId="1" xfId="0" applyNumberFormat="1" applyFont="1" applyFill="1" applyBorder="1" applyAlignment="1" applyProtection="1">
      <alignment horizontal="fill" vertical="center"/>
    </xf>
    <xf numFmtId="0" fontId="15" fillId="0" borderId="0" xfId="0" applyFont="1" applyAlignment="1" applyProtection="1">
      <alignment vertical="center"/>
    </xf>
    <xf numFmtId="37" fontId="3" fillId="5" borderId="2" xfId="0" applyNumberFormat="1" applyFont="1" applyFill="1" applyBorder="1" applyAlignment="1" applyProtection="1">
      <alignment horizontal="left" vertical="center"/>
    </xf>
    <xf numFmtId="3" fontId="4" fillId="11" borderId="17" xfId="0" applyNumberFormat="1" applyFont="1" applyFill="1" applyBorder="1" applyAlignment="1" applyProtection="1">
      <alignment vertical="center"/>
    </xf>
    <xf numFmtId="37" fontId="4" fillId="3" borderId="0" xfId="0" quotePrefix="1" applyNumberFormat="1" applyFont="1" applyFill="1" applyAlignment="1" applyProtection="1">
      <alignment horizontal="right" vertical="center"/>
    </xf>
    <xf numFmtId="3" fontId="4" fillId="3" borderId="1" xfId="1" applyNumberFormat="1" applyFont="1" applyFill="1" applyBorder="1" applyAlignment="1" applyProtection="1">
      <alignment horizontal="right" vertical="center"/>
    </xf>
    <xf numFmtId="3" fontId="4" fillId="2" borderId="1" xfId="0" applyNumberFormat="1" applyFont="1" applyFill="1" applyBorder="1" applyAlignment="1" applyProtection="1">
      <alignment horizontal="right" vertical="center"/>
      <protection locked="0"/>
    </xf>
    <xf numFmtId="3" fontId="4" fillId="3" borderId="1" xfId="0" applyNumberFormat="1" applyFont="1" applyFill="1" applyBorder="1" applyAlignment="1" applyProtection="1">
      <alignment horizontal="right" vertical="center"/>
    </xf>
    <xf numFmtId="0" fontId="4" fillId="3" borderId="2" xfId="0" applyNumberFormat="1" applyFont="1" applyFill="1" applyBorder="1" applyAlignment="1" applyProtection="1">
      <alignment horizontal="left" vertical="center"/>
    </xf>
    <xf numFmtId="0" fontId="4" fillId="2" borderId="2" xfId="0" applyNumberFormat="1" applyFont="1" applyFill="1" applyBorder="1" applyAlignment="1" applyProtection="1">
      <alignment horizontal="left" vertical="center"/>
      <protection locked="0"/>
    </xf>
    <xf numFmtId="0" fontId="4" fillId="2" borderId="5" xfId="0" applyNumberFormat="1" applyFont="1" applyFill="1" applyBorder="1" applyAlignment="1" applyProtection="1">
      <alignment horizontal="left" vertical="center"/>
      <protection locked="0"/>
    </xf>
    <xf numFmtId="3" fontId="15" fillId="6" borderId="1" xfId="0" applyNumberFormat="1" applyFont="1" applyFill="1" applyBorder="1" applyAlignment="1" applyProtection="1">
      <alignment horizontal="center" vertical="center"/>
    </xf>
    <xf numFmtId="3" fontId="3" fillId="5" borderId="7" xfId="0" applyNumberFormat="1" applyFont="1" applyFill="1" applyBorder="1" applyAlignment="1" applyProtection="1">
      <alignment horizontal="right" vertical="center"/>
    </xf>
    <xf numFmtId="3" fontId="3" fillId="5" borderId="1" xfId="0" applyNumberFormat="1" applyFont="1" applyFill="1" applyBorder="1" applyAlignment="1" applyProtection="1">
      <alignment horizontal="right" vertical="center"/>
    </xf>
    <xf numFmtId="3" fontId="4" fillId="5" borderId="1" xfId="0" applyNumberFormat="1" applyFont="1" applyFill="1" applyBorder="1" applyAlignment="1" applyProtection="1">
      <alignment horizontal="right" vertical="center"/>
    </xf>
    <xf numFmtId="0" fontId="4" fillId="3" borderId="0" xfId="0" applyFont="1" applyFill="1" applyBorder="1" applyAlignment="1" applyProtection="1">
      <alignment horizontal="fill" vertical="center"/>
    </xf>
    <xf numFmtId="37" fontId="4" fillId="3" borderId="1" xfId="0" applyNumberFormat="1" applyFont="1" applyFill="1" applyBorder="1" applyAlignment="1" applyProtection="1">
      <alignment horizontal="fill" vertical="center"/>
    </xf>
    <xf numFmtId="37" fontId="4" fillId="2" borderId="2" xfId="0" applyNumberFormat="1" applyFont="1" applyFill="1" applyBorder="1" applyAlignment="1" applyProtection="1">
      <alignment vertical="center"/>
      <protection locked="0"/>
    </xf>
    <xf numFmtId="0" fontId="3" fillId="3" borderId="2" xfId="0" applyFont="1" applyFill="1" applyBorder="1" applyAlignment="1" applyProtection="1">
      <alignment horizontal="left" vertical="center"/>
    </xf>
    <xf numFmtId="0" fontId="4" fillId="5" borderId="2" xfId="0" applyFont="1" applyFill="1" applyBorder="1" applyAlignment="1" applyProtection="1">
      <alignment horizontal="left" vertical="center"/>
      <protection locked="0"/>
    </xf>
    <xf numFmtId="0" fontId="4" fillId="5" borderId="2" xfId="0" applyFont="1" applyFill="1" applyBorder="1" applyAlignment="1" applyProtection="1">
      <alignment vertical="center"/>
    </xf>
    <xf numFmtId="0" fontId="4" fillId="3" borderId="0" xfId="0" applyFont="1" applyFill="1" applyAlignment="1" applyProtection="1">
      <alignment horizontal="fill" vertical="center"/>
    </xf>
    <xf numFmtId="0" fontId="4" fillId="3" borderId="1" xfId="0" applyFont="1" applyFill="1" applyBorder="1" applyAlignment="1" applyProtection="1">
      <alignment horizontal="left" vertical="center"/>
    </xf>
    <xf numFmtId="0" fontId="4" fillId="4"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37" fontId="3" fillId="11" borderId="17" xfId="0" applyNumberFormat="1" applyFont="1" applyFill="1" applyBorder="1" applyAlignment="1" applyProtection="1">
      <alignment vertical="center"/>
    </xf>
    <xf numFmtId="0" fontId="15" fillId="3" borderId="0" xfId="0" applyFont="1" applyFill="1" applyAlignment="1" applyProtection="1">
      <alignment vertical="center"/>
    </xf>
    <xf numFmtId="0" fontId="4" fillId="12" borderId="0" xfId="0" applyNumberFormat="1" applyFont="1" applyFill="1" applyBorder="1" applyAlignment="1" applyProtection="1">
      <alignment vertical="center"/>
    </xf>
    <xf numFmtId="37" fontId="4" fillId="12" borderId="0" xfId="0" applyNumberFormat="1" applyFont="1" applyFill="1" applyBorder="1" applyAlignment="1" applyProtection="1">
      <alignment vertical="center"/>
    </xf>
    <xf numFmtId="0" fontId="4" fillId="12" borderId="0" xfId="0" applyNumberFormat="1" applyFont="1" applyFill="1" applyBorder="1" applyAlignment="1" applyProtection="1">
      <alignment horizontal="left" vertical="center"/>
    </xf>
    <xf numFmtId="0" fontId="4" fillId="12" borderId="18" xfId="0" applyNumberFormat="1" applyFont="1" applyFill="1" applyBorder="1" applyAlignment="1" applyProtection="1">
      <alignment horizontal="left" vertical="center"/>
    </xf>
    <xf numFmtId="37" fontId="4" fillId="12" borderId="18" xfId="0" applyNumberFormat="1" applyFont="1" applyFill="1" applyBorder="1" applyAlignment="1" applyProtection="1">
      <alignment vertical="center"/>
    </xf>
    <xf numFmtId="0" fontId="4" fillId="13" borderId="18" xfId="0" applyNumberFormat="1" applyFont="1" applyFill="1" applyBorder="1" applyAlignment="1" applyProtection="1">
      <alignment horizontal="left" vertical="center"/>
      <protection locked="0"/>
    </xf>
    <xf numFmtId="37" fontId="4" fillId="13" borderId="18" xfId="0" applyNumberFormat="1" applyFont="1" applyFill="1" applyBorder="1" applyAlignment="1" applyProtection="1">
      <alignment vertical="center"/>
      <protection locked="0"/>
    </xf>
    <xf numFmtId="37" fontId="3" fillId="14" borderId="18" xfId="0" applyNumberFormat="1" applyFont="1" applyFill="1" applyBorder="1" applyAlignment="1" applyProtection="1">
      <alignment vertical="center"/>
    </xf>
    <xf numFmtId="0" fontId="4" fillId="13" borderId="0" xfId="0" applyNumberFormat="1" applyFont="1" applyFill="1" applyBorder="1" applyAlignment="1" applyProtection="1">
      <alignment horizontal="left" vertical="center"/>
      <protection locked="0"/>
    </xf>
    <xf numFmtId="0" fontId="4" fillId="12" borderId="18" xfId="0" applyNumberFormat="1" applyFont="1" applyFill="1" applyBorder="1" applyAlignment="1" applyProtection="1">
      <alignment vertical="center"/>
    </xf>
    <xf numFmtId="37" fontId="4" fillId="14" borderId="18" xfId="0" applyNumberFormat="1" applyFont="1" applyFill="1" applyBorder="1" applyAlignment="1" applyProtection="1">
      <alignment vertical="center"/>
    </xf>
    <xf numFmtId="0" fontId="15" fillId="12" borderId="0" xfId="0" applyNumberFormat="1" applyFont="1" applyFill="1" applyBorder="1" applyAlignment="1" applyProtection="1">
      <alignment vertical="center"/>
    </xf>
    <xf numFmtId="37" fontId="3" fillId="15" borderId="19" xfId="0" applyNumberFormat="1" applyFont="1" applyFill="1" applyBorder="1" applyAlignment="1" applyProtection="1">
      <alignment vertical="center"/>
    </xf>
    <xf numFmtId="0" fontId="4" fillId="0" borderId="0" xfId="317" applyFont="1" applyAlignment="1">
      <alignment vertical="center"/>
    </xf>
    <xf numFmtId="0" fontId="4" fillId="0" borderId="0" xfId="317" applyFont="1" applyAlignment="1">
      <alignment vertical="center" wrapText="1"/>
    </xf>
    <xf numFmtId="0" fontId="4" fillId="0" borderId="0" xfId="311" applyFont="1" applyAlignment="1">
      <alignment vertical="center"/>
    </xf>
    <xf numFmtId="0" fontId="4" fillId="0" borderId="0" xfId="10" applyFont="1" applyAlignment="1">
      <alignment vertical="center"/>
    </xf>
    <xf numFmtId="0" fontId="4" fillId="0" borderId="0" xfId="24" applyFont="1" applyAlignment="1">
      <alignment vertical="center"/>
    </xf>
    <xf numFmtId="0" fontId="28" fillId="0" borderId="0" xfId="313"/>
    <xf numFmtId="0" fontId="4" fillId="0" borderId="0" xfId="313" applyFont="1" applyAlignment="1">
      <alignment horizontal="left" vertical="center"/>
    </xf>
    <xf numFmtId="173" fontId="11" fillId="0" borderId="0" xfId="313" applyNumberFormat="1" applyFont="1" applyAlignment="1">
      <alignment horizontal="left" vertical="center"/>
    </xf>
    <xf numFmtId="49" fontId="4" fillId="0" borderId="0" xfId="313" applyNumberFormat="1" applyFont="1" applyAlignment="1">
      <alignment horizontal="left" vertical="center"/>
    </xf>
    <xf numFmtId="0" fontId="11" fillId="0" borderId="0" xfId="313" applyFont="1" applyAlignment="1">
      <alignment horizontal="left" vertical="center"/>
    </xf>
    <xf numFmtId="174" fontId="11" fillId="0" borderId="0" xfId="313" applyNumberFormat="1" applyFont="1" applyAlignment="1">
      <alignment horizontal="left" vertical="center"/>
    </xf>
    <xf numFmtId="0" fontId="14" fillId="0" borderId="0" xfId="0" applyFont="1" applyAlignment="1">
      <alignment horizontal="center"/>
    </xf>
    <xf numFmtId="0" fontId="2" fillId="0" borderId="0" xfId="0" applyFont="1"/>
    <xf numFmtId="0" fontId="29" fillId="0" borderId="0" xfId="0" applyFont="1"/>
    <xf numFmtId="0" fontId="29" fillId="0" borderId="0" xfId="0" applyFont="1" applyAlignment="1"/>
    <xf numFmtId="0" fontId="2" fillId="0" borderId="0" xfId="0" quotePrefix="1" applyFont="1"/>
    <xf numFmtId="0" fontId="2" fillId="0" borderId="0" xfId="130" applyFont="1"/>
    <xf numFmtId="0" fontId="2" fillId="0" borderId="0" xfId="130" applyFont="1" applyFill="1"/>
    <xf numFmtId="0" fontId="2" fillId="0" borderId="0" xfId="0" applyFont="1" applyAlignment="1"/>
    <xf numFmtId="0" fontId="0" fillId="0" borderId="0" xfId="0" applyAlignment="1"/>
    <xf numFmtId="0" fontId="29" fillId="0" borderId="0" xfId="0" applyFont="1" applyAlignment="1">
      <alignment horizontal="center"/>
    </xf>
    <xf numFmtId="0" fontId="4" fillId="0" borderId="0" xfId="61" applyFont="1" applyAlignment="1">
      <alignment vertical="center"/>
    </xf>
    <xf numFmtId="0" fontId="5" fillId="0" borderId="0" xfId="65" applyFont="1" applyAlignment="1">
      <alignment vertical="center"/>
    </xf>
    <xf numFmtId="0" fontId="4" fillId="0" borderId="0" xfId="129" applyFont="1" applyAlignment="1">
      <alignment vertical="center" wrapText="1"/>
    </xf>
    <xf numFmtId="0" fontId="4" fillId="0" borderId="0" xfId="73" applyFont="1" applyAlignment="1">
      <alignment vertical="center" wrapText="1"/>
    </xf>
    <xf numFmtId="0" fontId="4" fillId="3" borderId="0" xfId="0" applyFont="1" applyFill="1"/>
    <xf numFmtId="0" fontId="47"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14" fontId="4" fillId="2" borderId="1" xfId="0" applyNumberFormat="1" applyFont="1" applyFill="1" applyBorder="1" applyAlignment="1" applyProtection="1">
      <alignment horizontal="center"/>
      <protection locked="0"/>
    </xf>
    <xf numFmtId="3" fontId="11" fillId="5" borderId="7" xfId="0" applyNumberFormat="1" applyFont="1" applyFill="1" applyBorder="1" applyAlignment="1">
      <alignment horizontal="center" vertical="center"/>
    </xf>
    <xf numFmtId="37" fontId="13" fillId="3" borderId="0" xfId="0" applyNumberFormat="1" applyFont="1" applyFill="1" applyAlignment="1" applyProtection="1">
      <alignment horizontal="center" vertical="center"/>
    </xf>
    <xf numFmtId="3" fontId="4" fillId="2" borderId="2" xfId="0" applyNumberFormat="1" applyFont="1" applyFill="1" applyBorder="1" applyAlignment="1" applyProtection="1">
      <alignment vertical="center"/>
      <protection locked="0"/>
    </xf>
    <xf numFmtId="3" fontId="15" fillId="6" borderId="2" xfId="0" applyNumberFormat="1" applyFont="1" applyFill="1" applyBorder="1" applyAlignment="1" applyProtection="1">
      <alignment horizontal="center" vertical="center"/>
    </xf>
    <xf numFmtId="3" fontId="4" fillId="5" borderId="2" xfId="0" applyNumberFormat="1" applyFont="1" applyFill="1" applyBorder="1" applyAlignment="1" applyProtection="1">
      <alignment vertical="center"/>
    </xf>
    <xf numFmtId="0" fontId="4" fillId="3" borderId="9" xfId="0" applyNumberFormat="1" applyFont="1" applyFill="1" applyBorder="1" applyAlignment="1" applyProtection="1">
      <alignment horizontal="center" vertical="center"/>
    </xf>
    <xf numFmtId="3" fontId="3" fillId="5" borderId="2" xfId="0" applyNumberFormat="1" applyFont="1" applyFill="1" applyBorder="1" applyAlignment="1" applyProtection="1">
      <alignment vertical="center"/>
    </xf>
    <xf numFmtId="3" fontId="4" fillId="3" borderId="2" xfId="0" applyNumberFormat="1" applyFont="1" applyFill="1" applyBorder="1" applyAlignment="1" applyProtection="1">
      <alignment vertical="center"/>
    </xf>
    <xf numFmtId="0" fontId="4" fillId="3" borderId="0" xfId="0" applyNumberFormat="1" applyFont="1" applyFill="1" applyBorder="1" applyAlignment="1" applyProtection="1">
      <alignment horizontal="right" vertical="center"/>
    </xf>
    <xf numFmtId="3" fontId="4" fillId="2" borderId="2" xfId="0" applyNumberFormat="1" applyFont="1" applyFill="1" applyBorder="1" applyAlignment="1" applyProtection="1">
      <alignment horizontal="right" vertical="center"/>
      <protection locked="0"/>
    </xf>
    <xf numFmtId="1" fontId="4" fillId="3" borderId="9"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right" vertical="center"/>
    </xf>
    <xf numFmtId="3" fontId="3" fillId="5" borderId="9" xfId="0" applyNumberFormat="1" applyFont="1" applyFill="1" applyBorder="1" applyAlignment="1" applyProtection="1">
      <alignment horizontal="right" vertical="center"/>
    </xf>
    <xf numFmtId="3" fontId="3" fillId="5" borderId="2" xfId="0" applyNumberFormat="1" applyFont="1" applyFill="1" applyBorder="1" applyAlignment="1" applyProtection="1">
      <alignment horizontal="right" vertical="center"/>
    </xf>
    <xf numFmtId="3" fontId="4" fillId="5" borderId="2" xfId="0" applyNumberFormat="1" applyFont="1" applyFill="1" applyBorder="1" applyAlignment="1" applyProtection="1">
      <alignment horizontal="right" vertical="center"/>
    </xf>
    <xf numFmtId="171" fontId="4" fillId="3" borderId="0" xfId="0" applyNumberFormat="1" applyFont="1" applyFill="1" applyBorder="1" applyAlignment="1" applyProtection="1">
      <alignment vertical="center"/>
    </xf>
    <xf numFmtId="0" fontId="8" fillId="12" borderId="0" xfId="0" applyFont="1" applyFill="1" applyBorder="1" applyAlignment="1" applyProtection="1">
      <alignment vertical="center" shrinkToFit="1"/>
    </xf>
    <xf numFmtId="3" fontId="4" fillId="12" borderId="0" xfId="1" applyNumberFormat="1" applyFont="1" applyFill="1" applyBorder="1" applyAlignment="1" applyProtection="1">
      <alignment vertical="center"/>
      <protection locked="0"/>
    </xf>
    <xf numFmtId="0" fontId="4" fillId="2" borderId="2" xfId="11" applyNumberFormat="1" applyFont="1" applyFill="1" applyBorder="1" applyAlignment="1" applyProtection="1">
      <alignment horizontal="left" vertical="center"/>
      <protection locked="0"/>
    </xf>
    <xf numFmtId="0" fontId="35" fillId="12" borderId="20" xfId="0" applyFont="1" applyFill="1" applyBorder="1"/>
    <xf numFmtId="175" fontId="35" fillId="12" borderId="0" xfId="0" applyNumberFormat="1" applyFont="1" applyFill="1"/>
    <xf numFmtId="0" fontId="35" fillId="12" borderId="21" xfId="0" applyFont="1" applyFill="1" applyBorder="1"/>
    <xf numFmtId="0" fontId="35" fillId="12" borderId="22" xfId="0" applyFont="1" applyFill="1" applyBorder="1"/>
    <xf numFmtId="175" fontId="35" fillId="13" borderId="23" xfId="0" applyNumberFormat="1" applyFont="1" applyFill="1" applyBorder="1" applyAlignment="1" applyProtection="1">
      <alignment horizontal="center"/>
      <protection locked="0"/>
    </xf>
    <xf numFmtId="172" fontId="35" fillId="12" borderId="0" xfId="0" applyNumberFormat="1" applyFont="1" applyFill="1" applyBorder="1" applyAlignment="1">
      <alignment horizontal="center"/>
    </xf>
    <xf numFmtId="0" fontId="48" fillId="0" borderId="0" xfId="0" applyFont="1" applyBorder="1"/>
    <xf numFmtId="0" fontId="35" fillId="0" borderId="0" xfId="0" applyFont="1" applyBorder="1"/>
    <xf numFmtId="0" fontId="49" fillId="0" borderId="0" xfId="0" applyFont="1" applyBorder="1" applyAlignment="1">
      <alignment horizontal="centerContinuous"/>
    </xf>
    <xf numFmtId="0" fontId="35" fillId="0" borderId="0" xfId="0" applyFont="1" applyBorder="1" applyAlignment="1">
      <alignment horizontal="centerContinuous"/>
    </xf>
    <xf numFmtId="0" fontId="35" fillId="16" borderId="0" xfId="0" applyFont="1" applyFill="1" applyBorder="1"/>
    <xf numFmtId="0" fontId="35" fillId="12" borderId="24" xfId="0" applyFont="1" applyFill="1" applyBorder="1"/>
    <xf numFmtId="0" fontId="35" fillId="12" borderId="13" xfId="0" applyFont="1" applyFill="1" applyBorder="1"/>
    <xf numFmtId="0" fontId="35" fillId="12" borderId="25" xfId="0" applyFont="1" applyFill="1" applyBorder="1"/>
    <xf numFmtId="5" fontId="35" fillId="12" borderId="14" xfId="0" applyNumberFormat="1" applyFont="1" applyFill="1" applyBorder="1" applyAlignment="1">
      <alignment horizontal="center"/>
    </xf>
    <xf numFmtId="0" fontId="35" fillId="12" borderId="14" xfId="0" applyFont="1" applyFill="1" applyBorder="1" applyAlignment="1">
      <alignment horizontal="center"/>
    </xf>
    <xf numFmtId="172" fontId="35" fillId="12" borderId="14" xfId="0" applyNumberFormat="1" applyFont="1" applyFill="1" applyBorder="1" applyAlignment="1">
      <alignment horizontal="center"/>
    </xf>
    <xf numFmtId="176" fontId="35" fillId="12" borderId="14" xfId="0" applyNumberFormat="1" applyFont="1" applyFill="1" applyBorder="1" applyAlignment="1">
      <alignment horizontal="center"/>
    </xf>
    <xf numFmtId="0" fontId="35" fillId="12" borderId="0" xfId="0" applyFont="1" applyFill="1" applyAlignment="1">
      <alignment horizontal="center" wrapText="1"/>
    </xf>
    <xf numFmtId="0" fontId="49" fillId="12" borderId="21" xfId="0" applyFont="1" applyFill="1" applyBorder="1" applyAlignment="1"/>
    <xf numFmtId="0" fontId="35" fillId="12" borderId="26" xfId="0" applyFont="1" applyFill="1" applyBorder="1" applyAlignment="1"/>
    <xf numFmtId="0" fontId="35" fillId="12" borderId="27"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13" xfId="0" applyFont="1" applyFill="1" applyBorder="1" applyAlignment="1"/>
    <xf numFmtId="0" fontId="35" fillId="12" borderId="25" xfId="0" applyFont="1" applyFill="1" applyBorder="1" applyAlignment="1"/>
    <xf numFmtId="170" fontId="35" fillId="12" borderId="0" xfId="0" applyNumberFormat="1" applyFont="1" applyFill="1" applyBorder="1" applyAlignment="1">
      <alignment horizontal="center"/>
    </xf>
    <xf numFmtId="0" fontId="35" fillId="12" borderId="20" xfId="0" applyFont="1" applyFill="1" applyBorder="1" applyAlignment="1"/>
    <xf numFmtId="5" fontId="35" fillId="12" borderId="0" xfId="0" applyNumberFormat="1" applyFont="1" applyFill="1" applyBorder="1" applyAlignment="1">
      <alignment horizontal="center"/>
    </xf>
    <xf numFmtId="0" fontId="35" fillId="16" borderId="0" xfId="0" applyFont="1" applyFill="1" applyAlignment="1"/>
    <xf numFmtId="172" fontId="35" fillId="13" borderId="8" xfId="0" applyNumberFormat="1" applyFont="1" applyFill="1" applyBorder="1" applyAlignment="1" applyProtection="1">
      <alignment horizontal="center"/>
      <protection locked="0"/>
    </xf>
    <xf numFmtId="176" fontId="35" fillId="12" borderId="0" xfId="0" applyNumberFormat="1" applyFont="1" applyFill="1" applyBorder="1"/>
    <xf numFmtId="0" fontId="35" fillId="17" borderId="0" xfId="0" applyFont="1" applyFill="1"/>
    <xf numFmtId="0" fontId="4" fillId="3" borderId="0" xfId="0" applyFont="1" applyFill="1" applyBorder="1" applyAlignment="1" applyProtection="1">
      <alignment horizontal="center" vertical="center"/>
    </xf>
    <xf numFmtId="164" fontId="4" fillId="3" borderId="1" xfId="0" applyNumberFormat="1" applyFont="1" applyFill="1" applyBorder="1" applyAlignment="1" applyProtection="1">
      <alignment horizontal="center" vertical="center"/>
    </xf>
    <xf numFmtId="166" fontId="4" fillId="3" borderId="0" xfId="0" applyNumberFormat="1" applyFont="1" applyFill="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3" borderId="0" xfId="0" applyNumberFormat="1" applyFont="1" applyFill="1" applyBorder="1" applyAlignment="1" applyProtection="1">
      <alignment horizontal="center" vertical="center"/>
    </xf>
    <xf numFmtId="0" fontId="50" fillId="0" borderId="0" xfId="0" applyFont="1" applyAlignment="1">
      <alignment vertical="center"/>
    </xf>
    <xf numFmtId="0" fontId="4" fillId="15" borderId="12" xfId="0" applyFont="1" applyFill="1" applyBorder="1" applyAlignment="1" applyProtection="1">
      <alignment vertical="center"/>
    </xf>
    <xf numFmtId="0" fontId="4" fillId="12" borderId="15"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29" xfId="0" applyFont="1" applyFill="1" applyBorder="1" applyAlignment="1" applyProtection="1">
      <alignment vertical="center"/>
    </xf>
    <xf numFmtId="0" fontId="4" fillId="3" borderId="0" xfId="32" applyFont="1" applyFill="1" applyAlignment="1" applyProtection="1">
      <alignment horizontal="right" vertical="center"/>
    </xf>
    <xf numFmtId="0" fontId="35" fillId="12" borderId="30" xfId="0" applyFont="1" applyFill="1" applyBorder="1"/>
    <xf numFmtId="0" fontId="35" fillId="12" borderId="14" xfId="0" applyFont="1" applyFill="1" applyBorder="1"/>
    <xf numFmtId="3" fontId="4" fillId="3" borderId="2" xfId="1" applyNumberFormat="1" applyFont="1" applyFill="1" applyBorder="1" applyAlignment="1" applyProtection="1">
      <alignment horizontal="right" vertical="center"/>
    </xf>
    <xf numFmtId="0" fontId="3" fillId="3" borderId="0" xfId="11" applyFont="1" applyFill="1" applyAlignment="1" applyProtection="1">
      <alignment vertical="center"/>
    </xf>
    <xf numFmtId="0" fontId="35" fillId="12" borderId="28" xfId="0" applyFont="1" applyFill="1" applyBorder="1"/>
    <xf numFmtId="175" fontId="35" fillId="12" borderId="8" xfId="0" applyNumberFormat="1" applyFont="1" applyFill="1" applyBorder="1" applyAlignment="1">
      <alignment horizontal="center"/>
    </xf>
    <xf numFmtId="0" fontId="35" fillId="12" borderId="0" xfId="0" applyFont="1" applyFill="1" applyBorder="1"/>
    <xf numFmtId="175" fontId="35" fillId="12" borderId="23" xfId="0" applyNumberFormat="1" applyFont="1" applyFill="1" applyBorder="1"/>
    <xf numFmtId="0" fontId="35" fillId="12" borderId="27" xfId="0" applyFont="1" applyFill="1" applyBorder="1"/>
    <xf numFmtId="0" fontId="35" fillId="12" borderId="26" xfId="0" applyFont="1" applyFill="1" applyBorder="1"/>
    <xf numFmtId="0" fontId="49" fillId="12" borderId="21" xfId="0" applyFont="1" applyFill="1" applyBorder="1"/>
    <xf numFmtId="0" fontId="35" fillId="12" borderId="0" xfId="0" applyFont="1" applyFill="1" applyAlignment="1">
      <alignment horizontal="center"/>
    </xf>
    <xf numFmtId="0" fontId="49" fillId="12" borderId="0" xfId="0" applyFont="1" applyFill="1"/>
    <xf numFmtId="0" fontId="49" fillId="16" borderId="0" xfId="0" applyFont="1" applyFill="1" applyAlignment="1">
      <alignment horizontal="center" wrapText="1"/>
    </xf>
    <xf numFmtId="0" fontId="35" fillId="12" borderId="0" xfId="0" applyFont="1" applyFill="1"/>
    <xf numFmtId="0" fontId="35" fillId="0" borderId="0" xfId="0" applyFont="1"/>
    <xf numFmtId="0" fontId="35" fillId="16" borderId="0" xfId="0" applyFont="1" applyFill="1"/>
    <xf numFmtId="0" fontId="37" fillId="0" borderId="0" xfId="0" applyFont="1" applyAlignment="1">
      <alignment horizontal="center"/>
    </xf>
    <xf numFmtId="3" fontId="4" fillId="3" borderId="3" xfId="0" applyNumberFormat="1" applyFont="1" applyFill="1" applyBorder="1" applyAlignment="1" applyProtection="1">
      <alignment horizontal="center" vertical="center"/>
    </xf>
    <xf numFmtId="0" fontId="11" fillId="15" borderId="8" xfId="0" applyFont="1" applyFill="1" applyBorder="1" applyAlignment="1" applyProtection="1">
      <alignment vertical="center"/>
    </xf>
    <xf numFmtId="175" fontId="11" fillId="15" borderId="9" xfId="0" applyNumberFormat="1" applyFont="1" applyFill="1" applyBorder="1" applyAlignment="1" applyProtection="1">
      <alignment horizontal="center" vertical="center"/>
    </xf>
    <xf numFmtId="175" fontId="11" fillId="12" borderId="29" xfId="0" applyNumberFormat="1" applyFont="1" applyFill="1" applyBorder="1" applyAlignment="1" applyProtection="1">
      <alignment vertical="center"/>
    </xf>
    <xf numFmtId="175" fontId="11" fillId="12" borderId="9" xfId="0" applyNumberFormat="1" applyFont="1" applyFill="1" applyBorder="1" applyAlignment="1" applyProtection="1">
      <alignment horizontal="center" vertical="center"/>
    </xf>
    <xf numFmtId="0" fontId="11" fillId="12" borderId="0" xfId="0" applyFont="1" applyFill="1" applyBorder="1" applyAlignment="1" applyProtection="1">
      <alignment vertical="center"/>
    </xf>
    <xf numFmtId="175" fontId="11" fillId="12" borderId="29" xfId="0" applyNumberFormat="1" applyFont="1" applyFill="1" applyBorder="1" applyAlignment="1" applyProtection="1">
      <alignment horizontal="center" vertical="center"/>
    </xf>
    <xf numFmtId="0" fontId="38" fillId="0" borderId="0" xfId="8" applyFont="1" applyAlignment="1" applyProtection="1"/>
    <xf numFmtId="0" fontId="4" fillId="0" borderId="0" xfId="11" applyFont="1" applyFill="1" applyBorder="1" applyAlignment="1" applyProtection="1">
      <alignment vertical="center"/>
    </xf>
    <xf numFmtId="0" fontId="34" fillId="12" borderId="29" xfId="29" applyFont="1" applyFill="1" applyBorder="1" applyProtection="1"/>
    <xf numFmtId="0" fontId="4" fillId="12" borderId="0" xfId="29" applyFont="1" applyFill="1" applyBorder="1" applyProtection="1"/>
    <xf numFmtId="175" fontId="4" fillId="12" borderId="15" xfId="29" applyNumberFormat="1" applyFont="1" applyFill="1" applyBorder="1" applyAlignment="1" applyProtection="1">
      <alignment horizontal="center"/>
    </xf>
    <xf numFmtId="0" fontId="4" fillId="12" borderId="9" xfId="29" applyFont="1" applyFill="1" applyBorder="1" applyProtection="1"/>
    <xf numFmtId="0" fontId="4" fillId="12" borderId="8" xfId="29" applyFont="1" applyFill="1" applyBorder="1" applyProtection="1"/>
    <xf numFmtId="175" fontId="4" fillId="15" borderId="12" xfId="29" applyNumberFormat="1" applyFont="1" applyFill="1" applyBorder="1" applyAlignment="1" applyProtection="1">
      <alignment horizontal="center"/>
    </xf>
    <xf numFmtId="0" fontId="4" fillId="0" borderId="0" xfId="29" applyFont="1" applyFill="1" applyBorder="1" applyProtection="1"/>
    <xf numFmtId="0" fontId="4" fillId="12" borderId="29" xfId="29" applyFont="1" applyFill="1" applyBorder="1" applyProtection="1"/>
    <xf numFmtId="0" fontId="4" fillId="12" borderId="15" xfId="29" applyFont="1" applyFill="1" applyBorder="1" applyProtection="1"/>
    <xf numFmtId="170" fontId="4" fillId="12" borderId="15" xfId="29" applyNumberFormat="1" applyFont="1" applyFill="1" applyBorder="1" applyAlignment="1" applyProtection="1">
      <alignment horizontal="center"/>
    </xf>
    <xf numFmtId="0" fontId="4" fillId="15" borderId="29" xfId="29" applyFont="1" applyFill="1" applyBorder="1" applyProtection="1"/>
    <xf numFmtId="0" fontId="4" fillId="15" borderId="0" xfId="29" applyFont="1" applyFill="1" applyBorder="1" applyProtection="1"/>
    <xf numFmtId="0" fontId="4" fillId="15" borderId="9" xfId="29" applyFont="1" applyFill="1" applyBorder="1" applyProtection="1"/>
    <xf numFmtId="0" fontId="4" fillId="15" borderId="8" xfId="29" applyFont="1" applyFill="1" applyBorder="1" applyProtection="1"/>
    <xf numFmtId="0" fontId="4" fillId="0" borderId="0" xfId="29" applyFont="1" applyProtection="1"/>
    <xf numFmtId="175" fontId="4" fillId="12" borderId="12" xfId="29" applyNumberFormat="1" applyFont="1" applyFill="1" applyBorder="1" applyAlignment="1" applyProtection="1">
      <alignment horizontal="center"/>
    </xf>
    <xf numFmtId="172" fontId="4" fillId="13" borderId="15" xfId="29" applyNumberFormat="1" applyFont="1" applyFill="1" applyBorder="1" applyAlignment="1" applyProtection="1">
      <alignment horizontal="center"/>
      <protection locked="0"/>
    </xf>
    <xf numFmtId="3" fontId="4" fillId="14" borderId="17" xfId="0" applyNumberFormat="1" applyFont="1" applyFill="1" applyBorder="1" applyAlignment="1" applyProtection="1">
      <alignment horizontal="center" vertical="center"/>
    </xf>
    <xf numFmtId="0" fontId="51" fillId="3" borderId="0" xfId="0" applyFont="1" applyFill="1" applyAlignment="1" applyProtection="1">
      <alignment horizontal="center" vertical="center"/>
    </xf>
    <xf numFmtId="0" fontId="3" fillId="0" borderId="0" xfId="11" applyFont="1" applyAlignment="1">
      <alignment wrapText="1"/>
    </xf>
    <xf numFmtId="0" fontId="4" fillId="0" borderId="0" xfId="11" applyFont="1"/>
    <xf numFmtId="0" fontId="22" fillId="0" borderId="0" xfId="11" applyFont="1"/>
    <xf numFmtId="0" fontId="21" fillId="0" borderId="0" xfId="11" applyFont="1" applyAlignment="1">
      <alignment horizontal="center"/>
    </xf>
    <xf numFmtId="0" fontId="52" fillId="0" borderId="0" xfId="11" applyFont="1" applyAlignment="1">
      <alignment wrapText="1"/>
    </xf>
    <xf numFmtId="0" fontId="13" fillId="3" borderId="1" xfId="0" applyFont="1" applyFill="1" applyBorder="1" applyAlignment="1">
      <alignment horizontal="center" vertical="center"/>
    </xf>
    <xf numFmtId="3" fontId="15" fillId="6" borderId="3" xfId="0" applyNumberFormat="1" applyFont="1" applyFill="1" applyBorder="1" applyAlignment="1" applyProtection="1">
      <alignment horizontal="center" vertical="center"/>
    </xf>
    <xf numFmtId="0" fontId="4" fillId="0" borderId="0" xfId="32" applyFont="1" applyAlignment="1">
      <alignment vertical="center" wrapText="1"/>
    </xf>
    <xf numFmtId="0" fontId="4" fillId="0" borderId="0" xfId="11" applyFont="1" applyAlignment="1">
      <alignment vertical="center" wrapText="1"/>
    </xf>
    <xf numFmtId="0" fontId="4" fillId="0" borderId="0" xfId="298" applyFont="1" applyAlignment="1">
      <alignment vertical="center" wrapText="1"/>
    </xf>
    <xf numFmtId="0" fontId="4" fillId="0" borderId="0" xfId="305" applyNumberFormat="1" applyFont="1" applyAlignment="1">
      <alignment vertical="center" wrapText="1"/>
    </xf>
    <xf numFmtId="0" fontId="4" fillId="0" borderId="0" xfId="204" applyFont="1" applyAlignment="1">
      <alignment vertical="center" wrapText="1"/>
    </xf>
    <xf numFmtId="0" fontId="5" fillId="0" borderId="0" xfId="66" applyFont="1" applyAlignment="1">
      <alignment vertical="center"/>
    </xf>
    <xf numFmtId="0" fontId="4" fillId="0" borderId="0" xfId="32" applyFont="1" applyAlignment="1">
      <alignment vertical="center"/>
    </xf>
    <xf numFmtId="0" fontId="4" fillId="0" borderId="0" xfId="33" applyFont="1" applyAlignment="1">
      <alignment vertical="center"/>
    </xf>
    <xf numFmtId="37" fontId="4" fillId="12" borderId="0" xfId="0" applyNumberFormat="1" applyFont="1" applyFill="1" applyAlignment="1" applyProtection="1">
      <alignment horizontal="center" vertical="center"/>
    </xf>
    <xf numFmtId="0" fontId="0" fillId="12" borderId="0" xfId="0" applyFill="1" applyBorder="1" applyAlignment="1" applyProtection="1">
      <alignment horizontal="left" vertical="center"/>
      <protection locked="0"/>
    </xf>
    <xf numFmtId="37" fontId="3" fillId="3" borderId="8" xfId="0" applyNumberFormat="1" applyFont="1" applyFill="1" applyBorder="1" applyAlignment="1" applyProtection="1">
      <alignment vertical="center"/>
    </xf>
    <xf numFmtId="37" fontId="3" fillId="3" borderId="0" xfId="0" applyNumberFormat="1" applyFont="1" applyFill="1" applyBorder="1" applyAlignment="1" applyProtection="1">
      <alignment vertical="center"/>
    </xf>
    <xf numFmtId="0" fontId="0" fillId="11" borderId="7" xfId="0" applyFill="1" applyBorder="1" applyAlignment="1" applyProtection="1">
      <alignment vertical="center"/>
    </xf>
    <xf numFmtId="0" fontId="15" fillId="11" borderId="12" xfId="0"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protection locked="0"/>
    </xf>
    <xf numFmtId="37" fontId="4" fillId="3" borderId="0" xfId="0" applyNumberFormat="1" applyFont="1" applyFill="1" applyAlignment="1" applyProtection="1">
      <alignment horizontal="left" vertical="center"/>
      <protection locked="0"/>
    </xf>
    <xf numFmtId="37" fontId="3" fillId="3" borderId="3" xfId="0" applyNumberFormat="1" applyFont="1" applyFill="1" applyBorder="1" applyAlignment="1" applyProtection="1">
      <alignment horizontal="left" vertical="center"/>
    </xf>
    <xf numFmtId="164" fontId="4" fillId="3" borderId="0" xfId="0" applyNumberFormat="1" applyFont="1" applyFill="1" applyBorder="1" applyAlignment="1" applyProtection="1">
      <alignment horizontal="center" vertical="center"/>
    </xf>
    <xf numFmtId="49" fontId="4" fillId="12" borderId="0" xfId="0" applyNumberFormat="1" applyFont="1" applyFill="1" applyBorder="1" applyAlignment="1" applyProtection="1">
      <alignment horizontal="left" vertical="center"/>
      <protection locked="0"/>
    </xf>
    <xf numFmtId="37" fontId="4" fillId="3" borderId="0" xfId="0" applyNumberFormat="1" applyFont="1" applyFill="1" applyBorder="1" applyAlignment="1" applyProtection="1">
      <alignment horizontal="right" vertical="center"/>
    </xf>
    <xf numFmtId="3" fontId="4" fillId="14" borderId="31" xfId="0" applyNumberFormat="1" applyFont="1" applyFill="1" applyBorder="1" applyAlignment="1" applyProtection="1">
      <alignment horizontal="center" vertical="center"/>
    </xf>
    <xf numFmtId="164" fontId="4" fillId="14" borderId="31" xfId="0" applyNumberFormat="1" applyFont="1" applyFill="1" applyBorder="1" applyAlignment="1" applyProtection="1">
      <alignment horizontal="center" vertical="center"/>
    </xf>
    <xf numFmtId="3" fontId="4" fillId="4" borderId="7" xfId="1" applyNumberFormat="1" applyFont="1" applyFill="1" applyBorder="1" applyAlignment="1" applyProtection="1">
      <alignment horizontal="center" vertical="center"/>
      <protection locked="0"/>
    </xf>
    <xf numFmtId="3" fontId="4" fillId="4" borderId="1" xfId="1" applyNumberFormat="1" applyFont="1" applyFill="1" applyBorder="1" applyAlignment="1" applyProtection="1">
      <alignment horizontal="center" vertical="center"/>
      <protection locked="0"/>
    </xf>
    <xf numFmtId="1" fontId="7" fillId="3" borderId="5" xfId="0" applyNumberFormat="1" applyFont="1" applyFill="1" applyBorder="1" applyAlignment="1" applyProtection="1">
      <alignment horizontal="center" vertical="center"/>
    </xf>
    <xf numFmtId="37" fontId="7" fillId="3" borderId="5"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37" fontId="7" fillId="12" borderId="32" xfId="0" applyNumberFormat="1" applyFont="1" applyFill="1" applyBorder="1" applyAlignment="1" applyProtection="1">
      <alignment horizontal="center" vertical="center"/>
    </xf>
    <xf numFmtId="0" fontId="49" fillId="12" borderId="22" xfId="0" applyFont="1" applyFill="1" applyBorder="1" applyAlignment="1">
      <alignment horizontal="centerContinuous" vertical="center"/>
    </xf>
    <xf numFmtId="175" fontId="49" fillId="12" borderId="0" xfId="0" applyNumberFormat="1" applyFont="1" applyFill="1" applyBorder="1" applyAlignment="1">
      <alignment horizontal="centerContinuous" vertical="center"/>
    </xf>
    <xf numFmtId="0" fontId="49" fillId="12" borderId="0" xfId="0" applyFont="1" applyFill="1" applyBorder="1" applyAlignment="1">
      <alignment horizontal="centerContinuous" vertical="center"/>
    </xf>
    <xf numFmtId="172" fontId="49" fillId="12" borderId="0" xfId="0" applyNumberFormat="1" applyFont="1" applyFill="1" applyBorder="1" applyAlignment="1" applyProtection="1">
      <alignment horizontal="centerContinuous" vertical="center"/>
      <protection locked="0"/>
    </xf>
    <xf numFmtId="176" fontId="49" fillId="12" borderId="0" xfId="0" applyNumberFormat="1" applyFont="1" applyFill="1" applyBorder="1" applyAlignment="1">
      <alignment horizontal="centerContinuous" vertical="center"/>
    </xf>
    <xf numFmtId="0" fontId="49" fillId="12" borderId="28" xfId="0" applyFont="1" applyFill="1" applyBorder="1" applyAlignment="1">
      <alignment horizontal="centerContinuous" vertical="center"/>
    </xf>
    <xf numFmtId="0" fontId="49" fillId="12" borderId="22" xfId="0" applyFont="1" applyFill="1" applyBorder="1" applyAlignment="1">
      <alignment horizontal="centerContinuous"/>
    </xf>
    <xf numFmtId="175" fontId="49" fillId="12" borderId="0" xfId="0" applyNumberFormat="1" applyFont="1" applyFill="1" applyBorder="1" applyAlignment="1">
      <alignment horizontal="centerContinuous"/>
    </xf>
    <xf numFmtId="0" fontId="49" fillId="12" borderId="0" xfId="0" applyFont="1" applyFill="1" applyBorder="1" applyAlignment="1">
      <alignment horizontal="centerContinuous"/>
    </xf>
    <xf numFmtId="172" fontId="49" fillId="12" borderId="0" xfId="0" applyNumberFormat="1" applyFont="1" applyFill="1" applyBorder="1" applyAlignment="1" applyProtection="1">
      <alignment horizontal="centerContinuous"/>
      <protection locked="0"/>
    </xf>
    <xf numFmtId="176" fontId="49" fillId="12" borderId="0" xfId="0" applyNumberFormat="1" applyFont="1" applyFill="1" applyBorder="1" applyAlignment="1">
      <alignment horizontal="centerContinuous"/>
    </xf>
    <xf numFmtId="0" fontId="49" fillId="12" borderId="28" xfId="0" applyFont="1" applyFill="1" applyBorder="1" applyAlignment="1">
      <alignment horizontal="centerContinuous"/>
    </xf>
    <xf numFmtId="175" fontId="35" fillId="0" borderId="0" xfId="0" applyNumberFormat="1" applyFont="1"/>
    <xf numFmtId="175" fontId="35" fillId="12" borderId="14" xfId="0" applyNumberFormat="1" applyFont="1" applyFill="1" applyBorder="1" applyAlignment="1">
      <alignment horizontal="center"/>
    </xf>
    <xf numFmtId="172" fontId="35" fillId="12" borderId="14" xfId="0" applyNumberFormat="1" applyFont="1" applyFill="1" applyBorder="1" applyAlignment="1" applyProtection="1">
      <alignment horizontal="center"/>
      <protection locked="0"/>
    </xf>
    <xf numFmtId="176" fontId="35" fillId="12" borderId="14" xfId="0" applyNumberFormat="1" applyFont="1" applyFill="1" applyBorder="1"/>
    <xf numFmtId="172" fontId="35" fillId="12" borderId="0" xfId="0" applyNumberFormat="1" applyFont="1" applyFill="1" applyBorder="1" applyAlignment="1" applyProtection="1">
      <alignment horizontal="center"/>
      <protection locked="0"/>
    </xf>
    <xf numFmtId="175" fontId="35" fillId="12" borderId="26" xfId="0" applyNumberFormat="1" applyFont="1" applyFill="1" applyBorder="1" applyAlignment="1">
      <alignment horizontal="center"/>
    </xf>
    <xf numFmtId="0" fontId="35" fillId="12" borderId="26" xfId="0" applyFont="1" applyFill="1" applyBorder="1" applyAlignment="1">
      <alignment horizontal="center"/>
    </xf>
    <xf numFmtId="172" fontId="35" fillId="12" borderId="26" xfId="0" applyNumberFormat="1" applyFont="1" applyFill="1" applyBorder="1" applyAlignment="1" applyProtection="1">
      <alignment horizontal="center"/>
      <protection locked="0"/>
    </xf>
    <xf numFmtId="176" fontId="35" fillId="12" borderId="26" xfId="0" applyNumberFormat="1" applyFont="1" applyFill="1" applyBorder="1"/>
    <xf numFmtId="175" fontId="35" fillId="12" borderId="0" xfId="0" applyNumberFormat="1" applyFont="1" applyFill="1" applyBorder="1" applyAlignment="1" applyProtection="1">
      <alignment horizontal="center"/>
      <protection locked="0"/>
    </xf>
    <xf numFmtId="175" fontId="4" fillId="15" borderId="15" xfId="29" applyNumberFormat="1" applyFont="1" applyFill="1" applyBorder="1" applyAlignment="1" applyProtection="1">
      <alignment horizontal="center"/>
    </xf>
    <xf numFmtId="0" fontId="4" fillId="15" borderId="9" xfId="0" applyFont="1" applyFill="1" applyBorder="1" applyAlignment="1">
      <alignment vertical="center"/>
    </xf>
    <xf numFmtId="0" fontId="4" fillId="15" borderId="8" xfId="0" applyFont="1" applyFill="1" applyBorder="1" applyAlignment="1">
      <alignment vertical="center"/>
    </xf>
    <xf numFmtId="175" fontId="4" fillId="15" borderId="12" xfId="0" applyNumberFormat="1" applyFont="1" applyFill="1" applyBorder="1" applyAlignment="1">
      <alignment horizontal="center" vertical="center"/>
    </xf>
    <xf numFmtId="175" fontId="35" fillId="12" borderId="0" xfId="0" applyNumberFormat="1" applyFont="1" applyFill="1" applyBorder="1" applyAlignment="1">
      <alignment horizontal="center"/>
    </xf>
    <xf numFmtId="0" fontId="35" fillId="12" borderId="13" xfId="0" applyFont="1" applyFill="1" applyBorder="1" applyAlignment="1">
      <alignment horizontal="center"/>
    </xf>
    <xf numFmtId="176" fontId="35" fillId="12" borderId="0" xfId="0" applyNumberFormat="1" applyFont="1" applyFill="1" applyBorder="1" applyAlignment="1">
      <alignment horizontal="center"/>
    </xf>
    <xf numFmtId="175" fontId="35" fillId="13" borderId="8" xfId="0" applyNumberFormat="1" applyFont="1" applyFill="1" applyBorder="1" applyAlignment="1" applyProtection="1">
      <alignment horizontal="center"/>
      <protection locked="0"/>
    </xf>
    <xf numFmtId="0" fontId="49" fillId="12" borderId="0" xfId="0" applyFont="1" applyFill="1" applyAlignment="1">
      <alignment horizontal="center" wrapText="1"/>
    </xf>
    <xf numFmtId="0" fontId="49" fillId="12" borderId="0" xfId="0" applyFont="1" applyFill="1" applyAlignment="1">
      <alignment horizontal="center"/>
    </xf>
    <xf numFmtId="175" fontId="35" fillId="12" borderId="0" xfId="0" applyNumberFormat="1" applyFont="1" applyFill="1" applyAlignment="1">
      <alignment horizontal="center"/>
    </xf>
    <xf numFmtId="0" fontId="35" fillId="12" borderId="0" xfId="0" applyFont="1" applyFill="1" applyBorder="1" applyAlignment="1"/>
    <xf numFmtId="0" fontId="35" fillId="12" borderId="0" xfId="0" applyFont="1" applyFill="1" applyBorder="1" applyAlignment="1">
      <alignment horizontal="center"/>
    </xf>
    <xf numFmtId="0" fontId="35" fillId="12" borderId="30" xfId="0" applyFont="1" applyFill="1" applyBorder="1" applyAlignment="1"/>
    <xf numFmtId="1" fontId="4" fillId="3" borderId="5"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center" vertical="center"/>
    </xf>
    <xf numFmtId="37" fontId="7" fillId="12" borderId="32" xfId="0" applyNumberFormat="1" applyFont="1" applyFill="1" applyBorder="1" applyAlignment="1" applyProtection="1">
      <alignment horizontal="left" vertical="center"/>
    </xf>
    <xf numFmtId="0" fontId="4" fillId="12" borderId="33" xfId="0" applyNumberFormat="1" applyFont="1" applyFill="1" applyBorder="1" applyAlignment="1" applyProtection="1">
      <alignment horizontal="left" vertical="center"/>
    </xf>
    <xf numFmtId="1" fontId="4" fillId="12" borderId="33" xfId="0" applyNumberFormat="1" applyFont="1" applyFill="1" applyBorder="1" applyAlignment="1" applyProtection="1">
      <alignment horizontal="center" vertical="center"/>
    </xf>
    <xf numFmtId="0" fontId="3" fillId="0" borderId="0" xfId="11" applyFont="1" applyFill="1" applyAlignment="1" applyProtection="1">
      <alignment vertical="center"/>
    </xf>
    <xf numFmtId="37" fontId="4" fillId="11" borderId="17" xfId="0" applyNumberFormat="1" applyFont="1" applyFill="1" applyBorder="1" applyAlignment="1" applyProtection="1">
      <alignment vertical="center"/>
    </xf>
    <xf numFmtId="0" fontId="4" fillId="12" borderId="0" xfId="19" applyFont="1" applyFill="1"/>
    <xf numFmtId="0" fontId="2" fillId="0" borderId="0" xfId="19"/>
    <xf numFmtId="0" fontId="4" fillId="12" borderId="0" xfId="19" applyFont="1" applyFill="1" applyAlignment="1">
      <alignment vertical="center"/>
    </xf>
    <xf numFmtId="37" fontId="4" fillId="12" borderId="0" xfId="19" applyNumberFormat="1" applyFont="1" applyFill="1" applyAlignment="1">
      <alignment vertical="center"/>
    </xf>
    <xf numFmtId="0" fontId="4" fillId="12" borderId="8" xfId="19" applyFont="1" applyFill="1" applyBorder="1" applyAlignment="1">
      <alignment vertical="center"/>
    </xf>
    <xf numFmtId="0" fontId="4" fillId="12" borderId="0" xfId="19" applyFont="1" applyFill="1" applyAlignment="1">
      <alignment horizontal="center" vertical="center"/>
    </xf>
    <xf numFmtId="0" fontId="5" fillId="12" borderId="0" xfId="19" applyFont="1" applyFill="1" applyAlignment="1">
      <alignment horizontal="center" vertical="center"/>
    </xf>
    <xf numFmtId="175" fontId="4" fillId="12" borderId="0" xfId="19" applyNumberFormat="1" applyFont="1" applyFill="1" applyAlignment="1">
      <alignment vertical="center"/>
    </xf>
    <xf numFmtId="175" fontId="4" fillId="12" borderId="13" xfId="19" applyNumberFormat="1" applyFont="1" applyFill="1" applyBorder="1" applyAlignment="1">
      <alignment vertical="center"/>
    </xf>
    <xf numFmtId="6" fontId="4" fillId="12" borderId="0" xfId="19" applyNumberFormat="1" applyFont="1" applyFill="1" applyBorder="1" applyAlignment="1">
      <alignment vertical="center"/>
    </xf>
    <xf numFmtId="175" fontId="4" fillId="12" borderId="0" xfId="19" applyNumberFormat="1" applyFont="1" applyFill="1" applyBorder="1" applyAlignment="1">
      <alignment vertical="center"/>
    </xf>
    <xf numFmtId="0" fontId="53" fillId="15" borderId="0" xfId="19" applyFont="1" applyFill="1" applyAlignment="1">
      <alignment vertical="center"/>
    </xf>
    <xf numFmtId="0" fontId="53" fillId="12" borderId="0" xfId="19" applyFont="1" applyFill="1" applyAlignment="1">
      <alignment horizontal="center" vertical="center"/>
    </xf>
    <xf numFmtId="172" fontId="4" fillId="12" borderId="0" xfId="19" applyNumberFormat="1" applyFont="1" applyFill="1" applyAlignment="1">
      <alignment horizontal="center" vertical="center"/>
    </xf>
    <xf numFmtId="178" fontId="53" fillId="12" borderId="0" xfId="19" applyNumberFormat="1" applyFont="1" applyFill="1" applyAlignment="1">
      <alignment horizontal="center" vertical="center"/>
    </xf>
    <xf numFmtId="0" fontId="53" fillId="15" borderId="0" xfId="19" applyFont="1" applyFill="1" applyAlignment="1">
      <alignment horizontal="center" vertical="center"/>
    </xf>
    <xf numFmtId="0" fontId="54" fillId="15" borderId="0" xfId="19" applyFont="1" applyFill="1" applyAlignment="1">
      <alignment horizontal="center" vertical="center"/>
    </xf>
    <xf numFmtId="0" fontId="4" fillId="12" borderId="0" xfId="19" applyFont="1" applyFill="1" applyAlignment="1">
      <alignment horizontal="right" vertical="center"/>
    </xf>
    <xf numFmtId="0" fontId="4" fillId="12" borderId="0" xfId="19" applyFont="1" applyFill="1" applyAlignment="1">
      <alignment horizontal="left" vertical="center"/>
    </xf>
    <xf numFmtId="0" fontId="4" fillId="12" borderId="0" xfId="13" applyFont="1" applyFill="1"/>
    <xf numFmtId="0" fontId="2" fillId="12" borderId="0" xfId="19" applyFill="1"/>
    <xf numFmtId="0" fontId="3" fillId="12" borderId="0" xfId="13" applyFont="1" applyFill="1"/>
    <xf numFmtId="0" fontId="2" fillId="12" borderId="0" xfId="13" applyFill="1"/>
    <xf numFmtId="0" fontId="10" fillId="0" borderId="0" xfId="8" applyAlignment="1" applyProtection="1"/>
    <xf numFmtId="0" fontId="3" fillId="3" borderId="0" xfId="0" applyFont="1" applyFill="1" applyAlignment="1" applyProtection="1">
      <alignment horizontal="right" vertical="center"/>
    </xf>
    <xf numFmtId="0" fontId="4" fillId="3" borderId="3" xfId="0" applyFont="1" applyFill="1" applyBorder="1" applyProtection="1"/>
    <xf numFmtId="170" fontId="4" fillId="3" borderId="10" xfId="0" applyNumberFormat="1" applyFont="1" applyFill="1" applyBorder="1" applyAlignment="1" applyProtection="1">
      <alignment vertical="center"/>
    </xf>
    <xf numFmtId="0" fontId="0" fillId="3" borderId="11" xfId="0" applyFill="1" applyBorder="1" applyAlignment="1" applyProtection="1">
      <alignment vertical="center"/>
    </xf>
    <xf numFmtId="37" fontId="4" fillId="12" borderId="0" xfId="0" applyNumberFormat="1" applyFont="1" applyFill="1" applyBorder="1" applyAlignment="1" applyProtection="1">
      <alignment horizontal="left" vertical="center"/>
    </xf>
    <xf numFmtId="49" fontId="4" fillId="0" borderId="0" xfId="313" applyNumberFormat="1" applyFont="1" applyFill="1" applyAlignment="1" applyProtection="1">
      <alignment horizontal="left" vertical="center"/>
      <protection locked="0"/>
    </xf>
    <xf numFmtId="0" fontId="2" fillId="0" borderId="0" xfId="10"/>
    <xf numFmtId="0" fontId="55" fillId="0" borderId="0" xfId="10" applyFont="1"/>
    <xf numFmtId="0" fontId="4" fillId="0" borderId="0" xfId="10" applyFont="1"/>
    <xf numFmtId="49" fontId="4" fillId="4" borderId="0" xfId="313" applyNumberFormat="1" applyFont="1" applyFill="1" applyAlignment="1" applyProtection="1">
      <alignment horizontal="left" vertical="center"/>
      <protection locked="0"/>
    </xf>
    <xf numFmtId="0" fontId="53" fillId="0" borderId="0" xfId="313" applyFont="1" applyAlignment="1">
      <alignment horizontal="left" vertical="center"/>
    </xf>
    <xf numFmtId="0" fontId="4" fillId="4" borderId="0" xfId="313" applyFont="1" applyFill="1" applyAlignment="1" applyProtection="1">
      <alignment horizontal="left" vertical="center"/>
      <protection locked="0"/>
    </xf>
    <xf numFmtId="0" fontId="28" fillId="4" borderId="0" xfId="313" applyFill="1" applyAlignment="1" applyProtection="1">
      <alignment horizontal="left" vertical="center"/>
      <protection locked="0"/>
    </xf>
    <xf numFmtId="0" fontId="56" fillId="0" borderId="0" xfId="313" applyFont="1"/>
    <xf numFmtId="173" fontId="57" fillId="0" borderId="0" xfId="313" applyNumberFormat="1" applyFont="1" applyAlignment="1">
      <alignment horizontal="left" vertical="center"/>
    </xf>
    <xf numFmtId="0" fontId="57" fillId="0" borderId="0" xfId="313" applyNumberFormat="1" applyFont="1" applyAlignment="1">
      <alignment horizontal="left" vertical="center"/>
    </xf>
    <xf numFmtId="1" fontId="57" fillId="0" borderId="0" xfId="313" applyNumberFormat="1" applyFont="1" applyAlignment="1">
      <alignment horizontal="left" vertical="center"/>
    </xf>
    <xf numFmtId="0" fontId="58" fillId="0" borderId="0" xfId="313" applyFont="1" applyAlignment="1">
      <alignment horizontal="left" vertical="center"/>
    </xf>
    <xf numFmtId="0" fontId="21" fillId="0" borderId="0" xfId="0" applyNumberFormat="1" applyFont="1" applyFill="1" applyBorder="1" applyAlignment="1" applyProtection="1">
      <alignment horizontal="center" vertical="center"/>
    </xf>
    <xf numFmtId="0" fontId="24" fillId="0" borderId="0" xfId="0" applyFont="1" applyAlignment="1">
      <alignment wrapText="1"/>
    </xf>
    <xf numFmtId="0" fontId="22" fillId="0" borderId="0" xfId="0" applyNumberFormat="1" applyFont="1" applyFill="1" applyBorder="1" applyAlignment="1" applyProtection="1">
      <alignment vertical="center"/>
    </xf>
    <xf numFmtId="0" fontId="24"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52" fillId="0" borderId="0" xfId="0" applyFont="1" applyAlignment="1">
      <alignment wrapText="1"/>
    </xf>
    <xf numFmtId="0" fontId="23" fillId="0" borderId="0" xfId="0" applyNumberFormat="1" applyFont="1" applyFill="1" applyBorder="1" applyAlignment="1" applyProtection="1">
      <alignment vertical="center" wrapText="1"/>
    </xf>
    <xf numFmtId="0" fontId="3" fillId="0" borderId="0" xfId="0" applyFont="1" applyAlignment="1">
      <alignment wrapText="1"/>
    </xf>
    <xf numFmtId="0" fontId="25" fillId="0" borderId="0" xfId="0" applyNumberFormat="1" applyFont="1" applyFill="1" applyBorder="1" applyAlignment="1" applyProtection="1">
      <alignment vertical="center"/>
    </xf>
    <xf numFmtId="0" fontId="4" fillId="3" borderId="0" xfId="0" applyFont="1" applyFill="1" applyBorder="1" applyAlignment="1" applyProtection="1">
      <alignment vertical="center"/>
      <protection locked="0"/>
    </xf>
    <xf numFmtId="0" fontId="4" fillId="3" borderId="0" xfId="0" applyFont="1" applyFill="1" applyBorder="1" applyAlignment="1" applyProtection="1">
      <alignment horizontal="left" vertical="center"/>
    </xf>
    <xf numFmtId="3" fontId="4" fillId="12" borderId="0" xfId="1" applyNumberFormat="1" applyFont="1" applyFill="1" applyBorder="1" applyAlignment="1" applyProtection="1">
      <alignment vertical="center"/>
    </xf>
    <xf numFmtId="0" fontId="0" fillId="12" borderId="0" xfId="0" applyFill="1" applyBorder="1" applyAlignment="1" applyProtection="1">
      <alignment horizontal="center" vertical="center"/>
    </xf>
    <xf numFmtId="37" fontId="4" fillId="3" borderId="0" xfId="0" applyNumberFormat="1" applyFont="1" applyFill="1" applyBorder="1" applyAlignment="1" applyProtection="1">
      <alignment horizontal="fill" vertical="center"/>
      <protection locked="0"/>
    </xf>
    <xf numFmtId="37" fontId="4" fillId="3" borderId="0" xfId="0" applyNumberFormat="1" applyFont="1" applyFill="1" applyBorder="1" applyAlignment="1" applyProtection="1">
      <alignment horizontal="centerContinuous" vertical="center"/>
    </xf>
    <xf numFmtId="0" fontId="4" fillId="12" borderId="29" xfId="28" applyFont="1" applyFill="1" applyBorder="1" applyAlignment="1" applyProtection="1">
      <alignment vertical="center"/>
    </xf>
    <xf numFmtId="0" fontId="4" fillId="12" borderId="0" xfId="28" applyFont="1" applyFill="1" applyBorder="1" applyAlignment="1" applyProtection="1">
      <alignment vertical="center"/>
    </xf>
    <xf numFmtId="0" fontId="4" fillId="12" borderId="15" xfId="28" applyFont="1" applyFill="1" applyBorder="1" applyAlignment="1" applyProtection="1">
      <alignment vertical="center"/>
    </xf>
    <xf numFmtId="0" fontId="34" fillId="12" borderId="29" xfId="28" applyFont="1" applyFill="1" applyBorder="1" applyAlignment="1" applyProtection="1">
      <alignment horizontal="left" vertical="center"/>
    </xf>
    <xf numFmtId="0" fontId="34" fillId="12" borderId="0" xfId="28" applyFont="1" applyFill="1" applyBorder="1" applyAlignment="1" applyProtection="1">
      <alignment vertical="center"/>
    </xf>
    <xf numFmtId="175" fontId="34" fillId="13" borderId="1" xfId="28" applyNumberFormat="1" applyFont="1" applyFill="1" applyBorder="1" applyAlignment="1" applyProtection="1">
      <alignment horizontal="center" vertical="center"/>
      <protection locked="0"/>
    </xf>
    <xf numFmtId="0" fontId="34" fillId="12" borderId="29" xfId="28" applyFont="1" applyFill="1" applyBorder="1" applyAlignment="1" applyProtection="1">
      <alignment vertical="center"/>
    </xf>
    <xf numFmtId="0" fontId="4" fillId="12" borderId="0" xfId="28" applyFont="1" applyFill="1" applyBorder="1" applyAlignment="1" applyProtection="1">
      <alignment vertical="center"/>
      <protection locked="0"/>
    </xf>
    <xf numFmtId="0" fontId="34" fillId="12" borderId="0" xfId="28" applyFont="1" applyFill="1" applyBorder="1" applyAlignment="1" applyProtection="1">
      <alignment vertical="center"/>
      <protection locked="0"/>
    </xf>
    <xf numFmtId="172" fontId="34" fillId="12" borderId="10" xfId="28" applyNumberFormat="1" applyFont="1" applyFill="1" applyBorder="1" applyAlignment="1" applyProtection="1">
      <alignment horizontal="center" vertical="center"/>
      <protection locked="0"/>
    </xf>
    <xf numFmtId="0" fontId="40" fillId="15" borderId="29" xfId="28" applyFont="1" applyFill="1" applyBorder="1" applyAlignment="1" applyProtection="1">
      <alignment vertical="center"/>
      <protection locked="0"/>
    </xf>
    <xf numFmtId="0" fontId="4" fillId="15" borderId="0" xfId="28" applyFont="1" applyFill="1" applyBorder="1" applyAlignment="1" applyProtection="1">
      <alignment vertical="center"/>
      <protection locked="0"/>
    </xf>
    <xf numFmtId="0" fontId="34" fillId="15" borderId="0" xfId="28" applyFont="1" applyFill="1" applyBorder="1" applyAlignment="1" applyProtection="1">
      <alignment vertical="center"/>
      <protection locked="0"/>
    </xf>
    <xf numFmtId="175" fontId="40" fillId="15" borderId="10" xfId="28" applyNumberFormat="1" applyFont="1" applyFill="1" applyBorder="1" applyAlignment="1" applyProtection="1">
      <alignment horizontal="center" vertical="center"/>
      <protection locked="0"/>
    </xf>
    <xf numFmtId="37" fontId="34" fillId="3" borderId="9" xfId="0" applyNumberFormat="1" applyFont="1" applyFill="1" applyBorder="1" applyAlignment="1" applyProtection="1">
      <alignment horizontal="left" vertical="center"/>
    </xf>
    <xf numFmtId="0" fontId="4" fillId="12" borderId="8" xfId="0" applyFont="1" applyFill="1" applyBorder="1" applyAlignment="1" applyProtection="1">
      <alignment vertical="center"/>
      <protection locked="0"/>
    </xf>
    <xf numFmtId="175" fontId="40" fillId="15" borderId="12" xfId="0" applyNumberFormat="1" applyFont="1" applyFill="1" applyBorder="1" applyAlignment="1" applyProtection="1">
      <alignment horizontal="center" vertical="center"/>
      <protection locked="0"/>
    </xf>
    <xf numFmtId="175" fontId="34" fillId="12" borderId="29" xfId="28" applyNumberFormat="1" applyFont="1" applyFill="1" applyBorder="1" applyAlignment="1" applyProtection="1">
      <alignment horizontal="center" vertical="center"/>
    </xf>
    <xf numFmtId="0" fontId="34" fillId="12" borderId="0" xfId="28" applyFont="1" applyFill="1" applyBorder="1" applyAlignment="1" applyProtection="1">
      <alignment horizontal="left" vertical="center"/>
    </xf>
    <xf numFmtId="0" fontId="34" fillId="12" borderId="15" xfId="28" applyFont="1" applyFill="1" applyBorder="1" applyAlignment="1" applyProtection="1">
      <alignment vertical="center"/>
    </xf>
    <xf numFmtId="175" fontId="34" fillId="12" borderId="9" xfId="28" applyNumberFormat="1" applyFont="1" applyFill="1" applyBorder="1" applyAlignment="1" applyProtection="1">
      <alignment horizontal="center" vertical="center"/>
    </xf>
    <xf numFmtId="0" fontId="50" fillId="0" borderId="0" xfId="0" applyFont="1" applyProtection="1">
      <protection locked="0"/>
    </xf>
    <xf numFmtId="0" fontId="43" fillId="0" borderId="0" xfId="0" applyFont="1" applyAlignment="1" applyProtection="1">
      <alignment vertical="center"/>
    </xf>
    <xf numFmtId="175" fontId="34" fillId="12" borderId="29" xfId="28" applyNumberFormat="1" applyFont="1" applyFill="1" applyBorder="1" applyAlignment="1" applyProtection="1">
      <alignment vertical="center"/>
    </xf>
    <xf numFmtId="175" fontId="40" fillId="15" borderId="9" xfId="28" applyNumberFormat="1" applyFont="1" applyFill="1" applyBorder="1" applyAlignment="1" applyProtection="1">
      <alignment horizontal="center" vertical="center"/>
    </xf>
    <xf numFmtId="0" fontId="40" fillId="15" borderId="8" xfId="28" applyFont="1" applyFill="1" applyBorder="1" applyAlignment="1" applyProtection="1">
      <alignment vertical="center"/>
    </xf>
    <xf numFmtId="0" fontId="34" fillId="15" borderId="12" xfId="28" applyFont="1" applyFill="1" applyBorder="1" applyAlignment="1" applyProtection="1">
      <alignment vertical="center"/>
    </xf>
    <xf numFmtId="0" fontId="4" fillId="15" borderId="12" xfId="28" applyFont="1" applyFill="1" applyBorder="1" applyAlignment="1" applyProtection="1">
      <alignment vertical="center"/>
    </xf>
    <xf numFmtId="172" fontId="34" fillId="12" borderId="29" xfId="0" applyNumberFormat="1" applyFont="1" applyFill="1" applyBorder="1" applyAlignment="1" applyProtection="1">
      <alignment horizontal="center" vertical="center"/>
    </xf>
    <xf numFmtId="0" fontId="34" fillId="12" borderId="0" xfId="0" applyFont="1" applyFill="1" applyBorder="1" applyAlignment="1" applyProtection="1">
      <alignment horizontal="left" vertical="center"/>
    </xf>
    <xf numFmtId="0" fontId="39" fillId="12" borderId="0" xfId="0" applyFont="1" applyFill="1" applyBorder="1" applyAlignment="1" applyProtection="1">
      <alignment horizontal="center" vertical="center"/>
    </xf>
    <xf numFmtId="0" fontId="0" fillId="12" borderId="15" xfId="0" applyFill="1" applyBorder="1" applyAlignment="1" applyProtection="1">
      <alignment vertical="center"/>
    </xf>
    <xf numFmtId="172" fontId="34" fillId="15" borderId="9" xfId="0" applyNumberFormat="1" applyFont="1" applyFill="1" applyBorder="1" applyAlignment="1" applyProtection="1">
      <alignment horizontal="center" vertical="center"/>
    </xf>
    <xf numFmtId="172" fontId="34" fillId="12" borderId="2" xfId="0" applyNumberFormat="1" applyFont="1" applyFill="1" applyBorder="1" applyAlignment="1" applyProtection="1">
      <alignment horizontal="center" vertical="center"/>
    </xf>
    <xf numFmtId="172" fontId="34" fillId="15" borderId="2" xfId="0" applyNumberFormat="1" applyFont="1" applyFill="1" applyBorder="1" applyAlignment="1" applyProtection="1">
      <alignment horizontal="center" vertical="center"/>
    </xf>
    <xf numFmtId="0" fontId="34" fillId="12" borderId="8" xfId="0" applyFont="1" applyFill="1" applyBorder="1" applyAlignment="1" applyProtection="1">
      <alignment horizontal="left" vertical="center"/>
    </xf>
    <xf numFmtId="0" fontId="39" fillId="12" borderId="8" xfId="0" applyFont="1" applyFill="1" applyBorder="1" applyAlignment="1" applyProtection="1">
      <alignment horizontal="center" vertical="center"/>
    </xf>
    <xf numFmtId="0" fontId="0" fillId="12" borderId="12" xfId="0" applyFill="1" applyBorder="1" applyAlignment="1" applyProtection="1">
      <alignment vertical="center"/>
    </xf>
    <xf numFmtId="0" fontId="34" fillId="0" borderId="0" xfId="11" applyFont="1" applyFill="1" applyBorder="1" applyAlignment="1" applyProtection="1">
      <alignment horizontal="left" vertical="center"/>
    </xf>
    <xf numFmtId="0" fontId="34" fillId="0" borderId="0" xfId="11" applyFont="1" applyFill="1" applyBorder="1" applyAlignment="1" applyProtection="1">
      <alignment vertical="center"/>
    </xf>
    <xf numFmtId="175" fontId="34" fillId="0" borderId="0" xfId="11" applyNumberFormat="1" applyFont="1" applyFill="1" applyBorder="1" applyAlignment="1" applyProtection="1">
      <alignment horizontal="center" vertical="center"/>
      <protection locked="0"/>
    </xf>
    <xf numFmtId="0" fontId="40" fillId="0" borderId="0" xfId="11" applyFont="1" applyFill="1" applyBorder="1" applyAlignment="1" applyProtection="1">
      <alignment horizontal="center" vertical="center"/>
    </xf>
    <xf numFmtId="0" fontId="40" fillId="0" borderId="0" xfId="11" applyFont="1" applyFill="1" applyBorder="1" applyAlignment="1" applyProtection="1">
      <alignment vertical="center"/>
    </xf>
    <xf numFmtId="175" fontId="40" fillId="0" borderId="0" xfId="11" applyNumberFormat="1" applyFont="1" applyFill="1" applyBorder="1" applyAlignment="1" applyProtection="1">
      <alignment horizontal="center" vertical="center"/>
    </xf>
    <xf numFmtId="0" fontId="34" fillId="12" borderId="29" xfId="0" applyFont="1" applyFill="1" applyBorder="1" applyAlignment="1" applyProtection="1">
      <alignment vertical="center"/>
    </xf>
    <xf numFmtId="0" fontId="34" fillId="12" borderId="0" xfId="0" applyFont="1" applyFill="1" applyBorder="1" applyAlignment="1" applyProtection="1">
      <alignment vertical="center"/>
    </xf>
    <xf numFmtId="175" fontId="34" fillId="12" borderId="15" xfId="0" applyNumberFormat="1" applyFont="1" applyFill="1" applyBorder="1" applyAlignment="1" applyProtection="1">
      <alignment horizontal="center" vertical="center"/>
    </xf>
    <xf numFmtId="0" fontId="34" fillId="12" borderId="29" xfId="0" applyFont="1" applyFill="1" applyBorder="1" applyAlignment="1" applyProtection="1">
      <alignment horizontal="left" vertical="center"/>
    </xf>
    <xf numFmtId="175" fontId="34" fillId="13" borderId="1" xfId="0" applyNumberFormat="1" applyFont="1" applyFill="1" applyBorder="1" applyAlignment="1" applyProtection="1">
      <alignment horizontal="center" vertical="center"/>
      <protection locked="0"/>
    </xf>
    <xf numFmtId="172" fontId="40" fillId="12" borderId="10" xfId="13" applyNumberFormat="1" applyFont="1" applyFill="1" applyBorder="1" applyAlignment="1" applyProtection="1">
      <alignment horizontal="center" vertical="center"/>
    </xf>
    <xf numFmtId="0" fontId="40" fillId="15" borderId="29" xfId="0" applyFont="1" applyFill="1" applyBorder="1" applyAlignment="1" applyProtection="1">
      <alignment vertical="center"/>
    </xf>
    <xf numFmtId="0" fontId="4" fillId="15" borderId="0" xfId="0" applyFont="1" applyFill="1" applyBorder="1" applyAlignment="1" applyProtection="1">
      <alignment vertical="center"/>
    </xf>
    <xf numFmtId="0" fontId="34" fillId="15" borderId="0" xfId="0" applyFont="1" applyFill="1" applyBorder="1" applyAlignment="1" applyProtection="1">
      <alignment vertical="center"/>
    </xf>
    <xf numFmtId="175" fontId="40" fillId="15" borderId="10" xfId="0" applyNumberFormat="1" applyFont="1" applyFill="1" applyBorder="1" applyAlignment="1" applyProtection="1">
      <alignment horizontal="center" vertical="center"/>
    </xf>
    <xf numFmtId="0" fontId="44" fillId="12" borderId="8" xfId="0" applyFont="1" applyFill="1" applyBorder="1" applyAlignment="1">
      <alignment horizontal="left" vertical="center"/>
    </xf>
    <xf numFmtId="0" fontId="4" fillId="3" borderId="15" xfId="8" applyNumberFormat="1" applyFont="1" applyFill="1" applyBorder="1" applyAlignment="1" applyProtection="1">
      <alignment horizontal="right" vertical="center"/>
    </xf>
    <xf numFmtId="175" fontId="11" fillId="12" borderId="29" xfId="28" applyNumberFormat="1" applyFont="1" applyFill="1" applyBorder="1" applyAlignment="1" applyProtection="1">
      <alignment horizontal="center" vertical="center"/>
    </xf>
    <xf numFmtId="0" fontId="11" fillId="12" borderId="0" xfId="28" applyFont="1" applyFill="1" applyBorder="1" applyAlignment="1" applyProtection="1">
      <alignment horizontal="left" vertical="center"/>
    </xf>
    <xf numFmtId="0" fontId="11" fillId="12" borderId="0" xfId="28" applyFont="1" applyFill="1" applyBorder="1" applyAlignment="1" applyProtection="1">
      <alignment vertical="center"/>
    </xf>
    <xf numFmtId="175" fontId="11" fillId="12" borderId="9" xfId="28" applyNumberFormat="1" applyFont="1" applyFill="1" applyBorder="1" applyAlignment="1" applyProtection="1">
      <alignment horizontal="center" vertical="center"/>
    </xf>
    <xf numFmtId="0" fontId="50" fillId="0" borderId="0" xfId="0" applyFont="1" applyAlignment="1" applyProtection="1">
      <alignment vertical="center"/>
      <protection locked="0"/>
    </xf>
    <xf numFmtId="175" fontId="11" fillId="12" borderId="29" xfId="28" applyNumberFormat="1" applyFont="1" applyFill="1" applyBorder="1" applyAlignment="1" applyProtection="1">
      <alignment vertical="center"/>
    </xf>
    <xf numFmtId="175" fontId="11" fillId="15" borderId="9" xfId="28" applyNumberFormat="1" applyFont="1" applyFill="1" applyBorder="1" applyAlignment="1" applyProtection="1">
      <alignment horizontal="center" vertical="center"/>
    </xf>
    <xf numFmtId="0" fontId="11" fillId="15" borderId="8" xfId="28" applyFont="1" applyFill="1" applyBorder="1" applyAlignment="1" applyProtection="1">
      <alignment vertical="center"/>
    </xf>
    <xf numFmtId="0" fontId="4" fillId="15" borderId="12" xfId="0" applyFont="1" applyFill="1" applyBorder="1" applyAlignment="1" applyProtection="1">
      <alignment vertical="center"/>
      <protection locked="0"/>
    </xf>
    <xf numFmtId="172" fontId="40" fillId="12" borderId="10" xfId="0" applyNumberFormat="1" applyFont="1" applyFill="1" applyBorder="1" applyAlignment="1" applyProtection="1">
      <alignment horizontal="center" vertical="center"/>
    </xf>
    <xf numFmtId="175" fontId="34" fillId="12" borderId="29" xfId="0" applyNumberFormat="1" applyFont="1" applyFill="1" applyBorder="1" applyAlignment="1" applyProtection="1">
      <alignment horizontal="center" vertical="center"/>
    </xf>
    <xf numFmtId="0" fontId="34" fillId="12" borderId="15" xfId="0" applyFont="1" applyFill="1" applyBorder="1" applyAlignment="1" applyProtection="1">
      <alignment vertical="center"/>
    </xf>
    <xf numFmtId="175" fontId="34" fillId="12" borderId="9" xfId="0" applyNumberFormat="1" applyFont="1" applyFill="1" applyBorder="1" applyAlignment="1" applyProtection="1">
      <alignment horizontal="center" vertical="center"/>
    </xf>
    <xf numFmtId="0" fontId="4" fillId="15" borderId="12" xfId="0" applyFont="1" applyFill="1" applyBorder="1" applyProtection="1">
      <protection locked="0"/>
    </xf>
    <xf numFmtId="177" fontId="4" fillId="3" borderId="1" xfId="0" applyNumberFormat="1" applyFont="1" applyFill="1" applyBorder="1" applyAlignment="1" applyProtection="1">
      <alignment horizontal="right" vertical="center"/>
    </xf>
    <xf numFmtId="170"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34" xfId="0" applyNumberFormat="1" applyFont="1" applyFill="1" applyBorder="1" applyAlignment="1" applyProtection="1">
      <alignment horizontal="right" vertical="center"/>
    </xf>
    <xf numFmtId="171" fontId="4" fillId="3" borderId="34" xfId="0" applyNumberFormat="1" applyFont="1" applyFill="1" applyBorder="1" applyAlignment="1" applyProtection="1">
      <alignment horizontal="right" vertical="center"/>
    </xf>
    <xf numFmtId="1" fontId="4" fillId="5" borderId="2" xfId="0" applyNumberFormat="1" applyFont="1" applyFill="1" applyBorder="1" applyAlignment="1" applyProtection="1">
      <alignment vertical="center"/>
      <protection locked="0"/>
    </xf>
    <xf numFmtId="1" fontId="4" fillId="5" borderId="1" xfId="0" applyNumberFormat="1" applyFont="1" applyFill="1" applyBorder="1" applyAlignment="1" applyProtection="1">
      <alignment vertical="center"/>
      <protection locked="0"/>
    </xf>
    <xf numFmtId="1" fontId="4" fillId="11" borderId="2" xfId="0" applyNumberFormat="1" applyFont="1" applyFill="1" applyBorder="1" applyAlignment="1" applyProtection="1">
      <alignment vertical="center"/>
    </xf>
    <xf numFmtId="0" fontId="53" fillId="0" borderId="0" xfId="0" applyFont="1" applyAlignment="1" applyProtection="1">
      <alignment vertical="center"/>
      <protection locked="0"/>
    </xf>
    <xf numFmtId="0" fontId="4" fillId="12" borderId="0" xfId="0" applyFont="1" applyFill="1" applyAlignment="1" applyProtection="1">
      <alignment vertical="center"/>
      <protection locked="0"/>
    </xf>
    <xf numFmtId="0" fontId="4" fillId="3" borderId="3" xfId="19" applyFont="1" applyFill="1" applyBorder="1" applyAlignment="1" applyProtection="1">
      <alignment horizontal="center" vertical="center"/>
    </xf>
    <xf numFmtId="0" fontId="4" fillId="3" borderId="7" xfId="19" applyFont="1" applyFill="1" applyBorder="1" applyAlignment="1" applyProtection="1">
      <alignment horizontal="center" vertical="center"/>
    </xf>
    <xf numFmtId="179" fontId="4" fillId="2" borderId="1" xfId="19" applyNumberFormat="1" applyFont="1" applyFill="1" applyBorder="1" applyAlignment="1" applyProtection="1">
      <alignment vertical="center"/>
      <protection locked="0"/>
    </xf>
    <xf numFmtId="3" fontId="4" fillId="3" borderId="1" xfId="19" applyNumberFormat="1" applyFont="1" applyFill="1" applyBorder="1" applyAlignment="1" applyProtection="1">
      <alignment vertical="center"/>
    </xf>
    <xf numFmtId="0" fontId="4" fillId="0" borderId="0" xfId="66" applyFont="1" applyAlignment="1">
      <alignment vertical="center"/>
    </xf>
    <xf numFmtId="0" fontId="4" fillId="0" borderId="0" xfId="318" applyFont="1" applyAlignment="1">
      <alignment vertical="center" wrapText="1"/>
    </xf>
    <xf numFmtId="0" fontId="4" fillId="0" borderId="0" xfId="12" applyFont="1" applyAlignment="1">
      <alignment vertical="center" wrapText="1"/>
    </xf>
    <xf numFmtId="0" fontId="4" fillId="0" borderId="0" xfId="13" applyFont="1" applyAlignment="1">
      <alignment vertical="center" wrapText="1"/>
    </xf>
    <xf numFmtId="0" fontId="4" fillId="0" borderId="0" xfId="33" applyFont="1" applyAlignment="1">
      <alignment vertical="center" wrapText="1"/>
    </xf>
    <xf numFmtId="0" fontId="4" fillId="0" borderId="0" xfId="25" applyFont="1" applyAlignment="1">
      <alignment vertical="center" wrapText="1"/>
    </xf>
    <xf numFmtId="0" fontId="4" fillId="0" borderId="0" xfId="55" applyFont="1" applyAlignment="1">
      <alignment vertical="center" wrapText="1"/>
    </xf>
    <xf numFmtId="0" fontId="4" fillId="0" borderId="0" xfId="62" applyFont="1" applyAlignment="1">
      <alignment vertical="center" wrapText="1"/>
    </xf>
    <xf numFmtId="0" fontId="4" fillId="0" borderId="0" xfId="85" applyFont="1" applyAlignment="1">
      <alignment vertical="center" wrapText="1"/>
    </xf>
    <xf numFmtId="0" fontId="45" fillId="0" borderId="0" xfId="0" applyFont="1" applyAlignment="1" applyProtection="1">
      <alignment vertical="center"/>
    </xf>
    <xf numFmtId="0" fontId="10" fillId="18" borderId="0" xfId="8" applyFill="1" applyAlignment="1" applyProtection="1"/>
    <xf numFmtId="0" fontId="46" fillId="18" borderId="0" xfId="284" applyFill="1"/>
    <xf numFmtId="0" fontId="4" fillId="0" borderId="0" xfId="93" applyFont="1" applyAlignment="1">
      <alignment vertical="center"/>
    </xf>
    <xf numFmtId="0" fontId="0" fillId="0" borderId="0" xfId="0" applyAlignment="1">
      <alignment vertical="center"/>
    </xf>
    <xf numFmtId="0" fontId="4" fillId="3" borderId="0" xfId="0" applyFont="1" applyFill="1" applyAlignment="1" applyProtection="1">
      <alignment horizontal="right" vertical="center"/>
    </xf>
    <xf numFmtId="0" fontId="0" fillId="0" borderId="0" xfId="0" applyAlignment="1">
      <alignment vertical="center"/>
    </xf>
    <xf numFmtId="0" fontId="2" fillId="0" borderId="4" xfId="32" applyBorder="1" applyAlignment="1">
      <alignment horizontal="right" vertical="center"/>
    </xf>
    <xf numFmtId="0" fontId="4" fillId="0" borderId="15" xfId="32" applyFont="1" applyBorder="1" applyAlignment="1">
      <alignment horizontal="right" vertical="center"/>
    </xf>
    <xf numFmtId="37" fontId="4" fillId="3" borderId="0" xfId="0" applyNumberFormat="1" applyFont="1" applyFill="1" applyBorder="1" applyAlignment="1" applyProtection="1">
      <alignment horizontal="center" vertical="center"/>
    </xf>
    <xf numFmtId="0" fontId="4" fillId="3" borderId="0" xfId="0" applyFont="1" applyFill="1" applyAlignment="1" applyProtection="1">
      <alignment horizontal="right" vertical="center"/>
    </xf>
    <xf numFmtId="37" fontId="4" fillId="5" borderId="2" xfId="0" applyNumberFormat="1" applyFont="1" applyFill="1" applyBorder="1" applyAlignment="1" applyProtection="1">
      <alignment horizontal="right" vertical="center"/>
      <protection locked="0"/>
    </xf>
    <xf numFmtId="3" fontId="3" fillId="3" borderId="1"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37" fontId="4" fillId="3" borderId="6" xfId="0" applyNumberFormat="1" applyFont="1" applyFill="1" applyBorder="1" applyAlignment="1" applyProtection="1">
      <alignment horizontal="fill" vertical="center"/>
    </xf>
    <xf numFmtId="37" fontId="4" fillId="11" borderId="7" xfId="0" applyNumberFormat="1" applyFont="1" applyFill="1" applyBorder="1" applyAlignment="1" applyProtection="1">
      <alignment vertical="center"/>
    </xf>
    <xf numFmtId="0" fontId="33" fillId="16" borderId="0" xfId="0" applyFont="1" applyFill="1" applyBorder="1" applyAlignment="1">
      <alignment horizontal="center" vertical="center"/>
    </xf>
    <xf numFmtId="3" fontId="0" fillId="13" borderId="0" xfId="0" applyNumberFormat="1" applyFill="1" applyBorder="1" applyAlignment="1" applyProtection="1">
      <alignment horizontal="center" vertical="center"/>
      <protection locked="0"/>
    </xf>
    <xf numFmtId="3" fontId="0" fillId="14" borderId="0" xfId="0" applyNumberFormat="1" applyFill="1" applyBorder="1" applyAlignment="1">
      <alignment horizontal="center" vertical="center"/>
    </xf>
    <xf numFmtId="0" fontId="0" fillId="16" borderId="0" xfId="0" applyFill="1" applyBorder="1" applyAlignment="1">
      <alignment horizontal="center" vertical="center" wrapText="1"/>
    </xf>
    <xf numFmtId="0" fontId="4" fillId="3" borderId="0" xfId="0" applyNumberFormat="1" applyFont="1" applyFill="1" applyBorder="1" applyAlignment="1" applyProtection="1">
      <alignment horizontal="fill" vertical="center"/>
    </xf>
    <xf numFmtId="0" fontId="4" fillId="3" borderId="1" xfId="0" applyNumberFormat="1" applyFont="1" applyFill="1" applyBorder="1" applyAlignment="1" applyProtection="1">
      <alignment horizontal="center" vertical="center"/>
    </xf>
    <xf numFmtId="10" fontId="4" fillId="3" borderId="0" xfId="0" applyNumberFormat="1" applyFont="1" applyFill="1" applyAlignment="1">
      <alignment horizontal="center" vertical="center"/>
    </xf>
    <xf numFmtId="0" fontId="53" fillId="2" borderId="2" xfId="0" applyFont="1" applyFill="1" applyBorder="1" applyAlignment="1" applyProtection="1">
      <alignment horizontal="left" vertical="center"/>
      <protection locked="0"/>
    </xf>
    <xf numFmtId="0" fontId="0" fillId="0" borderId="0" xfId="0" applyAlignment="1">
      <alignment vertical="center"/>
    </xf>
    <xf numFmtId="37" fontId="4" fillId="12"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37" fontId="3" fillId="3" borderId="10" xfId="0" applyNumberFormat="1" applyFont="1" applyFill="1" applyBorder="1" applyAlignment="1" applyProtection="1">
      <alignment horizontal="center" vertical="center"/>
    </xf>
    <xf numFmtId="3" fontId="4" fillId="2" borderId="1" xfId="0" applyNumberFormat="1" applyFont="1" applyFill="1" applyBorder="1" applyAlignment="1" applyProtection="1">
      <alignment horizontal="left" vertical="center"/>
      <protection locked="0"/>
    </xf>
    <xf numFmtId="3" fontId="4" fillId="2" borderId="2" xfId="0" applyNumberFormat="1" applyFont="1" applyFill="1" applyBorder="1" applyAlignment="1" applyProtection="1">
      <alignment horizontal="left" vertical="center"/>
      <protection locked="0"/>
    </xf>
    <xf numFmtId="3" fontId="3" fillId="4" borderId="1" xfId="0" applyNumberFormat="1" applyFont="1" applyFill="1" applyBorder="1" applyAlignment="1" applyProtection="1">
      <alignment vertical="center"/>
      <protection locked="0"/>
    </xf>
    <xf numFmtId="3" fontId="3" fillId="2" borderId="1" xfId="0" applyNumberFormat="1"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3" fontId="3" fillId="4" borderId="1" xfId="1" applyNumberFormat="1"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0" borderId="0" xfId="0" applyFont="1" applyAlignment="1">
      <alignment vertical="center"/>
    </xf>
    <xf numFmtId="0" fontId="4" fillId="3" borderId="0" xfId="32" applyFont="1" applyFill="1" applyAlignment="1" applyProtection="1">
      <alignment horizontal="left" vertical="center"/>
    </xf>
    <xf numFmtId="3" fontId="4" fillId="3" borderId="13" xfId="32" applyNumberFormat="1" applyFont="1" applyFill="1" applyBorder="1" applyAlignment="1" applyProtection="1">
      <alignment horizontal="left" vertical="center"/>
    </xf>
    <xf numFmtId="3" fontId="4" fillId="0" borderId="1" xfId="0" applyNumberFormat="1" applyFont="1" applyFill="1" applyBorder="1" applyAlignment="1" applyProtection="1">
      <alignment vertical="center"/>
      <protection locked="0"/>
    </xf>
    <xf numFmtId="180" fontId="4" fillId="2" borderId="1" xfId="0" applyNumberFormat="1" applyFont="1" applyFill="1" applyBorder="1" applyAlignment="1" applyProtection="1">
      <alignment horizontal="center" vertical="center"/>
      <protection locked="0"/>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4" fillId="3" borderId="1" xfId="0" applyFont="1" applyFill="1" applyBorder="1" applyAlignment="1" applyProtection="1">
      <alignment horizontal="centerContinuous" vertical="center"/>
    </xf>
    <xf numFmtId="1" fontId="4" fillId="3" borderId="1" xfId="0" applyNumberFormat="1" applyFont="1" applyFill="1" applyBorder="1" applyAlignment="1" applyProtection="1">
      <alignment horizontal="centerContinuous" vertical="center"/>
    </xf>
    <xf numFmtId="3" fontId="4" fillId="11" borderId="0" xfId="0" applyNumberFormat="1" applyFont="1" applyFill="1" applyBorder="1" applyAlignment="1" applyProtection="1">
      <alignment vertical="center"/>
    </xf>
    <xf numFmtId="0" fontId="4" fillId="14" borderId="0" xfId="0" applyFont="1" applyFill="1" applyAlignment="1" applyProtection="1">
      <alignment horizontal="center" vertical="center"/>
      <protection locked="0"/>
    </xf>
    <xf numFmtId="0" fontId="0" fillId="0" borderId="0" xfId="0" applyAlignment="1">
      <alignment vertical="center"/>
    </xf>
    <xf numFmtId="0" fontId="4" fillId="3" borderId="0" xfId="0" applyFont="1" applyFill="1" applyAlignment="1" applyProtection="1">
      <alignment horizontal="right" vertical="center"/>
    </xf>
    <xf numFmtId="0" fontId="13" fillId="3" borderId="0" xfId="0" applyFont="1" applyFill="1" applyBorder="1" applyAlignment="1">
      <alignment horizontal="center" vertical="center"/>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37" fontId="3" fillId="10" borderId="14" xfId="0" applyNumberFormat="1" applyFont="1" applyFill="1" applyBorder="1" applyAlignment="1" applyProtection="1">
      <alignment horizontal="center" vertical="center"/>
    </xf>
    <xf numFmtId="0" fontId="0" fillId="0" borderId="14" xfId="0" applyBorder="1" applyAlignment="1">
      <alignment horizontal="center" vertical="center"/>
    </xf>
    <xf numFmtId="37" fontId="12" fillId="3" borderId="0"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1" fillId="3" borderId="14" xfId="0" applyFont="1" applyFill="1" applyBorder="1" applyAlignment="1">
      <alignment horizontal="center" vertical="center"/>
    </xf>
    <xf numFmtId="37" fontId="4" fillId="3" borderId="6" xfId="0" applyNumberFormat="1"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3" fontId="4" fillId="3" borderId="6" xfId="0" applyNumberFormat="1" applyFont="1" applyFill="1" applyBorder="1" applyAlignment="1" applyProtection="1">
      <alignment vertical="center" wrapText="1"/>
      <protection locked="0"/>
    </xf>
    <xf numFmtId="3" fontId="4" fillId="3" borderId="7" xfId="0" applyNumberFormat="1" applyFont="1" applyFill="1" applyBorder="1" applyAlignment="1" applyProtection="1">
      <alignment vertical="center" wrapText="1"/>
      <protection locked="0"/>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3" fillId="3" borderId="14" xfId="0" applyFont="1" applyFill="1" applyBorder="1" applyAlignment="1" applyProtection="1">
      <alignment horizontal="center" vertical="center"/>
    </xf>
    <xf numFmtId="0" fontId="18" fillId="0" borderId="14" xfId="0" applyFont="1" applyBorder="1" applyAlignment="1">
      <alignment vertical="center"/>
    </xf>
    <xf numFmtId="0" fontId="18" fillId="0" borderId="14" xfId="0" applyFont="1" applyBorder="1" applyAlignment="1">
      <alignment horizontal="center" vertical="center"/>
    </xf>
    <xf numFmtId="37" fontId="4" fillId="3" borderId="3" xfId="0" applyNumberFormat="1" applyFont="1" applyFill="1" applyBorder="1" applyAlignment="1" applyProtection="1">
      <alignment horizontal="center" vertical="center" wrapText="1"/>
    </xf>
    <xf numFmtId="0" fontId="0" fillId="0" borderId="7" xfId="0" applyBorder="1" applyAlignment="1">
      <alignment horizontal="center" vertical="center" wrapText="1"/>
    </xf>
    <xf numFmtId="0" fontId="15" fillId="3" borderId="0" xfId="0" applyFont="1" applyFill="1" applyBorder="1" applyAlignment="1">
      <alignment vertical="center"/>
    </xf>
    <xf numFmtId="0" fontId="19" fillId="0" borderId="0" xfId="0" applyFont="1" applyAlignment="1">
      <alignment vertical="center"/>
    </xf>
    <xf numFmtId="0" fontId="4" fillId="7" borderId="3" xfId="0" applyFont="1" applyFill="1" applyBorder="1" applyAlignment="1">
      <alignment horizontal="center" vertical="center" wrapText="1"/>
    </xf>
    <xf numFmtId="0" fontId="0" fillId="0" borderId="6" xfId="0" applyBorder="1" applyAlignment="1">
      <alignment horizontal="center" vertical="center" wrapText="1"/>
    </xf>
    <xf numFmtId="3" fontId="4" fillId="3" borderId="3" xfId="0" applyNumberFormat="1" applyFont="1" applyFill="1" applyBorder="1" applyAlignment="1" applyProtection="1">
      <alignment horizontal="center" vertical="center" wrapText="1"/>
    </xf>
    <xf numFmtId="0" fontId="4" fillId="8" borderId="0" xfId="0" applyFont="1" applyFill="1" applyBorder="1" applyAlignment="1">
      <alignment vertical="center" wrapText="1"/>
    </xf>
    <xf numFmtId="0" fontId="0" fillId="0" borderId="0" xfId="0" applyAlignment="1">
      <alignment vertical="center"/>
    </xf>
    <xf numFmtId="37" fontId="3" fillId="3" borderId="29" xfId="0" applyNumberFormat="1" applyFont="1" applyFill="1" applyBorder="1" applyAlignment="1" applyProtection="1">
      <alignment horizontal="center" vertical="center"/>
    </xf>
    <xf numFmtId="0" fontId="0" fillId="0" borderId="15" xfId="0" applyBorder="1" applyAlignment="1">
      <alignment horizontal="center" vertical="center"/>
    </xf>
    <xf numFmtId="0" fontId="4" fillId="0" borderId="0" xfId="313" applyFont="1" applyAlignment="1">
      <alignment horizontal="left" vertical="center" wrapText="1"/>
    </xf>
    <xf numFmtId="0" fontId="28" fillId="0" borderId="0" xfId="313" applyAlignment="1">
      <alignment horizontal="left" vertical="center" wrapText="1"/>
    </xf>
    <xf numFmtId="0" fontId="12" fillId="0" borderId="0" xfId="313" applyFont="1" applyAlignment="1">
      <alignment horizontal="left" vertical="center"/>
    </xf>
    <xf numFmtId="37" fontId="4" fillId="12" borderId="0" xfId="0" applyNumberFormat="1" applyFont="1" applyFill="1" applyAlignment="1" applyProtection="1">
      <alignment horizontal="center" vertical="center"/>
    </xf>
    <xf numFmtId="0" fontId="8" fillId="16" borderId="2" xfId="0" applyFont="1" applyFill="1" applyBorder="1" applyAlignment="1" applyProtection="1">
      <alignment horizontal="center" vertical="center"/>
    </xf>
    <xf numFmtId="0" fontId="33" fillId="16" borderId="10" xfId="0" applyFont="1" applyFill="1" applyBorder="1" applyAlignment="1">
      <alignment horizontal="center" vertical="center"/>
    </xf>
    <xf numFmtId="3" fontId="4" fillId="13" borderId="5" xfId="0" applyNumberFormat="1" applyFont="1" applyFill="1" applyBorder="1" applyAlignment="1" applyProtection="1">
      <alignment horizontal="center" vertical="center"/>
      <protection locked="0"/>
    </xf>
    <xf numFmtId="3" fontId="0" fillId="13" borderId="4" xfId="0" applyNumberFormat="1" applyFill="1" applyBorder="1" applyAlignment="1" applyProtection="1">
      <alignment horizontal="center" vertical="center"/>
      <protection locked="0"/>
    </xf>
    <xf numFmtId="0" fontId="4" fillId="3" borderId="0" xfId="0" applyFont="1" applyFill="1" applyAlignment="1" applyProtection="1">
      <alignment horizontal="center" vertical="center"/>
    </xf>
    <xf numFmtId="3" fontId="4" fillId="14" borderId="2" xfId="0" applyNumberFormat="1" applyFont="1" applyFill="1" applyBorder="1" applyAlignment="1" applyProtection="1">
      <alignment horizontal="center" vertical="center"/>
    </xf>
    <xf numFmtId="3" fontId="0" fillId="14" borderId="10" xfId="0" applyNumberFormat="1" applyFill="1" applyBorder="1" applyAlignment="1">
      <alignment horizontal="center" vertical="center"/>
    </xf>
    <xf numFmtId="0" fontId="4" fillId="16" borderId="5" xfId="0" applyFont="1" applyFill="1" applyBorder="1" applyAlignment="1" applyProtection="1">
      <alignment horizontal="center" vertical="center" wrapText="1"/>
    </xf>
    <xf numFmtId="0" fontId="0" fillId="16" borderId="4"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12" xfId="0" applyFill="1" applyBorder="1" applyAlignment="1">
      <alignment horizontal="center" vertical="center" wrapText="1"/>
    </xf>
    <xf numFmtId="0" fontId="6" fillId="3" borderId="0" xfId="0"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37" fontId="4" fillId="3" borderId="2" xfId="0" applyNumberFormat="1" applyFont="1" applyFill="1" applyBorder="1" applyAlignment="1" applyProtection="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37" fontId="3" fillId="3" borderId="0" xfId="0" applyNumberFormat="1" applyFont="1" applyFill="1" applyAlignment="1" applyProtection="1">
      <alignment horizontal="center" vertical="center"/>
    </xf>
    <xf numFmtId="0" fontId="3" fillId="3" borderId="0" xfId="0" applyFont="1" applyFill="1" applyAlignment="1" applyProtection="1">
      <alignment horizontal="center" vertical="center"/>
    </xf>
    <xf numFmtId="0" fontId="4" fillId="3" borderId="9" xfId="0" applyFont="1" applyFill="1" applyBorder="1" applyAlignment="1" applyProtection="1">
      <alignment horizontal="center"/>
    </xf>
    <xf numFmtId="0" fontId="0" fillId="0" borderId="12" xfId="0" applyBorder="1" applyAlignment="1" applyProtection="1"/>
    <xf numFmtId="1" fontId="4" fillId="3" borderId="9" xfId="0" applyNumberFormat="1" applyFont="1" applyFill="1" applyBorder="1" applyAlignment="1" applyProtection="1">
      <alignment horizontal="center"/>
    </xf>
    <xf numFmtId="0" fontId="0" fillId="0" borderId="12" xfId="0" applyBorder="1" applyAlignment="1" applyProtection="1">
      <alignment horizontal="center"/>
    </xf>
    <xf numFmtId="0" fontId="12" fillId="12" borderId="0" xfId="316" applyFont="1" applyFill="1" applyAlignment="1">
      <alignment horizontal="center"/>
    </xf>
    <xf numFmtId="0" fontId="2" fillId="12" borderId="0" xfId="19" applyFill="1" applyAlignment="1">
      <alignment horizontal="center"/>
    </xf>
    <xf numFmtId="0" fontId="3" fillId="12" borderId="0" xfId="19" applyFont="1" applyFill="1" applyAlignment="1">
      <alignment horizontal="center" vertical="center"/>
    </xf>
    <xf numFmtId="0" fontId="12" fillId="12" borderId="0" xfId="19" applyFont="1" applyFill="1" applyAlignment="1">
      <alignment horizontal="center" vertical="center"/>
    </xf>
    <xf numFmtId="0" fontId="4" fillId="12" borderId="0" xfId="19" applyFont="1" applyFill="1" applyAlignment="1">
      <alignment vertical="center" wrapText="1"/>
    </xf>
    <xf numFmtId="0" fontId="39" fillId="12" borderId="5" xfId="28" applyFont="1" applyFill="1" applyBorder="1" applyAlignment="1" applyProtection="1">
      <alignment horizontal="center" vertical="center"/>
    </xf>
    <xf numFmtId="0" fontId="39" fillId="12" borderId="13" xfId="28" applyFont="1" applyFill="1" applyBorder="1" applyAlignment="1" applyProtection="1">
      <alignment horizontal="center" vertical="center"/>
    </xf>
    <xf numFmtId="0" fontId="39" fillId="12" borderId="4" xfId="28" applyFont="1" applyFill="1" applyBorder="1" applyAlignment="1" applyProtection="1">
      <alignment horizontal="center"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3" fontId="4" fillId="3" borderId="13" xfId="32" applyNumberFormat="1" applyFont="1" applyFill="1" applyBorder="1" applyAlignment="1" applyProtection="1">
      <alignment horizontal="right" vertical="center"/>
    </xf>
    <xf numFmtId="0" fontId="2" fillId="0" borderId="4" xfId="32" applyBorder="1" applyAlignment="1">
      <alignment horizontal="right" vertical="center"/>
    </xf>
    <xf numFmtId="0" fontId="4" fillId="3" borderId="0" xfId="32" applyFont="1" applyFill="1" applyAlignment="1" applyProtection="1">
      <alignment horizontal="right" vertical="center"/>
    </xf>
    <xf numFmtId="0" fontId="4" fillId="0" borderId="15" xfId="32" applyFont="1" applyBorder="1" applyAlignment="1">
      <alignment horizontal="right" vertical="center"/>
    </xf>
    <xf numFmtId="0" fontId="0" fillId="0" borderId="13" xfId="0" applyBorder="1" applyAlignment="1">
      <alignment vertical="center"/>
    </xf>
    <xf numFmtId="0" fontId="0" fillId="0" borderId="4" xfId="0" applyBorder="1" applyAlignment="1">
      <alignment vertical="center"/>
    </xf>
    <xf numFmtId="172" fontId="39" fillId="12" borderId="5" xfId="0" applyNumberFormat="1" applyFont="1" applyFill="1" applyBorder="1" applyAlignment="1" applyProtection="1">
      <alignment horizontal="center"/>
    </xf>
    <xf numFmtId="0" fontId="14" fillId="0" borderId="13" xfId="0" applyFont="1" applyBorder="1" applyAlignment="1"/>
    <xf numFmtId="0" fontId="14" fillId="0" borderId="4" xfId="0" applyFont="1" applyBorder="1" applyAlignment="1"/>
    <xf numFmtId="0" fontId="39" fillId="12" borderId="5" xfId="0" applyFont="1" applyFill="1" applyBorder="1" applyAlignment="1" applyProtection="1">
      <alignment horizontal="center" vertical="center"/>
    </xf>
    <xf numFmtId="0" fontId="41" fillId="12" borderId="5" xfId="28" applyFont="1" applyFill="1" applyBorder="1" applyAlignment="1" applyProtection="1">
      <alignment horizontal="center" vertical="center"/>
    </xf>
    <xf numFmtId="0" fontId="0" fillId="0" borderId="13" xfId="0" applyBorder="1" applyAlignment="1">
      <alignment horizontal="center" vertical="center"/>
    </xf>
    <xf numFmtId="0" fontId="39" fillId="12" borderId="13" xfId="0" applyFont="1" applyFill="1" applyBorder="1" applyAlignment="1" applyProtection="1">
      <alignment horizontal="center" vertical="center"/>
    </xf>
    <xf numFmtId="0" fontId="39" fillId="12" borderId="4" xfId="0"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3" borderId="10"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10" xfId="0" applyFont="1" applyFill="1" applyBorder="1" applyAlignment="1">
      <alignment horizontal="center" vertical="center"/>
    </xf>
    <xf numFmtId="37" fontId="4" fillId="3" borderId="11" xfId="0" applyNumberFormat="1" applyFont="1" applyFill="1" applyBorder="1" applyAlignment="1" applyProtection="1">
      <alignment horizontal="center" vertical="center"/>
    </xf>
    <xf numFmtId="37" fontId="4" fillId="3" borderId="10" xfId="0" applyNumberFormat="1" applyFont="1" applyFill="1" applyBorder="1" applyAlignment="1" applyProtection="1">
      <alignment horizontal="center" vertical="center"/>
    </xf>
    <xf numFmtId="37" fontId="3" fillId="12" borderId="0" xfId="0" applyNumberFormat="1" applyFont="1" applyFill="1" applyAlignment="1" applyProtection="1">
      <alignment horizontal="center" vertical="center"/>
    </xf>
    <xf numFmtId="0" fontId="12" fillId="12" borderId="5" xfId="29" applyFont="1" applyFill="1" applyBorder="1" applyAlignment="1" applyProtection="1">
      <alignment horizontal="center"/>
    </xf>
    <xf numFmtId="0" fontId="0" fillId="0" borderId="13" xfId="0" applyBorder="1" applyAlignment="1">
      <alignment horizontal="center"/>
    </xf>
    <xf numFmtId="0" fontId="0" fillId="0" borderId="4" xfId="0" applyBorder="1" applyAlignment="1">
      <alignment horizontal="center"/>
    </xf>
    <xf numFmtId="0" fontId="2" fillId="0" borderId="13" xfId="29" applyBorder="1" applyAlignment="1" applyProtection="1">
      <alignment horizontal="center"/>
    </xf>
    <xf numFmtId="0" fontId="2" fillId="0" borderId="4" xfId="29" applyBorder="1" applyAlignment="1" applyProtection="1">
      <alignment horizontal="center"/>
    </xf>
    <xf numFmtId="37" fontId="4" fillId="3" borderId="0" xfId="0" applyNumberFormat="1" applyFont="1" applyFill="1" applyBorder="1" applyAlignment="1" applyProtection="1">
      <alignment horizontal="center" vertical="center"/>
    </xf>
    <xf numFmtId="49" fontId="4" fillId="12" borderId="0" xfId="0" applyNumberFormat="1" applyFont="1" applyFill="1" applyBorder="1" applyAlignment="1" applyProtection="1">
      <alignment horizontal="left" vertical="center"/>
      <protection locked="0"/>
    </xf>
    <xf numFmtId="0" fontId="0" fillId="12" borderId="0" xfId="0" applyFill="1" applyBorder="1" applyAlignment="1" applyProtection="1">
      <alignment horizontal="left" vertical="center"/>
      <protection locked="0"/>
    </xf>
    <xf numFmtId="37" fontId="4" fillId="3" borderId="13" xfId="0" applyNumberFormat="1" applyFont="1" applyFill="1" applyBorder="1" applyAlignment="1" applyProtection="1">
      <alignment horizontal="center" vertical="center"/>
    </xf>
    <xf numFmtId="37" fontId="3" fillId="3" borderId="8" xfId="0" applyNumberFormat="1" applyFont="1" applyFill="1" applyBorder="1" applyAlignment="1" applyProtection="1">
      <alignment horizontal="center" vertical="center"/>
      <protection locked="0"/>
    </xf>
    <xf numFmtId="0" fontId="29" fillId="0" borderId="8" xfId="0" applyFont="1" applyBorder="1" applyAlignment="1">
      <alignment horizontal="center" vertical="center"/>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170" fontId="35" fillId="13" borderId="8" xfId="0" applyNumberFormat="1" applyFont="1" applyFill="1" applyBorder="1" applyAlignment="1" applyProtection="1">
      <alignment horizontal="center"/>
      <protection locked="0"/>
    </xf>
    <xf numFmtId="176" fontId="35" fillId="12" borderId="0" xfId="0" applyNumberFormat="1" applyFont="1" applyFill="1" applyBorder="1" applyAlignment="1">
      <alignment horizontal="center"/>
    </xf>
    <xf numFmtId="176" fontId="35" fillId="0" borderId="28" xfId="0" applyNumberFormat="1" applyFont="1" applyBorder="1" applyAlignment="1">
      <alignment horizontal="center"/>
    </xf>
    <xf numFmtId="175" fontId="35" fillId="12" borderId="0" xfId="0" applyNumberFormat="1" applyFont="1" applyFill="1" applyBorder="1" applyAlignment="1">
      <alignment horizontal="center"/>
    </xf>
    <xf numFmtId="0" fontId="35" fillId="12" borderId="13" xfId="0" applyFont="1" applyFill="1" applyBorder="1" applyAlignment="1">
      <alignment horizontal="center"/>
    </xf>
    <xf numFmtId="0" fontId="35" fillId="12" borderId="22" xfId="0" applyFont="1" applyFill="1" applyBorder="1" applyAlignment="1">
      <alignment vertical="top" wrapText="1"/>
    </xf>
    <xf numFmtId="0" fontId="35" fillId="0" borderId="0" xfId="0" applyFont="1" applyAlignment="1">
      <alignment vertical="top" wrapText="1"/>
    </xf>
    <xf numFmtId="0" fontId="35" fillId="0" borderId="28" xfId="0" applyFont="1" applyBorder="1" applyAlignment="1">
      <alignment vertical="top" wrapText="1"/>
    </xf>
    <xf numFmtId="0" fontId="35" fillId="0" borderId="28" xfId="0" applyFont="1" applyBorder="1" applyAlignment="1">
      <alignment horizontal="center"/>
    </xf>
    <xf numFmtId="0" fontId="35" fillId="12" borderId="0" xfId="0" applyFont="1" applyFill="1" applyBorder="1" applyAlignment="1">
      <alignment wrapText="1"/>
    </xf>
    <xf numFmtId="0" fontId="35" fillId="0" borderId="0" xfId="0" applyFont="1" applyAlignment="1">
      <alignment wrapText="1"/>
    </xf>
    <xf numFmtId="175" fontId="35" fillId="13" borderId="8" xfId="0" applyNumberFormat="1" applyFont="1" applyFill="1" applyBorder="1" applyAlignment="1" applyProtection="1">
      <alignment horizontal="center"/>
      <protection locked="0"/>
    </xf>
    <xf numFmtId="0" fontId="49" fillId="12" borderId="26" xfId="0" applyFont="1" applyFill="1" applyBorder="1" applyAlignment="1">
      <alignment horizontal="center" vertical="center"/>
    </xf>
    <xf numFmtId="0" fontId="49" fillId="12" borderId="0" xfId="0" applyFont="1" applyFill="1" applyAlignment="1">
      <alignment horizontal="center" wrapText="1"/>
    </xf>
    <xf numFmtId="0" fontId="35" fillId="0" borderId="26" xfId="0" applyFont="1" applyBorder="1" applyAlignment="1">
      <alignment horizontal="center" vertical="center"/>
    </xf>
    <xf numFmtId="0" fontId="49" fillId="12" borderId="0" xfId="0" applyFont="1" applyFill="1" applyBorder="1" applyAlignment="1">
      <alignment horizontal="center" wrapText="1"/>
    </xf>
    <xf numFmtId="0" fontId="35" fillId="0" borderId="0" xfId="0" applyFont="1" applyAlignment="1">
      <alignment horizontal="center" wrapText="1"/>
    </xf>
    <xf numFmtId="0" fontId="49" fillId="0" borderId="0" xfId="0" applyFont="1" applyAlignment="1">
      <alignment horizontal="center" wrapText="1"/>
    </xf>
    <xf numFmtId="5" fontId="35" fillId="12" borderId="8" xfId="0" applyNumberFormat="1" applyFont="1" applyFill="1" applyBorder="1" applyAlignment="1">
      <alignment horizontal="center"/>
    </xf>
    <xf numFmtId="0" fontId="35" fillId="12" borderId="0" xfId="0" applyFont="1" applyFill="1" applyAlignment="1">
      <alignment wrapText="1"/>
    </xf>
    <xf numFmtId="0" fontId="35" fillId="12" borderId="0" xfId="0" applyFont="1" applyFill="1" applyBorder="1" applyAlignment="1">
      <alignment horizontal="center"/>
    </xf>
    <xf numFmtId="175" fontId="35" fillId="12" borderId="0" xfId="0" applyNumberFormat="1" applyFont="1" applyFill="1" applyAlignment="1"/>
    <xf numFmtId="0" fontId="35" fillId="12" borderId="14" xfId="0" applyFont="1" applyFill="1" applyBorder="1" applyAlignment="1"/>
    <xf numFmtId="0" fontId="35" fillId="12" borderId="30" xfId="0" applyFont="1" applyFill="1" applyBorder="1" applyAlignment="1"/>
    <xf numFmtId="0" fontId="49" fillId="12" borderId="0" xfId="0" applyFont="1" applyFill="1" applyAlignment="1">
      <alignment horizontal="center"/>
    </xf>
    <xf numFmtId="175" fontId="35" fillId="12" borderId="0" xfId="0" applyNumberFormat="1" applyFont="1" applyFill="1" applyAlignment="1">
      <alignment horizontal="center"/>
    </xf>
    <xf numFmtId="175"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49" fillId="12" borderId="0" xfId="0" applyFont="1" applyFill="1" applyAlignment="1">
      <alignment horizontal="center" vertical="center"/>
    </xf>
    <xf numFmtId="0" fontId="49" fillId="0" borderId="0" xfId="0" applyFont="1" applyAlignment="1">
      <alignment horizontal="center" vertical="center"/>
    </xf>
  </cellXfs>
  <cellStyles count="323">
    <cellStyle name="Comma" xfId="1" builtinId="3"/>
    <cellStyle name="Comma 11 2" xfId="2"/>
    <cellStyle name="Comma 16" xfId="3"/>
    <cellStyle name="Comma 16 2" xfId="4"/>
    <cellStyle name="Comma 16 3" xfId="5"/>
    <cellStyle name="Comma 2" xfId="6"/>
    <cellStyle name="Comma 2 2" xfId="7"/>
    <cellStyle name="Hyperlink" xfId="8" builtinId="8"/>
    <cellStyle name="Hyperlink 7 2" xfId="9"/>
    <cellStyle name="Normal" xfId="0" builtinId="0"/>
    <cellStyle name="Normal 10" xfId="10"/>
    <cellStyle name="Normal 10 2" xfId="11"/>
    <cellStyle name="Normal 10 2 2" xfId="12"/>
    <cellStyle name="Normal 10 2 2 2" xfId="13"/>
    <cellStyle name="Normal 10 3" xfId="14"/>
    <cellStyle name="Normal 10 3 2" xfId="15"/>
    <cellStyle name="Normal 10 4" xfId="16"/>
    <cellStyle name="Normal 10 4 2" xfId="17"/>
    <cellStyle name="Normal 10 4 3" xfId="18"/>
    <cellStyle name="Normal 10 5" xfId="19"/>
    <cellStyle name="Normal 10 6" xfId="20"/>
    <cellStyle name="Normal 10 6 2" xfId="21"/>
    <cellStyle name="Normal 10 6 3" xfId="22"/>
    <cellStyle name="Normal 10 7" xfId="23"/>
    <cellStyle name="Normal 11" xfId="24"/>
    <cellStyle name="Normal 11 2" xfId="25"/>
    <cellStyle name="Normal 11 3" xfId="26"/>
    <cellStyle name="Normal 11 4" xfId="27"/>
    <cellStyle name="Normal 12" xfId="28"/>
    <cellStyle name="Normal 12 10" xfId="29"/>
    <cellStyle name="Normal 12 11" xfId="30"/>
    <cellStyle name="Normal 12 12" xfId="31"/>
    <cellStyle name="Normal 12 2" xfId="32"/>
    <cellStyle name="Normal 12 2 2" xfId="33"/>
    <cellStyle name="Normal 12 3" xfId="34"/>
    <cellStyle name="Normal 12 4" xfId="35"/>
    <cellStyle name="Normal 12 5" xfId="36"/>
    <cellStyle name="Normal 12 6" xfId="37"/>
    <cellStyle name="Normal 12 7" xfId="38"/>
    <cellStyle name="Normal 12 8" xfId="39"/>
    <cellStyle name="Normal 12 9" xfId="40"/>
    <cellStyle name="Normal 13" xfId="41"/>
    <cellStyle name="Normal 13 10" xfId="42"/>
    <cellStyle name="Normal 13 11" xfId="43"/>
    <cellStyle name="Normal 13 12" xfId="44"/>
    <cellStyle name="Normal 13 2" xfId="45"/>
    <cellStyle name="Normal 13 2 2" xfId="46"/>
    <cellStyle name="Normal 13 3" xfId="47"/>
    <cellStyle name="Normal 13 4" xfId="48"/>
    <cellStyle name="Normal 13 5" xfId="49"/>
    <cellStyle name="Normal 13 6" xfId="50"/>
    <cellStyle name="Normal 13 7" xfId="51"/>
    <cellStyle name="Normal 13 8" xfId="52"/>
    <cellStyle name="Normal 13 9" xfId="53"/>
    <cellStyle name="Normal 14" xfId="54"/>
    <cellStyle name="Normal 14 2" xfId="55"/>
    <cellStyle name="Normal 14 3" xfId="56"/>
    <cellStyle name="Normal 14 4" xfId="57"/>
    <cellStyle name="Normal 14 5" xfId="58"/>
    <cellStyle name="Normal 14 6" xfId="59"/>
    <cellStyle name="Normal 14 7"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9" xfId="82"/>
    <cellStyle name="Normal 19 2" xfId="83"/>
    <cellStyle name="Normal 19 2 2" xfId="84"/>
    <cellStyle name="Normal 19 2 3" xfId="85"/>
    <cellStyle name="Normal 19 3" xfId="86"/>
    <cellStyle name="Normal 19 4" xfId="87"/>
    <cellStyle name="Normal 19 5" xfId="88"/>
    <cellStyle name="Normal 19 6" xfId="89"/>
    <cellStyle name="Normal 19 7" xfId="90"/>
    <cellStyle name="Normal 2 10" xfId="91"/>
    <cellStyle name="Normal 2 10 10" xfId="92"/>
    <cellStyle name="Normal 2 10 2" xfId="93"/>
    <cellStyle name="Normal 2 10 2 2" xfId="94"/>
    <cellStyle name="Normal 2 10 3" xfId="95"/>
    <cellStyle name="Normal 2 10 3 2" xfId="96"/>
    <cellStyle name="Normal 2 10 4" xfId="97"/>
    <cellStyle name="Normal 2 10 4 2" xfId="98"/>
    <cellStyle name="Normal 2 10 5" xfId="99"/>
    <cellStyle name="Normal 2 10 5 2" xfId="100"/>
    <cellStyle name="Normal 2 10 6" xfId="101"/>
    <cellStyle name="Normal 2 10 6 2" xfId="102"/>
    <cellStyle name="Normal 2 10 7" xfId="103"/>
    <cellStyle name="Normal 2 10 7 2" xfId="104"/>
    <cellStyle name="Normal 2 10 8" xfId="105"/>
    <cellStyle name="Normal 2 10 8 2" xfId="106"/>
    <cellStyle name="Normal 2 10 9" xfId="107"/>
    <cellStyle name="Normal 2 11" xfId="108"/>
    <cellStyle name="Normal 2 11 10" xfId="109"/>
    <cellStyle name="Normal 2 11 2" xfId="110"/>
    <cellStyle name="Normal 2 11 2 2" xfId="111"/>
    <cellStyle name="Normal 2 11 3" xfId="112"/>
    <cellStyle name="Normal 2 11 3 2" xfId="113"/>
    <cellStyle name="Normal 2 11 4" xfId="114"/>
    <cellStyle name="Normal 2 11 4 2" xfId="115"/>
    <cellStyle name="Normal 2 11 5" xfId="116"/>
    <cellStyle name="Normal 2 11 5 2" xfId="117"/>
    <cellStyle name="Normal 2 11 6" xfId="118"/>
    <cellStyle name="Normal 2 11 6 2" xfId="119"/>
    <cellStyle name="Normal 2 11 7" xfId="120"/>
    <cellStyle name="Normal 2 11 7 2" xfId="121"/>
    <cellStyle name="Normal 2 11 8" xfId="122"/>
    <cellStyle name="Normal 2 11 8 2" xfId="123"/>
    <cellStyle name="Normal 2 11 9" xfId="124"/>
    <cellStyle name="Normal 2 12" xfId="125"/>
    <cellStyle name="Normal 2 13" xfId="126"/>
    <cellStyle name="Normal 2 14" xfId="127"/>
    <cellStyle name="Normal 2 15" xfId="128"/>
    <cellStyle name="Normal 2 2" xfId="129"/>
    <cellStyle name="Normal 2 2 10" xfId="130"/>
    <cellStyle name="Normal 2 2 10 2" xfId="131"/>
    <cellStyle name="Normal 2 2 11" xfId="132"/>
    <cellStyle name="Normal 2 2 11 2" xfId="133"/>
    <cellStyle name="Normal 2 2 12" xfId="134"/>
    <cellStyle name="Normal 2 2 12 2" xfId="135"/>
    <cellStyle name="Normal 2 2 13" xfId="136"/>
    <cellStyle name="Normal 2 2 13 2" xfId="137"/>
    <cellStyle name="Normal 2 2 14" xfId="138"/>
    <cellStyle name="Normal 2 2 14 2" xfId="139"/>
    <cellStyle name="Normal 2 2 15" xfId="140"/>
    <cellStyle name="Normal 2 2 15 2" xfId="141"/>
    <cellStyle name="Normal 2 2 16" xfId="142"/>
    <cellStyle name="Normal 2 2 17" xfId="143"/>
    <cellStyle name="Normal 2 2 18" xfId="144"/>
    <cellStyle name="Normal 2 2 19" xfId="145"/>
    <cellStyle name="Normal 2 2 2" xfId="146"/>
    <cellStyle name="Normal 2 2 2 2" xfId="147"/>
    <cellStyle name="Normal 2 2 2 2 2" xfId="148"/>
    <cellStyle name="Normal 2 2 2 3" xfId="149"/>
    <cellStyle name="Normal 2 2 2 3 2" xfId="150"/>
    <cellStyle name="Normal 2 2 2 4" xfId="151"/>
    <cellStyle name="Normal 2 2 2 4 2" xfId="152"/>
    <cellStyle name="Normal 2 2 2 5" xfId="153"/>
    <cellStyle name="Normal 2 2 2 5 2" xfId="154"/>
    <cellStyle name="Normal 2 2 2 6" xfId="155"/>
    <cellStyle name="Normal 2 2 2 6 2" xfId="156"/>
    <cellStyle name="Normal 2 2 2 7" xfId="157"/>
    <cellStyle name="Normal 2 2 2 8" xfId="158"/>
    <cellStyle name="Normal 2 2 20" xfId="159"/>
    <cellStyle name="Normal 2 2 21" xfId="160"/>
    <cellStyle name="Normal 2 2 3" xfId="161"/>
    <cellStyle name="Normal 2 2 3 2" xfId="162"/>
    <cellStyle name="Normal 2 2 4" xfId="163"/>
    <cellStyle name="Normal 2 2 4 2" xfId="164"/>
    <cellStyle name="Normal 2 2 5" xfId="165"/>
    <cellStyle name="Normal 2 2 5 2" xfId="166"/>
    <cellStyle name="Normal 2 2 6" xfId="167"/>
    <cellStyle name="Normal 2 2 6 2" xfId="168"/>
    <cellStyle name="Normal 2 2 7" xfId="169"/>
    <cellStyle name="Normal 2 2 7 2" xfId="170"/>
    <cellStyle name="Normal 2 2 8" xfId="171"/>
    <cellStyle name="Normal 2 2 8 2" xfId="172"/>
    <cellStyle name="Normal 2 2 9" xfId="173"/>
    <cellStyle name="Normal 2 2 9 2" xfId="174"/>
    <cellStyle name="Normal 2 3" xfId="175"/>
    <cellStyle name="Normal 2 3 10" xfId="176"/>
    <cellStyle name="Normal 2 3 11" xfId="177"/>
    <cellStyle name="Normal 2 3 12" xfId="178"/>
    <cellStyle name="Normal 2 3 13" xfId="179"/>
    <cellStyle name="Normal 2 3 14" xfId="180"/>
    <cellStyle name="Normal 2 3 2" xfId="181"/>
    <cellStyle name="Normal 2 3 2 2" xfId="182"/>
    <cellStyle name="Normal 2 3 3" xfId="183"/>
    <cellStyle name="Normal 2 3 3 2" xfId="184"/>
    <cellStyle name="Normal 2 3 4" xfId="185"/>
    <cellStyle name="Normal 2 3 5" xfId="186"/>
    <cellStyle name="Normal 2 3 6" xfId="187"/>
    <cellStyle name="Normal 2 3 7" xfId="188"/>
    <cellStyle name="Normal 2 3 8" xfId="189"/>
    <cellStyle name="Normal 2 3 9" xfId="190"/>
    <cellStyle name="Normal 2 4" xfId="191"/>
    <cellStyle name="Normal 2 4 10" xfId="192"/>
    <cellStyle name="Normal 2 4 11" xfId="193"/>
    <cellStyle name="Normal 2 4 2" xfId="194"/>
    <cellStyle name="Normal 2 4 2 2" xfId="195"/>
    <cellStyle name="Normal 2 4 3" xfId="196"/>
    <cellStyle name="Normal 2 4 3 2" xfId="197"/>
    <cellStyle name="Normal 2 4 4" xfId="198"/>
    <cellStyle name="Normal 2 4 5" xfId="199"/>
    <cellStyle name="Normal 2 4 6" xfId="200"/>
    <cellStyle name="Normal 2 4 7" xfId="201"/>
    <cellStyle name="Normal 2 4 8" xfId="202"/>
    <cellStyle name="Normal 2 4 9" xfId="203"/>
    <cellStyle name="Normal 2 5" xfId="204"/>
    <cellStyle name="Normal 2 5 10" xfId="205"/>
    <cellStyle name="Normal 2 5 11" xfId="206"/>
    <cellStyle name="Normal 2 5 2" xfId="207"/>
    <cellStyle name="Normal 2 5 2 2" xfId="208"/>
    <cellStyle name="Normal 2 5 3" xfId="209"/>
    <cellStyle name="Normal 2 5 3 2" xfId="210"/>
    <cellStyle name="Normal 2 5 4" xfId="211"/>
    <cellStyle name="Normal 2 5 5" xfId="212"/>
    <cellStyle name="Normal 2 5 6" xfId="213"/>
    <cellStyle name="Normal 2 5 7" xfId="214"/>
    <cellStyle name="Normal 2 5 8" xfId="215"/>
    <cellStyle name="Normal 2 5 9" xfId="216"/>
    <cellStyle name="Normal 2 6" xfId="217"/>
    <cellStyle name="Normal 2 6 10" xfId="218"/>
    <cellStyle name="Normal 2 6 11" xfId="219"/>
    <cellStyle name="Normal 2 6 2" xfId="220"/>
    <cellStyle name="Normal 2 6 2 2" xfId="221"/>
    <cellStyle name="Normal 2 6 3" xfId="222"/>
    <cellStyle name="Normal 2 6 3 2" xfId="223"/>
    <cellStyle name="Normal 2 6 4" xfId="224"/>
    <cellStyle name="Normal 2 6 5" xfId="225"/>
    <cellStyle name="Normal 2 6 6" xfId="226"/>
    <cellStyle name="Normal 2 6 7" xfId="227"/>
    <cellStyle name="Normal 2 6 8" xfId="228"/>
    <cellStyle name="Normal 2 6 9" xfId="229"/>
    <cellStyle name="Normal 2 7" xfId="230"/>
    <cellStyle name="Normal 2 7 10" xfId="231"/>
    <cellStyle name="Normal 2 7 2" xfId="232"/>
    <cellStyle name="Normal 2 7 2 2" xfId="233"/>
    <cellStyle name="Normal 2 7 3" xfId="234"/>
    <cellStyle name="Normal 2 7 3 2" xfId="235"/>
    <cellStyle name="Normal 2 7 4" xfId="236"/>
    <cellStyle name="Normal 2 7 4 2" xfId="237"/>
    <cellStyle name="Normal 2 7 5" xfId="238"/>
    <cellStyle name="Normal 2 7 5 2" xfId="239"/>
    <cellStyle name="Normal 2 7 6" xfId="240"/>
    <cellStyle name="Normal 2 7 6 2" xfId="241"/>
    <cellStyle name="Normal 2 7 7" xfId="242"/>
    <cellStyle name="Normal 2 7 7 2" xfId="243"/>
    <cellStyle name="Normal 2 7 8" xfId="244"/>
    <cellStyle name="Normal 2 7 8 2" xfId="245"/>
    <cellStyle name="Normal 2 7 9" xfId="246"/>
    <cellStyle name="Normal 2 8" xfId="247"/>
    <cellStyle name="Normal 2 8 10" xfId="248"/>
    <cellStyle name="Normal 2 8 2" xfId="249"/>
    <cellStyle name="Normal 2 8 2 2" xfId="250"/>
    <cellStyle name="Normal 2 8 3" xfId="251"/>
    <cellStyle name="Normal 2 8 3 2" xfId="252"/>
    <cellStyle name="Normal 2 8 4" xfId="253"/>
    <cellStyle name="Normal 2 8 4 2" xfId="254"/>
    <cellStyle name="Normal 2 8 5" xfId="255"/>
    <cellStyle name="Normal 2 8 5 2" xfId="256"/>
    <cellStyle name="Normal 2 8 6" xfId="257"/>
    <cellStyle name="Normal 2 8 6 2" xfId="258"/>
    <cellStyle name="Normal 2 8 7" xfId="259"/>
    <cellStyle name="Normal 2 8 7 2" xfId="260"/>
    <cellStyle name="Normal 2 8 8" xfId="261"/>
    <cellStyle name="Normal 2 8 8 2" xfId="262"/>
    <cellStyle name="Normal 2 8 9" xfId="263"/>
    <cellStyle name="Normal 2 9" xfId="264"/>
    <cellStyle name="Normal 2 9 10" xfId="265"/>
    <cellStyle name="Normal 2 9 2" xfId="266"/>
    <cellStyle name="Normal 2 9 2 2" xfId="267"/>
    <cellStyle name="Normal 2 9 3" xfId="268"/>
    <cellStyle name="Normal 2 9 3 2" xfId="269"/>
    <cellStyle name="Normal 2 9 4" xfId="270"/>
    <cellStyle name="Normal 2 9 4 2" xfId="271"/>
    <cellStyle name="Normal 2 9 5" xfId="272"/>
    <cellStyle name="Normal 2 9 5 2" xfId="273"/>
    <cellStyle name="Normal 2 9 6" xfId="274"/>
    <cellStyle name="Normal 2 9 6 2" xfId="275"/>
    <cellStyle name="Normal 2 9 7" xfId="276"/>
    <cellStyle name="Normal 2 9 7 2" xfId="277"/>
    <cellStyle name="Normal 2 9 8" xfId="278"/>
    <cellStyle name="Normal 2 9 8 2" xfId="279"/>
    <cellStyle name="Normal 2 9 9" xfId="280"/>
    <cellStyle name="Normal 20" xfId="281"/>
    <cellStyle name="Normal 20 2" xfId="282"/>
    <cellStyle name="Normal 20 3" xfId="283"/>
    <cellStyle name="Normal 21" xfId="284"/>
    <cellStyle name="Normal 22" xfId="285"/>
    <cellStyle name="Normal 22 2" xfId="286"/>
    <cellStyle name="Normal 22 3" xfId="287"/>
    <cellStyle name="Normal 23" xfId="288"/>
    <cellStyle name="Normal 23 2" xfId="289"/>
    <cellStyle name="Normal 23 3" xfId="290"/>
    <cellStyle name="Normal 24" xfId="291"/>
    <cellStyle name="Normal 24 2" xfId="292"/>
    <cellStyle name="Normal 24 3" xfId="293"/>
    <cellStyle name="Normal 25" xfId="294"/>
    <cellStyle name="Normal 25 2" xfId="295"/>
    <cellStyle name="Normal 25 3" xfId="296"/>
    <cellStyle name="Normal 26" xfId="297"/>
    <cellStyle name="Normal 3" xfId="298"/>
    <cellStyle name="Normal 3 2" xfId="299"/>
    <cellStyle name="Normal 3 3" xfId="300"/>
    <cellStyle name="Normal 3 4" xfId="301"/>
    <cellStyle name="Normal 3 5" xfId="302"/>
    <cellStyle name="Normal 3 6" xfId="303"/>
    <cellStyle name="Normal 3 7" xfId="304"/>
    <cellStyle name="Normal 4" xfId="305"/>
    <cellStyle name="Normal 4 2" xfId="306"/>
    <cellStyle name="Normal 5 2" xfId="307"/>
    <cellStyle name="Normal 5 3" xfId="308"/>
    <cellStyle name="Normal 5 4" xfId="309"/>
    <cellStyle name="Normal 5 5" xfId="310"/>
    <cellStyle name="Normal 6" xfId="311"/>
    <cellStyle name="Normal 6 2" xfId="312"/>
    <cellStyle name="Normal 7 2" xfId="313"/>
    <cellStyle name="Normal 7 3" xfId="314"/>
    <cellStyle name="Normal 7 4" xfId="315"/>
    <cellStyle name="Normal 8 2" xfId="316"/>
    <cellStyle name="Normal 9" xfId="317"/>
    <cellStyle name="Normal 9 2" xfId="318"/>
    <cellStyle name="Normal 9 3" xfId="319"/>
    <cellStyle name="Normal 9 4" xfId="320"/>
    <cellStyle name="Normal_debt" xfId="321"/>
    <cellStyle name="Normal_lpform" xfId="322"/>
  </cellStyles>
  <dxfs count="297">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6"/>
  <sheetViews>
    <sheetView zoomScale="80" workbookViewId="0">
      <selection activeCell="C55" sqref="C55"/>
    </sheetView>
  </sheetViews>
  <sheetFormatPr defaultColWidth="8.9140625" defaultRowHeight="15.6" x14ac:dyDescent="0.25"/>
  <cols>
    <col min="1" max="1" width="75.75" style="50" customWidth="1"/>
    <col min="2" max="16384" width="8.9140625" style="50"/>
  </cols>
  <sheetData>
    <row r="1" spans="1:1" x14ac:dyDescent="0.25">
      <c r="A1" s="49" t="s">
        <v>176</v>
      </c>
    </row>
    <row r="3" spans="1:1" ht="39.75" customHeight="1" x14ac:dyDescent="0.25">
      <c r="A3" s="51" t="s">
        <v>136</v>
      </c>
    </row>
    <row r="4" spans="1:1" x14ac:dyDescent="0.25">
      <c r="A4" s="52"/>
    </row>
    <row r="5" spans="1:1" ht="49.5" customHeight="1" x14ac:dyDescent="0.25">
      <c r="A5" s="53" t="s">
        <v>177</v>
      </c>
    </row>
    <row r="6" spans="1:1" x14ac:dyDescent="0.25">
      <c r="A6" s="53"/>
    </row>
    <row r="7" spans="1:1" ht="85.5" customHeight="1" x14ac:dyDescent="0.25">
      <c r="A7" s="53" t="s">
        <v>936</v>
      </c>
    </row>
    <row r="8" spans="1:1" x14ac:dyDescent="0.25">
      <c r="A8" s="53"/>
    </row>
    <row r="9" spans="1:1" ht="32.25" customHeight="1" x14ac:dyDescent="0.25">
      <c r="A9" s="53" t="s">
        <v>137</v>
      </c>
    </row>
    <row r="11" spans="1:1" ht="51" customHeight="1" x14ac:dyDescent="0.25">
      <c r="A11" s="53" t="s">
        <v>240</v>
      </c>
    </row>
    <row r="13" spans="1:1" x14ac:dyDescent="0.25">
      <c r="A13" s="49" t="s">
        <v>186</v>
      </c>
    </row>
    <row r="14" spans="1:1" x14ac:dyDescent="0.25">
      <c r="A14" s="49"/>
    </row>
    <row r="15" spans="1:1" x14ac:dyDescent="0.25">
      <c r="A15" s="52" t="s">
        <v>187</v>
      </c>
    </row>
    <row r="17" spans="1:1" ht="43.5" customHeight="1" x14ac:dyDescent="0.25">
      <c r="A17" s="54" t="s">
        <v>343</v>
      </c>
    </row>
    <row r="18" spans="1:1" ht="9" customHeight="1" x14ac:dyDescent="0.25">
      <c r="A18" s="54"/>
    </row>
    <row r="20" spans="1:1" x14ac:dyDescent="0.25">
      <c r="A20" s="49" t="s">
        <v>255</v>
      </c>
    </row>
    <row r="22" spans="1:1" ht="31.2" x14ac:dyDescent="0.25">
      <c r="A22" s="53" t="s">
        <v>138</v>
      </c>
    </row>
    <row r="23" spans="1:1" x14ac:dyDescent="0.25">
      <c r="A23" s="53"/>
    </row>
    <row r="24" spans="1:1" x14ac:dyDescent="0.25">
      <c r="A24" s="55" t="s">
        <v>139</v>
      </c>
    </row>
    <row r="25" spans="1:1" ht="12" customHeight="1" x14ac:dyDescent="0.25">
      <c r="A25" s="53"/>
    </row>
    <row r="26" spans="1:1" x14ac:dyDescent="0.25">
      <c r="A26" s="56" t="s">
        <v>59</v>
      </c>
    </row>
    <row r="27" spans="1:1" x14ac:dyDescent="0.25">
      <c r="A27" s="57"/>
    </row>
    <row r="28" spans="1:1" ht="84.75" customHeight="1" x14ac:dyDescent="0.25">
      <c r="A28" s="58" t="s">
        <v>158</v>
      </c>
    </row>
    <row r="29" spans="1:1" ht="12.75" customHeight="1" x14ac:dyDescent="0.25">
      <c r="A29" s="59"/>
    </row>
    <row r="30" spans="1:1" x14ac:dyDescent="0.25">
      <c r="A30" s="60" t="s">
        <v>140</v>
      </c>
    </row>
    <row r="31" spans="1:1" x14ac:dyDescent="0.25">
      <c r="A31" s="59"/>
    </row>
    <row r="32" spans="1:1" x14ac:dyDescent="0.25">
      <c r="A32" s="61" t="s">
        <v>185</v>
      </c>
    </row>
    <row r="33" spans="1:1" x14ac:dyDescent="0.25">
      <c r="A33" s="59"/>
    </row>
    <row r="34" spans="1:1" x14ac:dyDescent="0.25">
      <c r="A34" s="53" t="s">
        <v>342</v>
      </c>
    </row>
    <row r="36" spans="1:1" x14ac:dyDescent="0.25">
      <c r="A36" s="49" t="s">
        <v>0</v>
      </c>
    </row>
    <row r="38" spans="1:1" ht="66.75" customHeight="1" x14ac:dyDescent="0.25">
      <c r="A38" s="53" t="s">
        <v>758</v>
      </c>
    </row>
    <row r="39" spans="1:1" ht="35.25" customHeight="1" x14ac:dyDescent="0.25">
      <c r="A39" s="53" t="s">
        <v>78</v>
      </c>
    </row>
    <row r="40" spans="1:1" ht="41.25" customHeight="1" x14ac:dyDescent="0.25">
      <c r="A40" s="53" t="s">
        <v>247</v>
      </c>
    </row>
    <row r="41" spans="1:1" ht="53.25" customHeight="1" x14ac:dyDescent="0.25">
      <c r="A41" s="62" t="s">
        <v>248</v>
      </c>
    </row>
    <row r="43" spans="1:1" ht="84" customHeight="1" x14ac:dyDescent="0.25">
      <c r="A43" s="53" t="s">
        <v>759</v>
      </c>
    </row>
    <row r="44" spans="1:1" ht="53.25" customHeight="1" x14ac:dyDescent="0.25">
      <c r="A44" s="53" t="s">
        <v>141</v>
      </c>
    </row>
    <row r="45" spans="1:1" ht="98.25" customHeight="1" x14ac:dyDescent="0.25">
      <c r="A45" s="53" t="s">
        <v>241</v>
      </c>
    </row>
    <row r="46" spans="1:1" ht="15.75" customHeight="1" x14ac:dyDescent="0.25">
      <c r="A46" s="53"/>
    </row>
    <row r="47" spans="1:1" ht="75.75" customHeight="1" x14ac:dyDescent="0.25">
      <c r="A47" s="747" t="s">
        <v>937</v>
      </c>
    </row>
    <row r="48" spans="1:1" ht="68.25" customHeight="1" x14ac:dyDescent="0.25">
      <c r="A48" s="411" t="s">
        <v>631</v>
      </c>
    </row>
    <row r="49" spans="1:1" ht="68.25" customHeight="1" x14ac:dyDescent="0.25">
      <c r="A49" s="748" t="s">
        <v>938</v>
      </c>
    </row>
    <row r="50" spans="1:1" ht="13.5" customHeight="1" x14ac:dyDescent="0.25">
      <c r="A50"/>
    </row>
    <row r="51" spans="1:1" ht="70.5" customHeight="1" x14ac:dyDescent="0.25">
      <c r="A51" s="53" t="s">
        <v>632</v>
      </c>
    </row>
    <row r="52" spans="1:1" ht="39.75" customHeight="1" x14ac:dyDescent="0.25">
      <c r="A52" s="53" t="s">
        <v>633</v>
      </c>
    </row>
    <row r="53" spans="1:1" ht="84.75" customHeight="1" x14ac:dyDescent="0.25">
      <c r="A53" s="53" t="s">
        <v>634</v>
      </c>
    </row>
    <row r="54" spans="1:1" ht="29.25" customHeight="1" x14ac:dyDescent="0.25">
      <c r="A54" s="535" t="s">
        <v>760</v>
      </c>
    </row>
    <row r="55" spans="1:1" ht="102" customHeight="1" x14ac:dyDescent="0.25">
      <c r="A55" s="535" t="s">
        <v>973</v>
      </c>
    </row>
    <row r="56" spans="1:1" ht="13.5" customHeight="1" x14ac:dyDescent="0.25">
      <c r="A56" s="53"/>
    </row>
    <row r="57" spans="1:1" ht="75" customHeight="1" x14ac:dyDescent="0.25">
      <c r="A57" s="53" t="s">
        <v>939</v>
      </c>
    </row>
    <row r="58" spans="1:1" ht="117" customHeight="1" x14ac:dyDescent="0.25">
      <c r="A58" s="53" t="s">
        <v>635</v>
      </c>
    </row>
    <row r="59" spans="1:1" ht="57.75" customHeight="1" x14ac:dyDescent="0.25">
      <c r="A59" s="53" t="s">
        <v>636</v>
      </c>
    </row>
    <row r="60" spans="1:1" ht="8.25" customHeight="1" x14ac:dyDescent="0.25">
      <c r="A60" s="53"/>
    </row>
    <row r="61" spans="1:1" ht="73.5" customHeight="1" x14ac:dyDescent="0.25">
      <c r="A61" s="749" t="s">
        <v>940</v>
      </c>
    </row>
    <row r="62" spans="1:1" ht="15.75" customHeight="1" x14ac:dyDescent="0.25">
      <c r="A62"/>
    </row>
    <row r="63" spans="1:1" ht="78.75" customHeight="1" x14ac:dyDescent="0.25">
      <c r="A63" s="53" t="s">
        <v>637</v>
      </c>
    </row>
    <row r="64" spans="1:1" ht="36" customHeight="1" x14ac:dyDescent="0.25">
      <c r="A64" s="53" t="s">
        <v>645</v>
      </c>
    </row>
    <row r="65" spans="1:1" ht="86.25" customHeight="1" x14ac:dyDescent="0.25">
      <c r="A65" s="53" t="s">
        <v>646</v>
      </c>
    </row>
    <row r="66" spans="1:1" s="53" customFormat="1" ht="32.25" customHeight="1" x14ac:dyDescent="0.25">
      <c r="A66" s="410" t="s">
        <v>647</v>
      </c>
    </row>
    <row r="67" spans="1:1" ht="6" customHeight="1" x14ac:dyDescent="0.25">
      <c r="A67"/>
    </row>
    <row r="68" spans="1:1" ht="67.5" customHeight="1" x14ac:dyDescent="0.25">
      <c r="A68" s="53" t="s">
        <v>638</v>
      </c>
    </row>
    <row r="69" spans="1:1" ht="7.5" customHeight="1" x14ac:dyDescent="0.25"/>
    <row r="70" spans="1:1" ht="79.5" customHeight="1" x14ac:dyDescent="0.25">
      <c r="A70" s="53" t="s">
        <v>639</v>
      </c>
    </row>
    <row r="71" spans="1:1" ht="14.25" customHeight="1" x14ac:dyDescent="0.25">
      <c r="A71"/>
    </row>
    <row r="72" spans="1:1" ht="159.75" customHeight="1" x14ac:dyDescent="0.25">
      <c r="A72" s="749" t="s">
        <v>941</v>
      </c>
    </row>
    <row r="73" spans="1:1" ht="105" customHeight="1" x14ac:dyDescent="0.25">
      <c r="A73" s="53" t="s">
        <v>942</v>
      </c>
    </row>
    <row r="74" spans="1:1" ht="80.25" customHeight="1" x14ac:dyDescent="0.25">
      <c r="A74" s="749" t="s">
        <v>943</v>
      </c>
    </row>
    <row r="75" spans="1:1" ht="100.5" customHeight="1" x14ac:dyDescent="0.25">
      <c r="A75" s="750" t="s">
        <v>944</v>
      </c>
    </row>
    <row r="76" spans="1:1" ht="90" customHeight="1" x14ac:dyDescent="0.25">
      <c r="A76" s="750" t="s">
        <v>945</v>
      </c>
    </row>
    <row r="77" spans="1:1" ht="99.75" customHeight="1" x14ac:dyDescent="0.25">
      <c r="A77" s="750" t="s">
        <v>946</v>
      </c>
    </row>
    <row r="78" spans="1:1" ht="135" customHeight="1" x14ac:dyDescent="0.25">
      <c r="A78" s="53" t="s">
        <v>947</v>
      </c>
    </row>
    <row r="79" spans="1:1" ht="106.5" customHeight="1" x14ac:dyDescent="0.25">
      <c r="A79" s="749" t="s">
        <v>948</v>
      </c>
    </row>
    <row r="80" spans="1:1" ht="140.25" customHeight="1" x14ac:dyDescent="0.25">
      <c r="A80" s="53" t="s">
        <v>949</v>
      </c>
    </row>
    <row r="81" spans="1:1" ht="133.5" customHeight="1" x14ac:dyDescent="0.25">
      <c r="A81" s="53" t="s">
        <v>950</v>
      </c>
    </row>
    <row r="82" spans="1:1" ht="70.5" customHeight="1" x14ac:dyDescent="0.25">
      <c r="A82" s="53" t="s">
        <v>951</v>
      </c>
    </row>
    <row r="83" spans="1:1" ht="110.25" customHeight="1" x14ac:dyDescent="0.25">
      <c r="A83" s="53" t="s">
        <v>952</v>
      </c>
    </row>
    <row r="84" spans="1:1" ht="60" customHeight="1" x14ac:dyDescent="0.25">
      <c r="A84" s="53" t="s">
        <v>953</v>
      </c>
    </row>
    <row r="85" spans="1:1" ht="105.75" customHeight="1" x14ac:dyDescent="0.25">
      <c r="A85" s="53" t="s">
        <v>954</v>
      </c>
    </row>
    <row r="86" spans="1:1" ht="114.75" customHeight="1" x14ac:dyDescent="0.25">
      <c r="A86" s="536" t="s">
        <v>955</v>
      </c>
    </row>
    <row r="87" spans="1:1" ht="126.75" customHeight="1" x14ac:dyDescent="0.25">
      <c r="A87" s="537" t="s">
        <v>956</v>
      </c>
    </row>
    <row r="88" spans="1:1" ht="64.5" customHeight="1" x14ac:dyDescent="0.25">
      <c r="A88" s="538" t="s">
        <v>957</v>
      </c>
    </row>
    <row r="89" spans="1:1" ht="85.5" customHeight="1" x14ac:dyDescent="0.25">
      <c r="A89" s="749" t="s">
        <v>958</v>
      </c>
    </row>
    <row r="90" spans="1:1" ht="63" customHeight="1" x14ac:dyDescent="0.25">
      <c r="A90" s="751" t="s">
        <v>640</v>
      </c>
    </row>
    <row r="91" spans="1:1" ht="41.25" customHeight="1" x14ac:dyDescent="0.25">
      <c r="A91" s="750" t="s">
        <v>959</v>
      </c>
    </row>
    <row r="92" spans="1:1" ht="129.75" customHeight="1" x14ac:dyDescent="0.25">
      <c r="A92" s="750" t="s">
        <v>960</v>
      </c>
    </row>
    <row r="93" spans="1:1" ht="99" customHeight="1" x14ac:dyDescent="0.25">
      <c r="A93" s="750" t="s">
        <v>961</v>
      </c>
    </row>
    <row r="94" spans="1:1" ht="92.25" customHeight="1" x14ac:dyDescent="0.25">
      <c r="A94" s="752" t="s">
        <v>962</v>
      </c>
    </row>
    <row r="95" spans="1:1" ht="117.75" customHeight="1" x14ac:dyDescent="0.25">
      <c r="A95" s="753" t="s">
        <v>963</v>
      </c>
    </row>
    <row r="96" spans="1:1" ht="23.25" customHeight="1" x14ac:dyDescent="0.25"/>
    <row r="97" spans="1:1" ht="156" customHeight="1" x14ac:dyDescent="0.25">
      <c r="A97" s="53" t="s">
        <v>964</v>
      </c>
    </row>
    <row r="98" spans="1:1" ht="136.5" customHeight="1" x14ac:dyDescent="0.25">
      <c r="A98" s="53" t="s">
        <v>965</v>
      </c>
    </row>
    <row r="99" spans="1:1" ht="69.75" customHeight="1" x14ac:dyDescent="0.25">
      <c r="A99" s="53" t="s">
        <v>966</v>
      </c>
    </row>
    <row r="100" spans="1:1" ht="41.25" customHeight="1" x14ac:dyDescent="0.25">
      <c r="A100" s="53" t="s">
        <v>967</v>
      </c>
    </row>
    <row r="101" spans="1:1" ht="12.75" customHeight="1" x14ac:dyDescent="0.25"/>
    <row r="102" spans="1:1" ht="80.25" customHeight="1" x14ac:dyDescent="0.25">
      <c r="A102" s="749" t="s">
        <v>968</v>
      </c>
    </row>
    <row r="103" spans="1:1" ht="15.75" customHeight="1" x14ac:dyDescent="0.25">
      <c r="A103" s="754"/>
    </row>
    <row r="104" spans="1:1" ht="75.75" customHeight="1" x14ac:dyDescent="0.25">
      <c r="A104" s="750" t="s">
        <v>969</v>
      </c>
    </row>
    <row r="105" spans="1:1" ht="123" customHeight="1" x14ac:dyDescent="0.25">
      <c r="A105" s="750" t="s">
        <v>970</v>
      </c>
    </row>
    <row r="106" spans="1:1" ht="118.5" customHeight="1" x14ac:dyDescent="0.25">
      <c r="A106" s="750" t="s">
        <v>971</v>
      </c>
    </row>
  </sheetData>
  <sheetProtection sheet="1"/>
  <phoneticPr fontId="0" type="noConversion"/>
  <pageMargins left="0.5" right="0.5" top="0.5" bottom="0.5" header="0.5" footer="0"/>
  <pageSetup scale="90"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topLeftCell="A20" zoomScale="75" workbookViewId="0">
      <selection activeCell="L17" sqref="L17"/>
    </sheetView>
  </sheetViews>
  <sheetFormatPr defaultColWidth="8.9140625" defaultRowHeight="15.6" x14ac:dyDescent="0.3"/>
  <cols>
    <col min="1" max="1" width="3.4140625" style="3" customWidth="1"/>
    <col min="2" max="2" width="22.4140625" style="3" customWidth="1"/>
    <col min="3" max="3" width="9.4140625" style="3" customWidth="1"/>
    <col min="4" max="4" width="9.25" style="3" customWidth="1"/>
    <col min="5" max="5" width="8.75" style="3" customWidth="1"/>
    <col min="6" max="6" width="12.1640625" style="3" customWidth="1"/>
    <col min="7" max="7" width="12.6640625" style="3" customWidth="1"/>
    <col min="8" max="13" width="9.75" style="3" customWidth="1"/>
    <col min="14" max="16384" width="8.9140625" style="3"/>
  </cols>
  <sheetData>
    <row r="1" spans="2:13" x14ac:dyDescent="0.3">
      <c r="B1" s="10" t="str">
        <f>inputPrYr!$D$3</f>
        <v>City of Bonner Springs</v>
      </c>
      <c r="C1" s="6"/>
      <c r="D1" s="6"/>
      <c r="E1" s="6"/>
      <c r="F1" s="6"/>
      <c r="G1" s="6"/>
      <c r="H1" s="6"/>
      <c r="I1" s="6"/>
      <c r="J1" s="6"/>
      <c r="K1" s="6"/>
      <c r="L1" s="6"/>
      <c r="M1" s="23">
        <f>inputPrYr!$C$10</f>
        <v>2013</v>
      </c>
    </row>
    <row r="2" spans="2:13" x14ac:dyDescent="0.3">
      <c r="B2" s="10"/>
      <c r="C2" s="6"/>
      <c r="D2" s="6"/>
      <c r="E2" s="6"/>
      <c r="F2" s="6"/>
      <c r="G2" s="6"/>
      <c r="H2" s="6"/>
      <c r="I2" s="6"/>
      <c r="J2" s="6"/>
      <c r="K2" s="6"/>
      <c r="L2" s="6"/>
      <c r="M2" s="7"/>
    </row>
    <row r="3" spans="2:13" x14ac:dyDescent="0.3">
      <c r="B3" s="11" t="s">
        <v>7</v>
      </c>
      <c r="C3" s="8"/>
      <c r="D3" s="8"/>
      <c r="E3" s="8"/>
      <c r="F3" s="8"/>
      <c r="G3" s="8"/>
      <c r="H3" s="8"/>
      <c r="I3" s="8"/>
      <c r="J3" s="8"/>
      <c r="K3" s="8"/>
      <c r="L3" s="8"/>
      <c r="M3" s="8"/>
    </row>
    <row r="4" spans="2:13" x14ac:dyDescent="0.3">
      <c r="B4" s="6"/>
      <c r="C4" s="22"/>
      <c r="D4" s="22"/>
      <c r="E4" s="22"/>
      <c r="F4" s="22"/>
      <c r="G4" s="22"/>
      <c r="H4" s="22"/>
      <c r="I4" s="22"/>
      <c r="J4" s="22"/>
      <c r="K4" s="22"/>
      <c r="L4" s="22"/>
      <c r="M4" s="22"/>
    </row>
    <row r="5" spans="2:13" x14ac:dyDescent="0.3">
      <c r="B5" s="630"/>
      <c r="C5" s="12" t="s">
        <v>319</v>
      </c>
      <c r="D5" s="12" t="s">
        <v>319</v>
      </c>
      <c r="E5" s="12" t="s">
        <v>333</v>
      </c>
      <c r="F5" s="12"/>
      <c r="G5" s="47" t="s">
        <v>100</v>
      </c>
      <c r="H5" s="6"/>
      <c r="I5" s="6"/>
      <c r="J5" s="14" t="s">
        <v>320</v>
      </c>
      <c r="K5" s="13"/>
      <c r="L5" s="14" t="s">
        <v>320</v>
      </c>
      <c r="M5" s="13"/>
    </row>
    <row r="6" spans="2:13" x14ac:dyDescent="0.3">
      <c r="B6" s="15" t="s">
        <v>867</v>
      </c>
      <c r="C6" s="15" t="s">
        <v>321</v>
      </c>
      <c r="D6" s="15" t="s">
        <v>101</v>
      </c>
      <c r="E6" s="15" t="s">
        <v>322</v>
      </c>
      <c r="F6" s="15" t="s">
        <v>276</v>
      </c>
      <c r="G6" s="48" t="s">
        <v>102</v>
      </c>
      <c r="H6" s="865" t="s">
        <v>323</v>
      </c>
      <c r="I6" s="866"/>
      <c r="J6" s="867">
        <f>M1-1</f>
        <v>2012</v>
      </c>
      <c r="K6" s="868"/>
      <c r="L6" s="867">
        <f>M1</f>
        <v>2013</v>
      </c>
      <c r="M6" s="868"/>
    </row>
    <row r="7" spans="2:13" x14ac:dyDescent="0.3">
      <c r="B7" s="16" t="s">
        <v>868</v>
      </c>
      <c r="C7" s="16" t="s">
        <v>324</v>
      </c>
      <c r="D7" s="16" t="s">
        <v>103</v>
      </c>
      <c r="E7" s="16" t="s">
        <v>298</v>
      </c>
      <c r="F7" s="16" t="s">
        <v>325</v>
      </c>
      <c r="G7" s="24" t="str">
        <f>CONCATENATE("Jan 1,",M1-1,"")</f>
        <v>Jan 1,2012</v>
      </c>
      <c r="H7" s="17" t="s">
        <v>333</v>
      </c>
      <c r="I7" s="17" t="s">
        <v>335</v>
      </c>
      <c r="J7" s="17" t="s">
        <v>333</v>
      </c>
      <c r="K7" s="17" t="s">
        <v>335</v>
      </c>
      <c r="L7" s="17" t="s">
        <v>333</v>
      </c>
      <c r="M7" s="17" t="s">
        <v>335</v>
      </c>
    </row>
    <row r="8" spans="2:13" x14ac:dyDescent="0.3">
      <c r="B8" s="18" t="s">
        <v>326</v>
      </c>
      <c r="C8" s="9"/>
      <c r="D8" s="9"/>
      <c r="E8" s="19"/>
      <c r="F8" s="20"/>
      <c r="G8" s="20"/>
      <c r="H8" s="9"/>
      <c r="I8" s="9"/>
      <c r="J8" s="20"/>
      <c r="K8" s="20"/>
      <c r="L8" s="20"/>
      <c r="M8" s="20"/>
    </row>
    <row r="9" spans="2:13" x14ac:dyDescent="0.3">
      <c r="B9" s="4" t="s">
        <v>1020</v>
      </c>
      <c r="C9" s="416">
        <v>37500</v>
      </c>
      <c r="D9" s="416">
        <v>41153</v>
      </c>
      <c r="E9" s="28">
        <v>4.42</v>
      </c>
      <c r="F9" s="29">
        <v>5235000</v>
      </c>
      <c r="G9" s="30">
        <v>195000</v>
      </c>
      <c r="H9" s="31" t="s">
        <v>1029</v>
      </c>
      <c r="I9" s="31">
        <v>41153</v>
      </c>
      <c r="J9" s="30">
        <v>7216</v>
      </c>
      <c r="K9" s="30">
        <v>195000</v>
      </c>
      <c r="L9" s="30">
        <v>0</v>
      </c>
      <c r="M9" s="30">
        <v>0</v>
      </c>
    </row>
    <row r="10" spans="2:13" x14ac:dyDescent="0.3">
      <c r="B10" s="4" t="s">
        <v>1021</v>
      </c>
      <c r="C10" s="416">
        <v>38047</v>
      </c>
      <c r="D10" s="416">
        <v>45536</v>
      </c>
      <c r="E10" s="28" t="s">
        <v>1028</v>
      </c>
      <c r="F10" s="29">
        <v>1400000</v>
      </c>
      <c r="G10" s="30">
        <v>1040000</v>
      </c>
      <c r="H10" s="31" t="s">
        <v>1029</v>
      </c>
      <c r="I10" s="31">
        <v>41153</v>
      </c>
      <c r="J10" s="30">
        <v>43623</v>
      </c>
      <c r="K10" s="30">
        <v>65000</v>
      </c>
      <c r="L10" s="30">
        <v>41412</v>
      </c>
      <c r="M10" s="30">
        <v>65000</v>
      </c>
    </row>
    <row r="11" spans="2:13" x14ac:dyDescent="0.3">
      <c r="B11" s="4" t="s">
        <v>1022</v>
      </c>
      <c r="C11" s="416">
        <v>38474</v>
      </c>
      <c r="D11" s="416">
        <v>42248</v>
      </c>
      <c r="E11" s="28">
        <v>3.55</v>
      </c>
      <c r="F11" s="29">
        <v>3500000</v>
      </c>
      <c r="G11" s="30">
        <v>1620000</v>
      </c>
      <c r="H11" s="31" t="s">
        <v>1029</v>
      </c>
      <c r="I11" s="31">
        <v>41153</v>
      </c>
      <c r="J11" s="30">
        <v>62169</v>
      </c>
      <c r="K11" s="30">
        <v>380000</v>
      </c>
      <c r="L11" s="30">
        <v>46968</v>
      </c>
      <c r="M11" s="30">
        <v>395000</v>
      </c>
    </row>
    <row r="12" spans="2:13" x14ac:dyDescent="0.3">
      <c r="B12" s="4" t="s">
        <v>1023</v>
      </c>
      <c r="C12" s="416">
        <v>39047</v>
      </c>
      <c r="D12" s="416">
        <v>42795</v>
      </c>
      <c r="E12" s="28">
        <v>3.75</v>
      </c>
      <c r="F12" s="29">
        <v>3500000</v>
      </c>
      <c r="G12" s="30">
        <v>2365000</v>
      </c>
      <c r="H12" s="31" t="s">
        <v>1029</v>
      </c>
      <c r="I12" s="31">
        <v>40969</v>
      </c>
      <c r="J12" s="30">
        <v>79840</v>
      </c>
      <c r="K12" s="30">
        <v>350000</v>
      </c>
      <c r="L12" s="30">
        <v>66530</v>
      </c>
      <c r="M12" s="30">
        <v>370000</v>
      </c>
    </row>
    <row r="13" spans="2:13" x14ac:dyDescent="0.3">
      <c r="B13" s="4" t="s">
        <v>1024</v>
      </c>
      <c r="C13" s="416">
        <v>39295</v>
      </c>
      <c r="D13" s="416">
        <v>44805</v>
      </c>
      <c r="E13" s="28">
        <v>4.17</v>
      </c>
      <c r="F13" s="29">
        <v>1120000</v>
      </c>
      <c r="G13" s="30">
        <v>895000</v>
      </c>
      <c r="H13" s="31" t="s">
        <v>1029</v>
      </c>
      <c r="I13" s="31">
        <v>41153</v>
      </c>
      <c r="J13" s="30">
        <v>36646</v>
      </c>
      <c r="K13" s="30">
        <v>65000</v>
      </c>
      <c r="L13" s="30">
        <v>33884</v>
      </c>
      <c r="M13" s="30">
        <v>70000</v>
      </c>
    </row>
    <row r="14" spans="2:13" x14ac:dyDescent="0.3">
      <c r="B14" s="4" t="s">
        <v>1025</v>
      </c>
      <c r="C14" s="416">
        <v>39479</v>
      </c>
      <c r="D14" s="416">
        <v>46997</v>
      </c>
      <c r="E14" s="28">
        <v>4.04</v>
      </c>
      <c r="F14" s="29">
        <v>1680000</v>
      </c>
      <c r="G14" s="30">
        <v>1545000</v>
      </c>
      <c r="H14" s="31" t="s">
        <v>1029</v>
      </c>
      <c r="I14" s="31">
        <v>41153</v>
      </c>
      <c r="J14" s="30">
        <v>61598</v>
      </c>
      <c r="K14" s="30">
        <v>65000</v>
      </c>
      <c r="L14" s="30">
        <v>59160</v>
      </c>
      <c r="M14" s="30">
        <v>65000</v>
      </c>
    </row>
    <row r="15" spans="2:13" x14ac:dyDescent="0.3">
      <c r="B15" s="4" t="s">
        <v>1026</v>
      </c>
      <c r="C15" s="416">
        <v>40042</v>
      </c>
      <c r="D15" s="416">
        <v>47362</v>
      </c>
      <c r="E15" s="28">
        <v>3.65</v>
      </c>
      <c r="F15" s="29">
        <v>7605000</v>
      </c>
      <c r="G15" s="30">
        <v>6480000</v>
      </c>
      <c r="H15" s="31" t="s">
        <v>1029</v>
      </c>
      <c r="I15" s="31">
        <v>41153</v>
      </c>
      <c r="J15" s="30">
        <v>213683</v>
      </c>
      <c r="K15" s="30">
        <v>590000</v>
      </c>
      <c r="L15" s="30">
        <v>201882</v>
      </c>
      <c r="M15" s="30">
        <v>600000</v>
      </c>
    </row>
    <row r="16" spans="2:13" x14ac:dyDescent="0.3">
      <c r="B16" s="4" t="s">
        <v>1027</v>
      </c>
      <c r="C16" s="416">
        <v>40583</v>
      </c>
      <c r="D16" s="416">
        <v>47727</v>
      </c>
      <c r="E16" s="28">
        <v>3.13</v>
      </c>
      <c r="F16" s="29">
        <v>8765000</v>
      </c>
      <c r="G16" s="30">
        <v>8430000</v>
      </c>
      <c r="H16" s="31" t="s">
        <v>1029</v>
      </c>
      <c r="I16" s="31">
        <v>41153</v>
      </c>
      <c r="J16" s="30">
        <v>261243</v>
      </c>
      <c r="K16" s="30">
        <v>215000</v>
      </c>
      <c r="L16" s="30">
        <v>256943</v>
      </c>
      <c r="M16" s="30">
        <v>415000</v>
      </c>
    </row>
    <row r="17" spans="2:13" x14ac:dyDescent="0.3">
      <c r="B17" s="4"/>
      <c r="C17" s="416"/>
      <c r="D17" s="416"/>
      <c r="E17" s="28"/>
      <c r="F17" s="29"/>
      <c r="G17" s="30"/>
      <c r="H17" s="31"/>
      <c r="I17" s="31"/>
      <c r="J17" s="30"/>
      <c r="K17" s="30"/>
      <c r="L17" s="30"/>
      <c r="M17" s="30"/>
    </row>
    <row r="18" spans="2:13" x14ac:dyDescent="0.3">
      <c r="B18" s="4"/>
      <c r="C18" s="416"/>
      <c r="D18" s="416"/>
      <c r="E18" s="28"/>
      <c r="F18" s="29"/>
      <c r="G18" s="30"/>
      <c r="H18" s="31"/>
      <c r="I18" s="31"/>
      <c r="J18" s="30"/>
      <c r="K18" s="30"/>
      <c r="L18" s="30"/>
      <c r="M18" s="30"/>
    </row>
    <row r="19" spans="2:13" x14ac:dyDescent="0.3">
      <c r="B19" s="4"/>
      <c r="C19" s="416"/>
      <c r="D19" s="416"/>
      <c r="E19" s="28"/>
      <c r="F19" s="29"/>
      <c r="G19" s="30"/>
      <c r="H19" s="31"/>
      <c r="I19" s="31"/>
      <c r="J19" s="30"/>
      <c r="K19" s="30"/>
      <c r="L19" s="30"/>
      <c r="M19" s="30"/>
    </row>
    <row r="20" spans="2:13" x14ac:dyDescent="0.3">
      <c r="B20" s="21" t="s">
        <v>327</v>
      </c>
      <c r="C20" s="32"/>
      <c r="D20" s="32"/>
      <c r="E20" s="33"/>
      <c r="F20" s="34"/>
      <c r="G20" s="44">
        <f>SUM(G9:G19)</f>
        <v>22570000</v>
      </c>
      <c r="H20" s="35"/>
      <c r="I20" s="35"/>
      <c r="J20" s="44">
        <f>SUM(J9:J19)</f>
        <v>766018</v>
      </c>
      <c r="K20" s="44">
        <f>SUM(K9:K19)</f>
        <v>1925000</v>
      </c>
      <c r="L20" s="44">
        <f>SUM(L9:L19)</f>
        <v>706779</v>
      </c>
      <c r="M20" s="44">
        <f>SUM(M9:M19)</f>
        <v>1980000</v>
      </c>
    </row>
    <row r="21" spans="2:13" x14ac:dyDescent="0.3">
      <c r="B21" s="18" t="s">
        <v>328</v>
      </c>
      <c r="C21" s="36"/>
      <c r="D21" s="36"/>
      <c r="E21" s="37"/>
      <c r="F21" s="27"/>
      <c r="G21" s="27"/>
      <c r="H21" s="38"/>
      <c r="I21" s="38"/>
      <c r="J21" s="27"/>
      <c r="K21" s="27"/>
      <c r="L21" s="27"/>
      <c r="M21" s="27"/>
    </row>
    <row r="22" spans="2:13" x14ac:dyDescent="0.3">
      <c r="B22" s="4"/>
      <c r="C22" s="416"/>
      <c r="D22" s="416"/>
      <c r="E22" s="28"/>
      <c r="F22" s="29"/>
      <c r="G22" s="30"/>
      <c r="H22" s="31"/>
      <c r="I22" s="31"/>
      <c r="J22" s="30"/>
      <c r="K22" s="30"/>
      <c r="L22" s="30"/>
      <c r="M22" s="30"/>
    </row>
    <row r="23" spans="2:13" x14ac:dyDescent="0.3">
      <c r="B23" s="4"/>
      <c r="C23" s="416"/>
      <c r="D23" s="416"/>
      <c r="E23" s="28"/>
      <c r="F23" s="29"/>
      <c r="G23" s="30"/>
      <c r="H23" s="31"/>
      <c r="I23" s="31"/>
      <c r="J23" s="30"/>
      <c r="K23" s="30"/>
      <c r="L23" s="30"/>
      <c r="M23" s="30"/>
    </row>
    <row r="24" spans="2:13" x14ac:dyDescent="0.3">
      <c r="B24" s="4"/>
      <c r="C24" s="416"/>
      <c r="D24" s="416"/>
      <c r="E24" s="28"/>
      <c r="F24" s="29"/>
      <c r="G24" s="30"/>
      <c r="H24" s="31"/>
      <c r="I24" s="31"/>
      <c r="J24" s="30"/>
      <c r="K24" s="30"/>
      <c r="L24" s="30"/>
      <c r="M24" s="30"/>
    </row>
    <row r="25" spans="2:13" x14ac:dyDescent="0.3">
      <c r="B25" s="4"/>
      <c r="C25" s="416"/>
      <c r="D25" s="416"/>
      <c r="E25" s="28"/>
      <c r="F25" s="29"/>
      <c r="G25" s="30"/>
      <c r="H25" s="31"/>
      <c r="I25" s="31"/>
      <c r="J25" s="30"/>
      <c r="K25" s="30"/>
      <c r="L25" s="30"/>
      <c r="M25" s="30"/>
    </row>
    <row r="26" spans="2:13" x14ac:dyDescent="0.3">
      <c r="B26" s="4"/>
      <c r="C26" s="416"/>
      <c r="D26" s="416"/>
      <c r="E26" s="28"/>
      <c r="F26" s="29"/>
      <c r="G26" s="30"/>
      <c r="H26" s="31"/>
      <c r="I26" s="31"/>
      <c r="J26" s="30"/>
      <c r="K26" s="30"/>
      <c r="L26" s="30"/>
      <c r="M26" s="30"/>
    </row>
    <row r="27" spans="2:13" x14ac:dyDescent="0.3">
      <c r="B27" s="4"/>
      <c r="C27" s="416"/>
      <c r="D27" s="416"/>
      <c r="E27" s="28"/>
      <c r="F27" s="29"/>
      <c r="G27" s="30"/>
      <c r="H27" s="31"/>
      <c r="I27" s="31"/>
      <c r="J27" s="30"/>
      <c r="K27" s="30"/>
      <c r="L27" s="30"/>
      <c r="M27" s="30"/>
    </row>
    <row r="28" spans="2:13" x14ac:dyDescent="0.3">
      <c r="B28" s="4"/>
      <c r="C28" s="416"/>
      <c r="D28" s="416"/>
      <c r="E28" s="28"/>
      <c r="F28" s="29"/>
      <c r="G28" s="30"/>
      <c r="H28" s="31"/>
      <c r="I28" s="31"/>
      <c r="J28" s="30"/>
      <c r="K28" s="30"/>
      <c r="L28" s="30"/>
      <c r="M28" s="30"/>
    </row>
    <row r="29" spans="2:13" x14ac:dyDescent="0.3">
      <c r="B29" s="4"/>
      <c r="C29" s="416"/>
      <c r="D29" s="416"/>
      <c r="E29" s="28"/>
      <c r="F29" s="29"/>
      <c r="G29" s="30"/>
      <c r="H29" s="31"/>
      <c r="I29" s="31"/>
      <c r="J29" s="30"/>
      <c r="K29" s="30"/>
      <c r="L29" s="30"/>
      <c r="M29" s="30"/>
    </row>
    <row r="30" spans="2:13" x14ac:dyDescent="0.3">
      <c r="B30" s="4"/>
      <c r="C30" s="416"/>
      <c r="D30" s="416"/>
      <c r="E30" s="28"/>
      <c r="F30" s="29"/>
      <c r="G30" s="30"/>
      <c r="H30" s="31"/>
      <c r="I30" s="31"/>
      <c r="J30" s="30"/>
      <c r="K30" s="30"/>
      <c r="L30" s="30"/>
      <c r="M30" s="30"/>
    </row>
    <row r="31" spans="2:13" x14ac:dyDescent="0.3">
      <c r="B31" s="4"/>
      <c r="C31" s="416"/>
      <c r="D31" s="416"/>
      <c r="E31" s="28"/>
      <c r="F31" s="29"/>
      <c r="G31" s="30"/>
      <c r="H31" s="31"/>
      <c r="I31" s="31"/>
      <c r="J31" s="30"/>
      <c r="K31" s="30"/>
      <c r="L31" s="30"/>
      <c r="M31" s="30"/>
    </row>
    <row r="32" spans="2:13" x14ac:dyDescent="0.3">
      <c r="B32" s="21" t="s">
        <v>329</v>
      </c>
      <c r="C32" s="32"/>
      <c r="D32" s="32"/>
      <c r="E32" s="39"/>
      <c r="F32" s="34"/>
      <c r="G32" s="45">
        <f>SUM(G22:G31)</f>
        <v>0</v>
      </c>
      <c r="H32" s="35"/>
      <c r="I32" s="35"/>
      <c r="J32" s="45">
        <f>SUM(J22:J31)</f>
        <v>0</v>
      </c>
      <c r="K32" s="45">
        <f>SUM(K22:K31)</f>
        <v>0</v>
      </c>
      <c r="L32" s="44">
        <f>SUM(L22:L31)</f>
        <v>0</v>
      </c>
      <c r="M32" s="45">
        <f>SUM(M22:M31)</f>
        <v>0</v>
      </c>
    </row>
    <row r="33" spans="2:29" x14ac:dyDescent="0.3">
      <c r="B33" s="18" t="s">
        <v>330</v>
      </c>
      <c r="C33" s="36"/>
      <c r="D33" s="36"/>
      <c r="E33" s="37"/>
      <c r="F33" s="27"/>
      <c r="G33" s="40"/>
      <c r="H33" s="38"/>
      <c r="I33" s="38"/>
      <c r="J33" s="27"/>
      <c r="K33" s="27"/>
      <c r="L33" s="27"/>
      <c r="M33" s="27"/>
    </row>
    <row r="34" spans="2:29" x14ac:dyDescent="0.3">
      <c r="B34" s="4"/>
      <c r="C34" s="416"/>
      <c r="D34" s="416"/>
      <c r="E34" s="28"/>
      <c r="F34" s="29"/>
      <c r="G34" s="30"/>
      <c r="H34" s="31"/>
      <c r="I34" s="31"/>
      <c r="J34" s="30"/>
      <c r="K34" s="30"/>
      <c r="L34" s="30"/>
      <c r="M34" s="30"/>
    </row>
    <row r="35" spans="2:29" x14ac:dyDescent="0.3">
      <c r="B35" s="4"/>
      <c r="C35" s="416"/>
      <c r="D35" s="416"/>
      <c r="E35" s="28"/>
      <c r="F35" s="29"/>
      <c r="G35" s="30"/>
      <c r="H35" s="31"/>
      <c r="I35" s="31"/>
      <c r="J35" s="30"/>
      <c r="K35" s="30"/>
      <c r="L35" s="30"/>
      <c r="M35" s="30"/>
    </row>
    <row r="36" spans="2:29" x14ac:dyDescent="0.3">
      <c r="B36" s="4"/>
      <c r="C36" s="416"/>
      <c r="D36" s="416"/>
      <c r="E36" s="28"/>
      <c r="F36" s="29"/>
      <c r="G36" s="30"/>
      <c r="H36" s="31"/>
      <c r="I36" s="31"/>
      <c r="J36" s="30"/>
      <c r="K36" s="30"/>
      <c r="L36" s="30"/>
      <c r="M36" s="30"/>
    </row>
    <row r="37" spans="2:29" x14ac:dyDescent="0.3">
      <c r="B37" s="4"/>
      <c r="C37" s="416"/>
      <c r="D37" s="416"/>
      <c r="E37" s="28"/>
      <c r="F37" s="29"/>
      <c r="G37" s="30"/>
      <c r="H37" s="31"/>
      <c r="I37" s="31"/>
      <c r="J37" s="30"/>
      <c r="K37" s="30"/>
      <c r="L37" s="30"/>
      <c r="M37" s="30"/>
    </row>
    <row r="38" spans="2:29" x14ac:dyDescent="0.3">
      <c r="B38" s="4"/>
      <c r="C38" s="416"/>
      <c r="D38" s="416"/>
      <c r="E38" s="28"/>
      <c r="F38" s="29"/>
      <c r="G38" s="30"/>
      <c r="H38" s="31"/>
      <c r="I38" s="31"/>
      <c r="J38" s="30"/>
      <c r="K38" s="30"/>
      <c r="L38" s="30"/>
      <c r="M38" s="30"/>
    </row>
    <row r="39" spans="2:29" x14ac:dyDescent="0.3">
      <c r="B39" s="4"/>
      <c r="C39" s="416"/>
      <c r="D39" s="416"/>
      <c r="E39" s="28"/>
      <c r="F39" s="29"/>
      <c r="G39" s="30"/>
      <c r="H39" s="31"/>
      <c r="I39" s="31"/>
      <c r="J39" s="30"/>
      <c r="K39" s="30"/>
      <c r="L39" s="30"/>
      <c r="M39" s="30"/>
    </row>
    <row r="40" spans="2:29" x14ac:dyDescent="0.3">
      <c r="B40" s="4"/>
      <c r="C40" s="416"/>
      <c r="D40" s="416"/>
      <c r="E40" s="28"/>
      <c r="F40" s="29"/>
      <c r="G40" s="30"/>
      <c r="H40" s="31"/>
      <c r="I40" s="31"/>
      <c r="J40" s="30"/>
      <c r="K40" s="30"/>
      <c r="L40" s="30"/>
      <c r="M40" s="30"/>
    </row>
    <row r="41" spans="2:29" x14ac:dyDescent="0.3">
      <c r="B41" s="4"/>
      <c r="C41" s="416"/>
      <c r="D41" s="416"/>
      <c r="E41" s="28"/>
      <c r="F41" s="29"/>
      <c r="G41" s="30"/>
      <c r="H41" s="31"/>
      <c r="I41" s="31"/>
      <c r="J41" s="30"/>
      <c r="K41" s="30"/>
      <c r="L41" s="30"/>
      <c r="M41" s="30"/>
      <c r="N41" s="1"/>
      <c r="O41" s="1"/>
      <c r="P41" s="1"/>
      <c r="Q41" s="1"/>
      <c r="R41" s="1"/>
      <c r="S41" s="1"/>
      <c r="T41" s="1"/>
      <c r="U41" s="1"/>
      <c r="V41" s="1"/>
      <c r="W41" s="1"/>
      <c r="X41" s="1"/>
      <c r="Y41" s="1"/>
      <c r="Z41" s="1"/>
      <c r="AA41" s="1"/>
      <c r="AB41" s="1"/>
      <c r="AC41" s="1"/>
    </row>
    <row r="42" spans="2:29" x14ac:dyDescent="0.3">
      <c r="B42" s="21" t="s">
        <v>104</v>
      </c>
      <c r="C42" s="26"/>
      <c r="D42" s="26"/>
      <c r="E42" s="39"/>
      <c r="F42" s="34"/>
      <c r="G42" s="45">
        <f>SUM(G34:G41)</f>
        <v>0</v>
      </c>
      <c r="H42" s="34"/>
      <c r="I42" s="34"/>
      <c r="J42" s="45">
        <f>SUM(J34:J41)</f>
        <v>0</v>
      </c>
      <c r="K42" s="45">
        <f>SUM(K34:K41)</f>
        <v>0</v>
      </c>
      <c r="L42" s="45">
        <f>SUM(L34:L41)</f>
        <v>0</v>
      </c>
      <c r="M42" s="45">
        <f>SUM(M34:M41)</f>
        <v>0</v>
      </c>
    </row>
    <row r="43" spans="2:29" x14ac:dyDescent="0.3">
      <c r="B43" s="21" t="s">
        <v>331</v>
      </c>
      <c r="C43" s="26"/>
      <c r="D43" s="26"/>
      <c r="E43" s="26"/>
      <c r="F43" s="34"/>
      <c r="G43" s="45">
        <f>SUM(G20+G32+G42)</f>
        <v>22570000</v>
      </c>
      <c r="H43" s="34"/>
      <c r="I43" s="34"/>
      <c r="J43" s="45">
        <f>SUM(J20+J32+J42)</f>
        <v>766018</v>
      </c>
      <c r="K43" s="45">
        <f>SUM(K20+K32+K42)</f>
        <v>1925000</v>
      </c>
      <c r="L43" s="45">
        <f>SUM(L20+L32+L42)</f>
        <v>706779</v>
      </c>
      <c r="M43" s="45">
        <f>SUM(M20+M32+M42)</f>
        <v>1980000</v>
      </c>
    </row>
    <row r="44" spans="2:29" x14ac:dyDescent="0.3">
      <c r="B44" s="1"/>
      <c r="C44" s="1"/>
      <c r="D44" s="1"/>
      <c r="E44" s="1"/>
      <c r="F44" s="1"/>
      <c r="G44" s="1"/>
      <c r="H44" s="1"/>
      <c r="I44" s="1"/>
      <c r="J44" s="1"/>
      <c r="K44" s="1"/>
      <c r="L44" s="1"/>
      <c r="M44" s="1"/>
    </row>
    <row r="45" spans="2:29" x14ac:dyDescent="0.3">
      <c r="F45" s="5"/>
      <c r="G45" s="5"/>
      <c r="J45" s="5"/>
      <c r="K45" s="5"/>
      <c r="L45" s="5"/>
      <c r="M45" s="5"/>
    </row>
    <row r="46" spans="2:29" x14ac:dyDescent="0.3">
      <c r="F46" s="1"/>
      <c r="H46" s="25"/>
      <c r="N46" s="1"/>
    </row>
    <row r="47" spans="2:29" x14ac:dyDescent="0.3">
      <c r="B47" s="1"/>
      <c r="C47" s="1"/>
      <c r="D47" s="1"/>
      <c r="E47" s="1"/>
      <c r="F47" s="1"/>
      <c r="G47" s="1"/>
      <c r="H47" s="1"/>
      <c r="I47" s="1"/>
      <c r="J47" s="1"/>
      <c r="K47" s="1"/>
      <c r="L47" s="1"/>
      <c r="M47" s="1"/>
    </row>
    <row r="48" spans="2:29" x14ac:dyDescent="0.3">
      <c r="B48" s="1"/>
      <c r="C48" s="1"/>
      <c r="D48" s="1"/>
      <c r="E48" s="1"/>
      <c r="F48" s="1"/>
      <c r="G48" s="1"/>
      <c r="H48" s="1"/>
      <c r="I48" s="1"/>
      <c r="J48" s="1"/>
      <c r="K48" s="1"/>
      <c r="L48" s="1"/>
      <c r="M48" s="1"/>
    </row>
  </sheetData>
  <mergeCells count="3">
    <mergeCell ref="H6:I6"/>
    <mergeCell ref="J6:K6"/>
    <mergeCell ref="L6:M6"/>
  </mergeCells>
  <phoneticPr fontId="0" type="noConversion"/>
  <pageMargins left="0.5" right="0.25" top="1" bottom="0.5" header="0.5" footer="0.25"/>
  <pageSetup scale="72"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topLeftCell="A2" zoomScale="75" workbookViewId="0">
      <selection activeCell="I11" sqref="I11"/>
    </sheetView>
  </sheetViews>
  <sheetFormatPr defaultColWidth="8.9140625" defaultRowHeight="15.6" x14ac:dyDescent="0.25"/>
  <cols>
    <col min="1" max="1" width="8.9140625" style="63"/>
    <col min="2" max="2" width="23.58203125" style="63" customWidth="1"/>
    <col min="3" max="5" width="9.75" style="63" customWidth="1"/>
    <col min="6" max="6" width="18.33203125" style="63" customWidth="1"/>
    <col min="7" max="9" width="15.75" style="63" customWidth="1"/>
    <col min="10" max="16384" width="8.9140625" style="63"/>
  </cols>
  <sheetData>
    <row r="1" spans="2:9" x14ac:dyDescent="0.25">
      <c r="B1" s="235" t="str">
        <f>inputPrYr!$D$3</f>
        <v>City of Bonner Springs</v>
      </c>
      <c r="C1" s="67"/>
      <c r="D1" s="67"/>
      <c r="E1" s="67"/>
      <c r="F1" s="67"/>
      <c r="G1" s="67"/>
      <c r="H1" s="67"/>
      <c r="I1" s="260">
        <f>inputPrYr!C10</f>
        <v>2013</v>
      </c>
    </row>
    <row r="2" spans="2:9" x14ac:dyDescent="0.25">
      <c r="B2" s="235"/>
      <c r="C2" s="67"/>
      <c r="D2" s="67"/>
      <c r="E2" s="67"/>
      <c r="F2" s="67"/>
      <c r="G2" s="67"/>
      <c r="H2" s="67"/>
      <c r="I2" s="209"/>
    </row>
    <row r="3" spans="2:9" x14ac:dyDescent="0.25">
      <c r="B3" s="67"/>
      <c r="C3" s="67"/>
      <c r="D3" s="67"/>
      <c r="E3" s="67"/>
      <c r="F3" s="67"/>
      <c r="G3" s="67"/>
      <c r="H3" s="67"/>
      <c r="I3" s="178"/>
    </row>
    <row r="4" spans="2:9" x14ac:dyDescent="0.25">
      <c r="B4" s="261" t="s">
        <v>1</v>
      </c>
      <c r="C4" s="77"/>
      <c r="D4" s="77"/>
      <c r="E4" s="77"/>
      <c r="F4" s="77"/>
      <c r="G4" s="77"/>
      <c r="H4" s="77"/>
      <c r="I4" s="77"/>
    </row>
    <row r="5" spans="2:9" x14ac:dyDescent="0.25">
      <c r="B5" s="82"/>
      <c r="C5" s="262"/>
      <c r="D5" s="262"/>
      <c r="E5" s="262"/>
      <c r="F5" s="262"/>
      <c r="G5" s="262"/>
      <c r="H5" s="262"/>
      <c r="I5" s="262"/>
    </row>
    <row r="6" spans="2:9" x14ac:dyDescent="0.25">
      <c r="B6" s="192"/>
      <c r="C6" s="192"/>
      <c r="D6" s="192"/>
      <c r="E6" s="192"/>
      <c r="F6" s="238" t="s">
        <v>260</v>
      </c>
      <c r="G6" s="192"/>
      <c r="H6" s="192"/>
      <c r="I6" s="192"/>
    </row>
    <row r="7" spans="2:9" x14ac:dyDescent="0.25">
      <c r="B7" s="193"/>
      <c r="C7" s="263"/>
      <c r="D7" s="263" t="s">
        <v>332</v>
      </c>
      <c r="E7" s="263" t="s">
        <v>333</v>
      </c>
      <c r="F7" s="263" t="s">
        <v>276</v>
      </c>
      <c r="G7" s="263" t="s">
        <v>335</v>
      </c>
      <c r="H7" s="263" t="s">
        <v>336</v>
      </c>
      <c r="I7" s="263" t="s">
        <v>336</v>
      </c>
    </row>
    <row r="8" spans="2:9" x14ac:dyDescent="0.25">
      <c r="B8" s="263" t="s">
        <v>865</v>
      </c>
      <c r="C8" s="263" t="s">
        <v>337</v>
      </c>
      <c r="D8" s="263" t="s">
        <v>338</v>
      </c>
      <c r="E8" s="263" t="s">
        <v>322</v>
      </c>
      <c r="F8" s="263" t="s">
        <v>339</v>
      </c>
      <c r="G8" s="263" t="s">
        <v>38</v>
      </c>
      <c r="H8" s="263" t="s">
        <v>340</v>
      </c>
      <c r="I8" s="263" t="s">
        <v>340</v>
      </c>
    </row>
    <row r="9" spans="2:9" x14ac:dyDescent="0.25">
      <c r="B9" s="240" t="s">
        <v>866</v>
      </c>
      <c r="C9" s="240" t="s">
        <v>319</v>
      </c>
      <c r="D9" s="264" t="s">
        <v>341</v>
      </c>
      <c r="E9" s="240" t="s">
        <v>298</v>
      </c>
      <c r="F9" s="264" t="s">
        <v>62</v>
      </c>
      <c r="G9" s="265" t="str">
        <f>CONCATENATE("Jan 1,",I1-1,"")</f>
        <v>Jan 1,2012</v>
      </c>
      <c r="H9" s="240">
        <f>I1-1</f>
        <v>2012</v>
      </c>
      <c r="I9" s="240">
        <f>I1</f>
        <v>2013</v>
      </c>
    </row>
    <row r="10" spans="2:9" x14ac:dyDescent="0.25">
      <c r="B10" s="91" t="s">
        <v>1030</v>
      </c>
      <c r="C10" s="415">
        <v>38048</v>
      </c>
      <c r="D10" s="267">
        <v>96</v>
      </c>
      <c r="E10" s="268">
        <v>4.09</v>
      </c>
      <c r="F10" s="269">
        <v>98700</v>
      </c>
      <c r="G10" s="269">
        <v>14136</v>
      </c>
      <c r="H10" s="269">
        <v>14136</v>
      </c>
      <c r="I10" s="269">
        <v>0</v>
      </c>
    </row>
    <row r="11" spans="2:9" x14ac:dyDescent="0.25">
      <c r="B11" s="91" t="s">
        <v>1031</v>
      </c>
      <c r="C11" s="415">
        <v>38957</v>
      </c>
      <c r="D11" s="267">
        <v>84</v>
      </c>
      <c r="E11" s="268">
        <v>4.4000000000000004</v>
      </c>
      <c r="F11" s="269">
        <v>946877</v>
      </c>
      <c r="G11" s="269">
        <v>265011</v>
      </c>
      <c r="H11" s="269">
        <v>148738</v>
      </c>
      <c r="I11" s="269">
        <v>115918.3</v>
      </c>
    </row>
    <row r="12" spans="2:9" x14ac:dyDescent="0.25">
      <c r="B12" s="91"/>
      <c r="C12" s="266"/>
      <c r="D12" s="267"/>
      <c r="E12" s="268"/>
      <c r="F12" s="269" t="s">
        <v>261</v>
      </c>
      <c r="G12" s="269"/>
      <c r="H12" s="269"/>
      <c r="I12" s="269"/>
    </row>
    <row r="13" spans="2:9" x14ac:dyDescent="0.25">
      <c r="B13" s="91"/>
      <c r="C13" s="266"/>
      <c r="D13" s="267"/>
      <c r="E13" s="268"/>
      <c r="F13" s="269"/>
      <c r="G13" s="269"/>
      <c r="H13" s="269"/>
      <c r="I13" s="269"/>
    </row>
    <row r="14" spans="2:9" x14ac:dyDescent="0.25">
      <c r="B14" s="91"/>
      <c r="C14" s="266"/>
      <c r="D14" s="267"/>
      <c r="E14" s="268"/>
      <c r="F14" s="269"/>
      <c r="G14" s="269"/>
      <c r="H14" s="269"/>
      <c r="I14" s="269"/>
    </row>
    <row r="15" spans="2:9" x14ac:dyDescent="0.25">
      <c r="B15" s="91"/>
      <c r="C15" s="266"/>
      <c r="D15" s="267"/>
      <c r="E15" s="268"/>
      <c r="F15" s="269"/>
      <c r="G15" s="269"/>
      <c r="H15" s="269"/>
      <c r="I15" s="269"/>
    </row>
    <row r="16" spans="2:9" x14ac:dyDescent="0.25">
      <c r="B16" s="91"/>
      <c r="C16" s="266"/>
      <c r="D16" s="267"/>
      <c r="E16" s="268"/>
      <c r="F16" s="269"/>
      <c r="G16" s="269"/>
      <c r="H16" s="269"/>
      <c r="I16" s="269"/>
    </row>
    <row r="17" spans="2:9" x14ac:dyDescent="0.25">
      <c r="B17" s="91"/>
      <c r="C17" s="266"/>
      <c r="D17" s="267"/>
      <c r="E17" s="268"/>
      <c r="F17" s="269"/>
      <c r="G17" s="269"/>
      <c r="H17" s="269"/>
      <c r="I17" s="269"/>
    </row>
    <row r="18" spans="2:9" x14ac:dyDescent="0.25">
      <c r="B18" s="91"/>
      <c r="C18" s="266"/>
      <c r="D18" s="267"/>
      <c r="E18" s="268"/>
      <c r="F18" s="269"/>
      <c r="G18" s="269"/>
      <c r="H18" s="269"/>
      <c r="I18" s="269"/>
    </row>
    <row r="19" spans="2:9" x14ac:dyDescent="0.25">
      <c r="B19" s="91"/>
      <c r="C19" s="266"/>
      <c r="D19" s="267"/>
      <c r="E19" s="268"/>
      <c r="F19" s="269"/>
      <c r="G19" s="269"/>
      <c r="H19" s="269"/>
      <c r="I19" s="269"/>
    </row>
    <row r="20" spans="2:9" x14ac:dyDescent="0.25">
      <c r="B20" s="91"/>
      <c r="C20" s="266"/>
      <c r="D20" s="267"/>
      <c r="E20" s="268"/>
      <c r="F20" s="269"/>
      <c r="G20" s="269"/>
      <c r="H20" s="269"/>
      <c r="I20" s="269"/>
    </row>
    <row r="21" spans="2:9" x14ac:dyDescent="0.25">
      <c r="B21" s="91"/>
      <c r="C21" s="266"/>
      <c r="D21" s="267"/>
      <c r="E21" s="268"/>
      <c r="F21" s="269"/>
      <c r="G21" s="269"/>
      <c r="H21" s="269"/>
      <c r="I21" s="269"/>
    </row>
    <row r="22" spans="2:9" x14ac:dyDescent="0.25">
      <c r="B22" s="91"/>
      <c r="C22" s="266"/>
      <c r="D22" s="267"/>
      <c r="E22" s="268"/>
      <c r="F22" s="269"/>
      <c r="G22" s="269"/>
      <c r="H22" s="269"/>
      <c r="I22" s="269"/>
    </row>
    <row r="23" spans="2:9" x14ac:dyDescent="0.25">
      <c r="B23" s="91"/>
      <c r="C23" s="266"/>
      <c r="D23" s="267"/>
      <c r="E23" s="268"/>
      <c r="F23" s="269"/>
      <c r="G23" s="269"/>
      <c r="H23" s="269"/>
      <c r="I23" s="269"/>
    </row>
    <row r="24" spans="2:9" x14ac:dyDescent="0.25">
      <c r="B24" s="91"/>
      <c r="C24" s="266"/>
      <c r="D24" s="267"/>
      <c r="E24" s="268"/>
      <c r="F24" s="269"/>
      <c r="G24" s="269"/>
      <c r="H24" s="269"/>
      <c r="I24" s="269"/>
    </row>
    <row r="25" spans="2:9" x14ac:dyDescent="0.25">
      <c r="B25" s="91"/>
      <c r="C25" s="266"/>
      <c r="D25" s="267"/>
      <c r="E25" s="268"/>
      <c r="F25" s="269"/>
      <c r="G25" s="269"/>
      <c r="H25" s="269"/>
      <c r="I25" s="269"/>
    </row>
    <row r="26" spans="2:9" x14ac:dyDescent="0.25">
      <c r="B26" s="91"/>
      <c r="C26" s="266"/>
      <c r="D26" s="267"/>
      <c r="E26" s="268"/>
      <c r="F26" s="269"/>
      <c r="G26" s="269"/>
      <c r="H26" s="269"/>
      <c r="I26" s="269"/>
    </row>
    <row r="27" spans="2:9" x14ac:dyDescent="0.25">
      <c r="B27" s="91"/>
      <c r="C27" s="266"/>
      <c r="D27" s="267"/>
      <c r="E27" s="268"/>
      <c r="F27" s="269"/>
      <c r="G27" s="269"/>
      <c r="H27" s="269"/>
      <c r="I27" s="269"/>
    </row>
    <row r="28" spans="2:9" ht="16.2" thickBot="1" x14ac:dyDescent="0.3">
      <c r="B28" s="270"/>
      <c r="C28" s="154"/>
      <c r="D28" s="154"/>
      <c r="E28" s="154"/>
      <c r="F28" s="629" t="s">
        <v>272</v>
      </c>
      <c r="G28" s="271">
        <f>SUM(G10:G27)</f>
        <v>279147</v>
      </c>
      <c r="H28" s="271">
        <f>SUM(H10:H27)</f>
        <v>162874</v>
      </c>
      <c r="I28" s="271">
        <f>SUM(I10:I27)</f>
        <v>115918.3</v>
      </c>
    </row>
    <row r="29" spans="2:9" ht="16.2" thickTop="1" x14ac:dyDescent="0.25">
      <c r="B29" s="67"/>
      <c r="C29" s="67"/>
      <c r="D29" s="67"/>
      <c r="E29" s="67"/>
      <c r="F29" s="67"/>
      <c r="G29" s="67"/>
      <c r="H29" s="235"/>
      <c r="I29" s="235"/>
    </row>
    <row r="30" spans="2:9" x14ac:dyDescent="0.25">
      <c r="B30" s="272" t="s">
        <v>192</v>
      </c>
      <c r="C30" s="157"/>
      <c r="D30" s="157"/>
      <c r="E30" s="157"/>
      <c r="F30" s="157"/>
      <c r="G30" s="157"/>
      <c r="H30" s="235"/>
      <c r="I30" s="235"/>
    </row>
  </sheetData>
  <phoneticPr fontId="0" type="noConversion"/>
  <pageMargins left="0.75" right="0.25" top="1" bottom="0.5" header="0.5" footer="0.5"/>
  <pageSetup scale="81"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tabSelected="1" topLeftCell="A11" zoomScaleNormal="100" workbookViewId="0">
      <selection activeCell="K25" sqref="K25"/>
    </sheetView>
  </sheetViews>
  <sheetFormatPr defaultColWidth="8.9140625" defaultRowHeight="15" x14ac:dyDescent="0.25"/>
  <cols>
    <col min="1" max="1" width="2.58203125" style="606" customWidth="1"/>
    <col min="2" max="4" width="8.9140625" style="606"/>
    <col min="5" max="5" width="9.6640625" style="606" customWidth="1"/>
    <col min="6" max="6" width="8.9140625" style="606"/>
    <col min="7" max="7" width="9.6640625" style="606" customWidth="1"/>
    <col min="8" max="16384" width="8.9140625" style="606"/>
  </cols>
  <sheetData>
    <row r="1" spans="2:9" ht="15.6" x14ac:dyDescent="0.3">
      <c r="B1" s="605"/>
      <c r="C1" s="605"/>
      <c r="D1" s="605"/>
      <c r="E1" s="605"/>
      <c r="F1" s="605"/>
      <c r="G1" s="605"/>
      <c r="H1" s="605"/>
      <c r="I1" s="605"/>
    </row>
    <row r="2" spans="2:9" ht="15.6" x14ac:dyDescent="0.25">
      <c r="B2" s="871" t="s">
        <v>814</v>
      </c>
      <c r="C2" s="871"/>
      <c r="D2" s="871"/>
      <c r="E2" s="871"/>
      <c r="F2" s="871"/>
      <c r="G2" s="871"/>
      <c r="H2" s="871"/>
      <c r="I2" s="871"/>
    </row>
    <row r="3" spans="2:9" ht="15.6" x14ac:dyDescent="0.25">
      <c r="B3" s="871" t="s">
        <v>815</v>
      </c>
      <c r="C3" s="871"/>
      <c r="D3" s="871"/>
      <c r="E3" s="871"/>
      <c r="F3" s="871"/>
      <c r="G3" s="871"/>
      <c r="H3" s="871"/>
      <c r="I3" s="871"/>
    </row>
    <row r="4" spans="2:9" ht="15.6" x14ac:dyDescent="0.25">
      <c r="B4" s="607"/>
      <c r="C4" s="607"/>
      <c r="D4" s="607"/>
      <c r="E4" s="607"/>
      <c r="F4" s="607"/>
      <c r="G4" s="607"/>
      <c r="H4" s="607"/>
      <c r="I4" s="607"/>
    </row>
    <row r="5" spans="2:9" ht="15.6" x14ac:dyDescent="0.25">
      <c r="B5" s="872" t="str">
        <f>CONCATENATE("Budgeted Year: ",inputPrYr!C10,"")</f>
        <v>Budgeted Year: 2013</v>
      </c>
      <c r="C5" s="872"/>
      <c r="D5" s="872"/>
      <c r="E5" s="872"/>
      <c r="F5" s="872"/>
      <c r="G5" s="872"/>
      <c r="H5" s="872"/>
      <c r="I5" s="872"/>
    </row>
    <row r="6" spans="2:9" ht="15.6" x14ac:dyDescent="0.25">
      <c r="B6" s="608"/>
      <c r="C6" s="607"/>
      <c r="D6" s="607"/>
      <c r="E6" s="607"/>
      <c r="F6" s="607"/>
      <c r="G6" s="607"/>
      <c r="H6" s="607"/>
      <c r="I6" s="607"/>
    </row>
    <row r="7" spans="2:9" ht="15.6" x14ac:dyDescent="0.25">
      <c r="B7" s="608" t="str">
        <f>CONCATENATE("Library found in: ",inputPrYr!D3,"")</f>
        <v>Library found in: City of Bonner Springs</v>
      </c>
      <c r="C7" s="607"/>
      <c r="D7" s="607"/>
      <c r="E7" s="607"/>
      <c r="F7" s="607"/>
      <c r="G7" s="607"/>
      <c r="H7" s="607"/>
      <c r="I7" s="607"/>
    </row>
    <row r="8" spans="2:9" ht="15.6" x14ac:dyDescent="0.25">
      <c r="B8" s="608" t="str">
        <f>inputPrYr!D4</f>
        <v>Wyandotte County</v>
      </c>
      <c r="C8" s="607"/>
      <c r="D8" s="607"/>
      <c r="E8" s="607"/>
      <c r="F8" s="607"/>
      <c r="G8" s="607"/>
      <c r="H8" s="607"/>
      <c r="I8" s="607"/>
    </row>
    <row r="9" spans="2:9" ht="15.6" x14ac:dyDescent="0.25">
      <c r="B9" s="607"/>
      <c r="C9" s="607"/>
      <c r="D9" s="607"/>
      <c r="E9" s="607"/>
      <c r="F9" s="607"/>
      <c r="G9" s="607"/>
      <c r="H9" s="607"/>
      <c r="I9" s="607"/>
    </row>
    <row r="10" spans="2:9" ht="39" customHeight="1" x14ac:dyDescent="0.25">
      <c r="B10" s="873" t="s">
        <v>816</v>
      </c>
      <c r="C10" s="873"/>
      <c r="D10" s="873"/>
      <c r="E10" s="873"/>
      <c r="F10" s="873"/>
      <c r="G10" s="873"/>
      <c r="H10" s="873"/>
      <c r="I10" s="873"/>
    </row>
    <row r="11" spans="2:9" ht="15.6" x14ac:dyDescent="0.25">
      <c r="B11" s="607"/>
      <c r="C11" s="607"/>
      <c r="D11" s="607"/>
      <c r="E11" s="607"/>
      <c r="F11" s="607"/>
      <c r="G11" s="607"/>
      <c r="H11" s="607"/>
      <c r="I11" s="607"/>
    </row>
    <row r="12" spans="2:9" ht="15.6" x14ac:dyDescent="0.25">
      <c r="B12" s="609" t="s">
        <v>817</v>
      </c>
      <c r="C12" s="607"/>
      <c r="D12" s="607"/>
      <c r="E12" s="607"/>
      <c r="F12" s="607"/>
      <c r="G12" s="607"/>
      <c r="H12" s="607"/>
      <c r="I12" s="607"/>
    </row>
    <row r="13" spans="2:9" ht="15.6" x14ac:dyDescent="0.25">
      <c r="B13" s="607"/>
      <c r="C13" s="607"/>
      <c r="D13" s="607"/>
      <c r="E13" s="610" t="s">
        <v>811</v>
      </c>
      <c r="F13" s="607"/>
      <c r="G13" s="610" t="s">
        <v>818</v>
      </c>
      <c r="H13" s="607"/>
      <c r="I13" s="607"/>
    </row>
    <row r="14" spans="2:9" ht="15.6" x14ac:dyDescent="0.25">
      <c r="B14" s="607"/>
      <c r="C14" s="607"/>
      <c r="D14" s="607"/>
      <c r="E14" s="611">
        <f>inputPrYr!C10-1</f>
        <v>2012</v>
      </c>
      <c r="F14" s="607"/>
      <c r="G14" s="611">
        <f>inputPrYr!C10</f>
        <v>2013</v>
      </c>
      <c r="H14" s="607"/>
      <c r="I14" s="607"/>
    </row>
    <row r="15" spans="2:9" ht="15.6" x14ac:dyDescent="0.25">
      <c r="B15" s="608" t="str">
        <f>Library!A6</f>
        <v>Ad Valorem Tax</v>
      </c>
      <c r="C15" s="607"/>
      <c r="D15" s="607"/>
      <c r="E15" s="612">
        <f>Library!C6</f>
        <v>302457</v>
      </c>
      <c r="F15" s="607"/>
      <c r="G15" s="612">
        <f>Library!D30</f>
        <v>327283</v>
      </c>
      <c r="H15" s="607"/>
      <c r="I15" s="607"/>
    </row>
    <row r="16" spans="2:9" ht="15.6" x14ac:dyDescent="0.25">
      <c r="B16" s="608" t="str">
        <f>Library!A7</f>
        <v>Delinquent Tax</v>
      </c>
      <c r="C16" s="607"/>
      <c r="D16" s="607"/>
      <c r="E16" s="612">
        <f>Library!C8</f>
        <v>34003</v>
      </c>
      <c r="F16" s="607"/>
      <c r="G16" s="612">
        <f>Library!D8</f>
        <v>37018</v>
      </c>
      <c r="H16" s="607"/>
      <c r="I16" s="607"/>
    </row>
    <row r="17" spans="2:9" ht="15.6" x14ac:dyDescent="0.25">
      <c r="B17" s="608" t="str">
        <f>Library!A8</f>
        <v>Motor Vehicle Tax</v>
      </c>
      <c r="C17" s="607"/>
      <c r="D17" s="607"/>
      <c r="E17" s="612">
        <f>Library!C9</f>
        <v>361</v>
      </c>
      <c r="F17" s="607"/>
      <c r="G17" s="612">
        <f>Library!D9</f>
        <v>249</v>
      </c>
      <c r="H17" s="607"/>
      <c r="I17" s="607"/>
    </row>
    <row r="18" spans="2:9" ht="15.6" x14ac:dyDescent="0.25">
      <c r="B18" s="608" t="str">
        <f>Library!A9</f>
        <v>Recreational Vehicle Tax</v>
      </c>
      <c r="C18" s="607"/>
      <c r="D18" s="607"/>
      <c r="E18" s="612">
        <f>Library!C10</f>
        <v>434</v>
      </c>
      <c r="F18" s="607"/>
      <c r="G18" s="612">
        <f>Library!D10</f>
        <v>362</v>
      </c>
      <c r="H18" s="607"/>
      <c r="I18" s="607"/>
    </row>
    <row r="19" spans="2:9" ht="15.6" x14ac:dyDescent="0.25">
      <c r="B19" s="608" t="str">
        <f>Library!A10</f>
        <v>16/20M Vehicle Tax</v>
      </c>
      <c r="C19" s="607"/>
      <c r="D19" s="607"/>
      <c r="E19" s="612">
        <f>Library!C11</f>
        <v>8479</v>
      </c>
      <c r="F19" s="607"/>
      <c r="G19" s="612">
        <f>Library!D11</f>
        <v>10151</v>
      </c>
      <c r="H19" s="607"/>
      <c r="I19" s="607"/>
    </row>
    <row r="20" spans="2:9" ht="15.6" x14ac:dyDescent="0.25">
      <c r="B20" s="607" t="s">
        <v>89</v>
      </c>
      <c r="C20" s="607"/>
      <c r="D20" s="607"/>
      <c r="E20" s="612">
        <v>0</v>
      </c>
      <c r="F20" s="607"/>
      <c r="G20" s="612">
        <v>0</v>
      </c>
      <c r="H20" s="607"/>
      <c r="I20" s="607"/>
    </row>
    <row r="21" spans="2:9" ht="15.6" x14ac:dyDescent="0.25">
      <c r="B21" s="607"/>
      <c r="C21" s="607"/>
      <c r="D21" s="607"/>
      <c r="E21" s="612">
        <v>0</v>
      </c>
      <c r="F21" s="607"/>
      <c r="G21" s="612">
        <v>0</v>
      </c>
      <c r="H21" s="607"/>
      <c r="I21" s="607"/>
    </row>
    <row r="22" spans="2:9" ht="15.6" x14ac:dyDescent="0.25">
      <c r="B22" s="607" t="s">
        <v>819</v>
      </c>
      <c r="C22" s="607"/>
      <c r="D22" s="607"/>
      <c r="E22" s="613">
        <f>SUM(E15:E21)</f>
        <v>345734</v>
      </c>
      <c r="F22" s="607"/>
      <c r="G22" s="613">
        <f>SUM(G15:G21)</f>
        <v>375063</v>
      </c>
      <c r="H22" s="607"/>
      <c r="I22" s="607"/>
    </row>
    <row r="23" spans="2:9" ht="15.6" x14ac:dyDescent="0.25">
      <c r="B23" s="607" t="s">
        <v>820</v>
      </c>
      <c r="C23" s="607"/>
      <c r="D23" s="607"/>
      <c r="E23" s="614">
        <f>G22-E22</f>
        <v>29329</v>
      </c>
      <c r="F23" s="607"/>
      <c r="G23" s="615"/>
      <c r="H23" s="607"/>
      <c r="I23" s="607"/>
    </row>
    <row r="24" spans="2:9" ht="15.6" x14ac:dyDescent="0.25">
      <c r="B24" s="607" t="s">
        <v>821</v>
      </c>
      <c r="C24" s="607"/>
      <c r="D24" s="616" t="str">
        <f>IF((G22-E22)&gt;0,"Qualify","Not Qualify")</f>
        <v>Qualify</v>
      </c>
      <c r="E24" s="607"/>
      <c r="F24" s="607"/>
      <c r="G24" s="607"/>
      <c r="H24" s="607"/>
      <c r="I24" s="607"/>
    </row>
    <row r="25" spans="2:9" ht="15.6" x14ac:dyDescent="0.25">
      <c r="B25" s="607"/>
      <c r="C25" s="607"/>
      <c r="D25" s="607"/>
      <c r="E25" s="607"/>
      <c r="F25" s="607"/>
      <c r="G25" s="607"/>
      <c r="H25" s="607"/>
      <c r="I25" s="607"/>
    </row>
    <row r="26" spans="2:9" ht="15.6" x14ac:dyDescent="0.25">
      <c r="B26" s="609" t="s">
        <v>822</v>
      </c>
      <c r="C26" s="607"/>
      <c r="D26" s="607"/>
      <c r="E26" s="607"/>
      <c r="F26" s="607"/>
      <c r="G26" s="607"/>
      <c r="H26" s="607"/>
      <c r="I26" s="607"/>
    </row>
    <row r="27" spans="2:9" ht="15.6" x14ac:dyDescent="0.25">
      <c r="B27" s="607" t="s">
        <v>823</v>
      </c>
      <c r="C27" s="607"/>
      <c r="D27" s="607"/>
      <c r="E27" s="612">
        <f>summ!D52</f>
        <v>66538069</v>
      </c>
      <c r="F27" s="607"/>
      <c r="G27" s="612">
        <f>summ!F52</f>
        <v>66248104</v>
      </c>
      <c r="H27" s="607"/>
      <c r="I27" s="607"/>
    </row>
    <row r="28" spans="2:9" ht="15.6" x14ac:dyDescent="0.25">
      <c r="B28" s="607" t="s">
        <v>824</v>
      </c>
      <c r="C28" s="607"/>
      <c r="D28" s="607"/>
      <c r="E28" s="617" t="str">
        <f>IF(G27-E27&gt;0,"No","Yes")</f>
        <v>Yes</v>
      </c>
      <c r="F28" s="607"/>
      <c r="G28" s="607"/>
      <c r="H28" s="607"/>
      <c r="I28" s="607"/>
    </row>
    <row r="29" spans="2:9" ht="15.6" x14ac:dyDescent="0.25">
      <c r="B29" s="607" t="s">
        <v>825</v>
      </c>
      <c r="C29" s="607"/>
      <c r="D29" s="607"/>
      <c r="E29" s="610">
        <f>summ!E17</f>
        <v>4.7850000000000001</v>
      </c>
      <c r="F29" s="607"/>
      <c r="G29" s="618">
        <f>summ!H17</f>
        <v>4.9400000000000004</v>
      </c>
      <c r="H29" s="607"/>
      <c r="I29" s="607"/>
    </row>
    <row r="30" spans="2:9" ht="15.6" x14ac:dyDescent="0.25">
      <c r="B30" s="607" t="s">
        <v>826</v>
      </c>
      <c r="C30" s="607"/>
      <c r="D30" s="607"/>
      <c r="E30" s="619">
        <f>G29-E29</f>
        <v>0.15500000000000025</v>
      </c>
      <c r="F30" s="607"/>
      <c r="G30" s="607"/>
      <c r="H30" s="607"/>
      <c r="I30" s="607"/>
    </row>
    <row r="31" spans="2:9" ht="15.6" x14ac:dyDescent="0.25">
      <c r="B31" s="607" t="s">
        <v>821</v>
      </c>
      <c r="C31" s="607"/>
      <c r="D31" s="620" t="str">
        <f>IF(E30&gt;=0,"Qualify","Not Qualify")</f>
        <v>Qualify</v>
      </c>
      <c r="E31" s="607"/>
      <c r="F31" s="607"/>
      <c r="G31" s="607"/>
      <c r="H31" s="607"/>
      <c r="I31" s="607"/>
    </row>
    <row r="32" spans="2:9" ht="15.6" x14ac:dyDescent="0.25">
      <c r="B32" s="607"/>
      <c r="C32" s="607"/>
      <c r="D32" s="607"/>
      <c r="E32" s="607"/>
      <c r="F32" s="607"/>
      <c r="G32" s="607"/>
      <c r="H32" s="607"/>
      <c r="I32" s="607"/>
    </row>
    <row r="33" spans="2:9" ht="15.6" x14ac:dyDescent="0.25">
      <c r="B33" s="607" t="s">
        <v>827</v>
      </c>
      <c r="C33" s="607"/>
      <c r="D33" s="607"/>
      <c r="E33" s="607"/>
      <c r="F33" s="621" t="str">
        <f>IF(D24="Not Qualify",IF(D31="Not Qualify",IF(D31="Not Qualify","Not Qualify","Qualify"),"Qualify"),"Qualify")</f>
        <v>Qualify</v>
      </c>
      <c r="G33" s="607"/>
      <c r="H33" s="607"/>
      <c r="I33" s="607"/>
    </row>
    <row r="34" spans="2:9" ht="15.6" x14ac:dyDescent="0.25">
      <c r="B34" s="607"/>
      <c r="C34" s="607"/>
      <c r="D34" s="607"/>
      <c r="E34" s="607"/>
      <c r="F34" s="607"/>
      <c r="G34" s="607"/>
      <c r="H34" s="607"/>
      <c r="I34" s="607"/>
    </row>
    <row r="35" spans="2:9" ht="15.6" x14ac:dyDescent="0.25">
      <c r="B35" s="607"/>
      <c r="C35" s="607"/>
      <c r="D35" s="607"/>
      <c r="E35" s="607"/>
      <c r="F35" s="607"/>
      <c r="G35" s="607"/>
      <c r="H35" s="607"/>
      <c r="I35" s="607"/>
    </row>
    <row r="36" spans="2:9" ht="37.5" customHeight="1" x14ac:dyDescent="0.25">
      <c r="B36" s="873" t="s">
        <v>828</v>
      </c>
      <c r="C36" s="873"/>
      <c r="D36" s="873"/>
      <c r="E36" s="873"/>
      <c r="F36" s="873"/>
      <c r="G36" s="873"/>
      <c r="H36" s="873"/>
      <c r="I36" s="873"/>
    </row>
    <row r="37" spans="2:9" ht="15.6" x14ac:dyDescent="0.25">
      <c r="B37" s="607"/>
      <c r="C37" s="607"/>
      <c r="D37" s="607"/>
      <c r="E37" s="607"/>
      <c r="F37" s="607"/>
      <c r="G37" s="607"/>
      <c r="H37" s="607"/>
      <c r="I37" s="607"/>
    </row>
    <row r="38" spans="2:9" ht="15.6" x14ac:dyDescent="0.25">
      <c r="B38" s="607"/>
      <c r="C38" s="607"/>
      <c r="D38" s="607"/>
      <c r="E38" s="607"/>
      <c r="F38" s="607"/>
      <c r="G38" s="607"/>
      <c r="H38" s="607"/>
      <c r="I38" s="607"/>
    </row>
    <row r="39" spans="2:9" ht="15.6" x14ac:dyDescent="0.25">
      <c r="B39" s="607"/>
      <c r="C39" s="607"/>
      <c r="D39" s="607"/>
      <c r="E39" s="607"/>
      <c r="F39" s="607"/>
      <c r="G39" s="607"/>
      <c r="H39" s="607"/>
      <c r="I39" s="607"/>
    </row>
    <row r="40" spans="2:9" ht="15.6" x14ac:dyDescent="0.25">
      <c r="B40" s="607"/>
      <c r="C40" s="607"/>
      <c r="D40" s="607"/>
      <c r="E40" s="622" t="s">
        <v>291</v>
      </c>
      <c r="F40" s="623">
        <v>7</v>
      </c>
      <c r="G40" s="607"/>
      <c r="H40" s="607"/>
      <c r="I40" s="607"/>
    </row>
    <row r="41" spans="2:9" ht="15.6" x14ac:dyDescent="0.25">
      <c r="B41" s="607"/>
      <c r="C41" s="607"/>
      <c r="D41" s="607"/>
      <c r="E41" s="607"/>
      <c r="F41" s="607"/>
      <c r="G41" s="607"/>
      <c r="H41" s="607"/>
      <c r="I41" s="607"/>
    </row>
    <row r="42" spans="2:9" ht="15.6" x14ac:dyDescent="0.25">
      <c r="B42" s="607"/>
      <c r="C42" s="607"/>
      <c r="D42" s="607"/>
      <c r="E42" s="607"/>
      <c r="F42" s="607"/>
      <c r="G42" s="607"/>
      <c r="H42" s="607"/>
      <c r="I42" s="607"/>
    </row>
    <row r="43" spans="2:9" ht="15.6" x14ac:dyDescent="0.3">
      <c r="B43" s="869" t="s">
        <v>829</v>
      </c>
      <c r="C43" s="870"/>
      <c r="D43" s="870"/>
      <c r="E43" s="870"/>
      <c r="F43" s="870"/>
      <c r="G43" s="870"/>
      <c r="H43" s="870"/>
      <c r="I43" s="870"/>
    </row>
    <row r="44" spans="2:9" ht="15.6" x14ac:dyDescent="0.25">
      <c r="B44" s="607"/>
      <c r="C44" s="607"/>
      <c r="D44" s="607"/>
      <c r="E44" s="607"/>
      <c r="F44" s="607"/>
      <c r="G44" s="607"/>
      <c r="H44" s="607"/>
      <c r="I44" s="607"/>
    </row>
    <row r="45" spans="2:9" ht="15.6" x14ac:dyDescent="0.3">
      <c r="B45" s="624" t="s">
        <v>830</v>
      </c>
      <c r="C45" s="607"/>
      <c r="D45" s="607"/>
      <c r="E45" s="607"/>
      <c r="F45" s="607"/>
      <c r="G45" s="607"/>
      <c r="H45" s="607"/>
      <c r="I45" s="607"/>
    </row>
    <row r="46" spans="2:9" ht="15.6" x14ac:dyDescent="0.3">
      <c r="B46" s="624" t="str">
        <f>CONCATENATE("sources in your ",G14," library fund is not equal to or greater than the amount from the same")</f>
        <v>sources in your 2013 library fund is not equal to or greater than the amount from the same</v>
      </c>
      <c r="C46" s="607"/>
      <c r="D46" s="607"/>
      <c r="E46" s="607"/>
      <c r="F46" s="607"/>
      <c r="G46" s="607"/>
      <c r="H46" s="607"/>
      <c r="I46" s="607"/>
    </row>
    <row r="47" spans="2:9" ht="15.6" x14ac:dyDescent="0.3">
      <c r="B47" s="624" t="str">
        <f>CONCATENATE("sources in ",E14,".")</f>
        <v>sources in 2012.</v>
      </c>
      <c r="C47" s="605"/>
      <c r="D47" s="605"/>
      <c r="E47" s="605"/>
      <c r="F47" s="605"/>
      <c r="G47" s="605"/>
      <c r="H47" s="605"/>
      <c r="I47" s="605"/>
    </row>
    <row r="48" spans="2:9" ht="15.6" x14ac:dyDescent="0.3">
      <c r="B48" s="605"/>
      <c r="C48" s="605"/>
      <c r="D48" s="605"/>
      <c r="E48" s="605"/>
      <c r="F48" s="605"/>
      <c r="G48" s="605"/>
      <c r="H48" s="605"/>
      <c r="I48" s="605"/>
    </row>
    <row r="49" spans="2:9" ht="15.6" x14ac:dyDescent="0.3">
      <c r="B49" s="624" t="s">
        <v>831</v>
      </c>
      <c r="C49" s="624"/>
      <c r="D49" s="625"/>
      <c r="E49" s="625"/>
      <c r="F49" s="625"/>
      <c r="G49" s="625"/>
      <c r="H49" s="625"/>
      <c r="I49" s="625"/>
    </row>
    <row r="50" spans="2:9" ht="15.6" x14ac:dyDescent="0.3">
      <c r="B50" s="624" t="s">
        <v>832</v>
      </c>
      <c r="C50" s="624"/>
      <c r="D50" s="625"/>
      <c r="E50" s="625"/>
      <c r="F50" s="625"/>
      <c r="G50" s="625"/>
      <c r="H50" s="625"/>
      <c r="I50" s="625"/>
    </row>
    <row r="51" spans="2:9" ht="15.6" x14ac:dyDescent="0.3">
      <c r="B51" s="624" t="s">
        <v>833</v>
      </c>
      <c r="C51" s="624"/>
      <c r="D51" s="625"/>
      <c r="E51" s="625"/>
      <c r="F51" s="625"/>
      <c r="G51" s="625"/>
      <c r="H51" s="625"/>
      <c r="I51" s="625"/>
    </row>
    <row r="52" spans="2:9" x14ac:dyDescent="0.25">
      <c r="B52" s="625"/>
      <c r="C52" s="625"/>
      <c r="D52" s="625"/>
      <c r="E52" s="625"/>
      <c r="F52" s="625"/>
      <c r="G52" s="625"/>
      <c r="H52" s="625"/>
      <c r="I52" s="625"/>
    </row>
    <row r="53" spans="2:9" ht="15.6" x14ac:dyDescent="0.3">
      <c r="B53" s="626" t="s">
        <v>834</v>
      </c>
      <c r="C53" s="625"/>
      <c r="D53" s="625"/>
      <c r="E53" s="625"/>
      <c r="F53" s="625"/>
      <c r="G53" s="625"/>
      <c r="H53" s="625"/>
      <c r="I53" s="625"/>
    </row>
    <row r="54" spans="2:9" x14ac:dyDescent="0.25">
      <c r="B54" s="625"/>
      <c r="C54" s="625"/>
      <c r="D54" s="625"/>
      <c r="E54" s="625"/>
      <c r="F54" s="625"/>
      <c r="G54" s="625"/>
      <c r="H54" s="625"/>
      <c r="I54" s="625"/>
    </row>
    <row r="55" spans="2:9" ht="15.6" x14ac:dyDescent="0.3">
      <c r="B55" s="624" t="s">
        <v>835</v>
      </c>
      <c r="C55" s="625"/>
      <c r="D55" s="625"/>
      <c r="E55" s="625"/>
      <c r="F55" s="625"/>
      <c r="G55" s="625"/>
      <c r="H55" s="625"/>
      <c r="I55" s="625"/>
    </row>
    <row r="56" spans="2:9" ht="15.6" x14ac:dyDescent="0.3">
      <c r="B56" s="624" t="s">
        <v>836</v>
      </c>
      <c r="C56" s="625"/>
      <c r="D56" s="625"/>
      <c r="E56" s="625"/>
      <c r="F56" s="625"/>
      <c r="G56" s="625"/>
      <c r="H56" s="625"/>
      <c r="I56" s="625"/>
    </row>
    <row r="57" spans="2:9" x14ac:dyDescent="0.25">
      <c r="B57" s="625"/>
      <c r="C57" s="625"/>
      <c r="D57" s="625"/>
      <c r="E57" s="625"/>
      <c r="F57" s="625"/>
      <c r="G57" s="625"/>
      <c r="H57" s="625"/>
      <c r="I57" s="625"/>
    </row>
    <row r="58" spans="2:9" ht="15.6" x14ac:dyDescent="0.3">
      <c r="B58" s="626" t="s">
        <v>837</v>
      </c>
      <c r="C58" s="624"/>
      <c r="D58" s="624"/>
      <c r="E58" s="624"/>
      <c r="F58" s="624"/>
      <c r="G58" s="625"/>
      <c r="H58" s="625"/>
      <c r="I58" s="625"/>
    </row>
    <row r="59" spans="2:9" ht="15.6" x14ac:dyDescent="0.3">
      <c r="B59" s="624"/>
      <c r="C59" s="624"/>
      <c r="D59" s="624"/>
      <c r="E59" s="624"/>
      <c r="F59" s="624"/>
      <c r="G59" s="625"/>
      <c r="H59" s="625"/>
      <c r="I59" s="625"/>
    </row>
    <row r="60" spans="2:9" ht="15.6" x14ac:dyDescent="0.3">
      <c r="B60" s="624" t="s">
        <v>838</v>
      </c>
      <c r="C60" s="624"/>
      <c r="D60" s="624"/>
      <c r="E60" s="624"/>
      <c r="F60" s="624"/>
      <c r="G60" s="625"/>
      <c r="H60" s="625"/>
      <c r="I60" s="625"/>
    </row>
    <row r="61" spans="2:9" ht="15.6" x14ac:dyDescent="0.3">
      <c r="B61" s="624" t="s">
        <v>839</v>
      </c>
      <c r="C61" s="624"/>
      <c r="D61" s="624"/>
      <c r="E61" s="624"/>
      <c r="F61" s="624"/>
      <c r="G61" s="625"/>
      <c r="H61" s="625"/>
      <c r="I61" s="625"/>
    </row>
    <row r="62" spans="2:9" ht="15.6" x14ac:dyDescent="0.3">
      <c r="B62" s="624" t="s">
        <v>840</v>
      </c>
      <c r="C62" s="624"/>
      <c r="D62" s="624"/>
      <c r="E62" s="624"/>
      <c r="F62" s="624"/>
      <c r="G62" s="625"/>
      <c r="H62" s="625"/>
      <c r="I62" s="625"/>
    </row>
    <row r="63" spans="2:9" ht="15.6" x14ac:dyDescent="0.3">
      <c r="B63" s="624" t="s">
        <v>841</v>
      </c>
      <c r="C63" s="624"/>
      <c r="D63" s="624"/>
      <c r="E63" s="624"/>
      <c r="F63" s="624"/>
      <c r="G63" s="625"/>
      <c r="H63" s="625"/>
      <c r="I63" s="625"/>
    </row>
    <row r="64" spans="2:9" x14ac:dyDescent="0.25">
      <c r="B64" s="627"/>
      <c r="C64" s="627"/>
      <c r="D64" s="627"/>
      <c r="E64" s="627"/>
      <c r="F64" s="627"/>
      <c r="G64" s="625"/>
      <c r="H64" s="625"/>
      <c r="I64" s="625"/>
    </row>
    <row r="65" spans="2:9" ht="15.6" x14ac:dyDescent="0.3">
      <c r="B65" s="624" t="s">
        <v>842</v>
      </c>
      <c r="C65" s="627"/>
      <c r="D65" s="627"/>
      <c r="E65" s="627"/>
      <c r="F65" s="627"/>
      <c r="G65" s="625"/>
      <c r="H65" s="625"/>
      <c r="I65" s="625"/>
    </row>
    <row r="66" spans="2:9" ht="15.6" x14ac:dyDescent="0.3">
      <c r="B66" s="624" t="s">
        <v>843</v>
      </c>
      <c r="C66" s="627"/>
      <c r="D66" s="627"/>
      <c r="E66" s="627"/>
      <c r="F66" s="627"/>
      <c r="G66" s="625"/>
      <c r="H66" s="625"/>
      <c r="I66" s="625"/>
    </row>
    <row r="67" spans="2:9" x14ac:dyDescent="0.25">
      <c r="B67" s="627"/>
      <c r="C67" s="627"/>
      <c r="D67" s="627"/>
      <c r="E67" s="627"/>
      <c r="F67" s="627"/>
      <c r="G67" s="625"/>
      <c r="H67" s="625"/>
      <c r="I67" s="625"/>
    </row>
    <row r="68" spans="2:9" ht="15.6" x14ac:dyDescent="0.3">
      <c r="B68" s="624" t="s">
        <v>844</v>
      </c>
      <c r="C68" s="627"/>
      <c r="D68" s="627"/>
      <c r="E68" s="627"/>
      <c r="F68" s="627"/>
      <c r="G68" s="625"/>
      <c r="H68" s="625"/>
      <c r="I68" s="625"/>
    </row>
    <row r="69" spans="2:9" ht="15.6" x14ac:dyDescent="0.3">
      <c r="B69" s="624" t="s">
        <v>845</v>
      </c>
      <c r="C69" s="627"/>
      <c r="D69" s="627"/>
      <c r="E69" s="627"/>
      <c r="F69" s="627"/>
      <c r="G69" s="625"/>
      <c r="H69" s="625"/>
      <c r="I69" s="625"/>
    </row>
    <row r="70" spans="2:9" x14ac:dyDescent="0.25">
      <c r="B70" s="627"/>
      <c r="C70" s="627"/>
      <c r="D70" s="627"/>
      <c r="E70" s="627"/>
      <c r="F70" s="627"/>
      <c r="G70" s="625"/>
      <c r="H70" s="625"/>
      <c r="I70" s="625"/>
    </row>
    <row r="71" spans="2:9" ht="15.6" x14ac:dyDescent="0.3">
      <c r="B71" s="626" t="s">
        <v>846</v>
      </c>
      <c r="C71" s="627"/>
      <c r="D71" s="627"/>
      <c r="E71" s="627"/>
      <c r="F71" s="627"/>
      <c r="G71" s="625"/>
      <c r="H71" s="625"/>
      <c r="I71" s="625"/>
    </row>
    <row r="72" spans="2:9" x14ac:dyDescent="0.25">
      <c r="B72" s="627"/>
      <c r="C72" s="627"/>
      <c r="D72" s="627"/>
      <c r="E72" s="627"/>
      <c r="F72" s="627"/>
      <c r="G72" s="625"/>
      <c r="H72" s="625"/>
      <c r="I72" s="625"/>
    </row>
    <row r="73" spans="2:9" ht="15.6" x14ac:dyDescent="0.3">
      <c r="B73" s="624" t="s">
        <v>847</v>
      </c>
      <c r="C73" s="627"/>
      <c r="D73" s="627"/>
      <c r="E73" s="627"/>
      <c r="F73" s="627"/>
      <c r="G73" s="625"/>
      <c r="H73" s="625"/>
      <c r="I73" s="625"/>
    </row>
    <row r="74" spans="2:9" ht="15.6" x14ac:dyDescent="0.3">
      <c r="B74" s="624" t="s">
        <v>848</v>
      </c>
      <c r="C74" s="627"/>
      <c r="D74" s="627"/>
      <c r="E74" s="627"/>
      <c r="F74" s="627"/>
      <c r="G74" s="625"/>
      <c r="H74" s="625"/>
      <c r="I74" s="625"/>
    </row>
    <row r="75" spans="2:9" x14ac:dyDescent="0.25">
      <c r="B75" s="627"/>
      <c r="C75" s="627"/>
      <c r="D75" s="627"/>
      <c r="E75" s="627"/>
      <c r="F75" s="627"/>
      <c r="G75" s="625"/>
      <c r="H75" s="625"/>
      <c r="I75" s="625"/>
    </row>
    <row r="76" spans="2:9" ht="15.6" x14ac:dyDescent="0.3">
      <c r="B76" s="626" t="s">
        <v>849</v>
      </c>
      <c r="C76" s="627"/>
      <c r="D76" s="627"/>
      <c r="E76" s="627"/>
      <c r="F76" s="627"/>
      <c r="G76" s="625"/>
      <c r="H76" s="625"/>
      <c r="I76" s="625"/>
    </row>
    <row r="77" spans="2:9" x14ac:dyDescent="0.25">
      <c r="B77" s="627"/>
      <c r="C77" s="627"/>
      <c r="D77" s="627"/>
      <c r="E77" s="627"/>
      <c r="F77" s="627"/>
      <c r="G77" s="625"/>
      <c r="H77" s="625"/>
      <c r="I77" s="625"/>
    </row>
    <row r="78" spans="2:9" ht="15.6" x14ac:dyDescent="0.3">
      <c r="B78" s="624" t="str">
        <f>CONCATENATE("If the ",G14," municipal budget has not been published and has not been submitted to the County")</f>
        <v>If the 2013 municipal budget has not been published and has not been submitted to the County</v>
      </c>
      <c r="C78" s="627"/>
      <c r="D78" s="627"/>
      <c r="E78" s="627"/>
      <c r="F78" s="627"/>
      <c r="G78" s="625"/>
      <c r="H78" s="625"/>
      <c r="I78" s="625"/>
    </row>
    <row r="79" spans="2:9" ht="15.6" x14ac:dyDescent="0.3">
      <c r="B79" s="624" t="s">
        <v>850</v>
      </c>
      <c r="C79" s="627"/>
      <c r="D79" s="627"/>
      <c r="E79" s="627"/>
      <c r="F79" s="627"/>
      <c r="G79" s="625"/>
      <c r="H79" s="625"/>
      <c r="I79" s="625"/>
    </row>
    <row r="80" spans="2:9" x14ac:dyDescent="0.25">
      <c r="B80" s="627"/>
      <c r="C80" s="627"/>
      <c r="D80" s="627"/>
      <c r="E80" s="627"/>
      <c r="F80" s="627"/>
      <c r="G80" s="625"/>
      <c r="H80" s="625"/>
      <c r="I80" s="625"/>
    </row>
    <row r="81" spans="2:9" ht="15.6" x14ac:dyDescent="0.3">
      <c r="B81" s="626" t="s">
        <v>430</v>
      </c>
      <c r="C81" s="627"/>
      <c r="D81" s="627"/>
      <c r="E81" s="627"/>
      <c r="F81" s="627"/>
      <c r="G81" s="625"/>
      <c r="H81" s="625"/>
      <c r="I81" s="625"/>
    </row>
    <row r="82" spans="2:9" x14ac:dyDescent="0.25">
      <c r="B82" s="627"/>
      <c r="C82" s="627"/>
      <c r="D82" s="627"/>
      <c r="E82" s="627"/>
      <c r="F82" s="627"/>
      <c r="G82" s="625"/>
      <c r="H82" s="625"/>
      <c r="I82" s="625"/>
    </row>
    <row r="83" spans="2:9" ht="15.6" x14ac:dyDescent="0.3">
      <c r="B83" s="624" t="s">
        <v>851</v>
      </c>
      <c r="C83" s="627"/>
      <c r="D83" s="627"/>
      <c r="E83" s="627"/>
      <c r="F83" s="627"/>
      <c r="G83" s="625"/>
      <c r="H83" s="625"/>
      <c r="I83" s="625"/>
    </row>
    <row r="84" spans="2:9" ht="15.6" x14ac:dyDescent="0.3">
      <c r="B84" s="624" t="str">
        <f>CONCATENATE("Budget Year ",G14," is equal to or greater than that for Current Year Estimate ",E14,".")</f>
        <v>Budget Year 2013 is equal to or greater than that for Current Year Estimate 2012.</v>
      </c>
      <c r="C84" s="627"/>
      <c r="D84" s="627"/>
      <c r="E84" s="627"/>
      <c r="F84" s="627"/>
      <c r="G84" s="625"/>
      <c r="H84" s="625"/>
      <c r="I84" s="625"/>
    </row>
    <row r="85" spans="2:9" x14ac:dyDescent="0.25">
      <c r="B85" s="627"/>
      <c r="C85" s="627"/>
      <c r="D85" s="627"/>
      <c r="E85" s="627"/>
      <c r="F85" s="627"/>
      <c r="G85" s="625"/>
      <c r="H85" s="625"/>
      <c r="I85" s="625"/>
    </row>
    <row r="86" spans="2:9" ht="15.6" x14ac:dyDescent="0.3">
      <c r="B86" s="624" t="s">
        <v>852</v>
      </c>
      <c r="C86" s="627"/>
      <c r="D86" s="627"/>
      <c r="E86" s="627"/>
      <c r="F86" s="627"/>
      <c r="G86" s="625"/>
      <c r="H86" s="625"/>
      <c r="I86" s="625"/>
    </row>
    <row r="87" spans="2:9" ht="15.6" x14ac:dyDescent="0.3">
      <c r="B87" s="624" t="s">
        <v>853</v>
      </c>
      <c r="C87" s="627"/>
      <c r="D87" s="627"/>
      <c r="E87" s="627"/>
      <c r="F87" s="627"/>
      <c r="G87" s="625"/>
      <c r="H87" s="625"/>
      <c r="I87" s="625"/>
    </row>
    <row r="88" spans="2:9" ht="15.6" x14ac:dyDescent="0.3">
      <c r="B88" s="624" t="s">
        <v>854</v>
      </c>
      <c r="C88" s="627"/>
      <c r="D88" s="627"/>
      <c r="E88" s="627"/>
      <c r="F88" s="627"/>
      <c r="G88" s="625"/>
      <c r="H88" s="625"/>
      <c r="I88" s="625"/>
    </row>
    <row r="89" spans="2:9" ht="15.6" x14ac:dyDescent="0.3">
      <c r="B89" s="624" t="str">
        <f>CONCATENATE("purpose for the previous (",E14,") year.")</f>
        <v>purpose for the previous (2012) year.</v>
      </c>
      <c r="C89" s="627"/>
      <c r="D89" s="627"/>
      <c r="E89" s="627"/>
      <c r="F89" s="627"/>
      <c r="G89" s="625"/>
      <c r="H89" s="625"/>
      <c r="I89" s="625"/>
    </row>
    <row r="90" spans="2:9" x14ac:dyDescent="0.25">
      <c r="B90" s="627"/>
      <c r="C90" s="627"/>
      <c r="D90" s="627"/>
      <c r="E90" s="627"/>
      <c r="F90" s="627"/>
      <c r="G90" s="625"/>
      <c r="H90" s="625"/>
      <c r="I90" s="625"/>
    </row>
    <row r="91" spans="2:9" ht="15.6" x14ac:dyDescent="0.3">
      <c r="B91" s="624" t="str">
        <f>CONCATENATE("Next, look to see if delinquent tax for ",G14," is budgeted. Often this line is budgeted at $0 or left")</f>
        <v>Next, look to see if delinquent tax for 2013 is budgeted. Often this line is budgeted at $0 or left</v>
      </c>
      <c r="C91" s="627"/>
      <c r="D91" s="627"/>
      <c r="E91" s="627"/>
      <c r="F91" s="627"/>
      <c r="G91" s="625"/>
      <c r="H91" s="625"/>
      <c r="I91" s="625"/>
    </row>
    <row r="92" spans="2:9" ht="15.6" x14ac:dyDescent="0.3">
      <c r="B92" s="624" t="s">
        <v>855</v>
      </c>
      <c r="C92" s="627"/>
      <c r="D92" s="627"/>
      <c r="E92" s="627"/>
      <c r="F92" s="627"/>
      <c r="G92" s="625"/>
      <c r="H92" s="625"/>
      <c r="I92" s="625"/>
    </row>
    <row r="93" spans="2:9" ht="15.6" x14ac:dyDescent="0.3">
      <c r="B93" s="624" t="s">
        <v>856</v>
      </c>
      <c r="C93" s="627"/>
      <c r="D93" s="627"/>
      <c r="E93" s="627"/>
      <c r="F93" s="627"/>
      <c r="G93" s="625"/>
      <c r="H93" s="625"/>
      <c r="I93" s="625"/>
    </row>
    <row r="94" spans="2:9" ht="15.6" x14ac:dyDescent="0.3">
      <c r="B94" s="624" t="s">
        <v>857</v>
      </c>
      <c r="C94" s="627"/>
      <c r="D94" s="627"/>
      <c r="E94" s="627"/>
      <c r="F94" s="627"/>
      <c r="G94" s="625"/>
      <c r="H94" s="625"/>
      <c r="I94" s="625"/>
    </row>
    <row r="95" spans="2:9" x14ac:dyDescent="0.25">
      <c r="B95" s="627"/>
      <c r="C95" s="627"/>
      <c r="D95" s="627"/>
      <c r="E95" s="627"/>
      <c r="F95" s="627"/>
      <c r="G95" s="625"/>
      <c r="H95" s="625"/>
      <c r="I95" s="625"/>
    </row>
    <row r="96" spans="2:9" ht="15.6" x14ac:dyDescent="0.3">
      <c r="B96" s="626" t="s">
        <v>858</v>
      </c>
      <c r="C96" s="627"/>
      <c r="D96" s="627"/>
      <c r="E96" s="627"/>
      <c r="F96" s="627"/>
      <c r="G96" s="625"/>
      <c r="H96" s="625"/>
      <c r="I96" s="625"/>
    </row>
    <row r="97" spans="2:9" x14ac:dyDescent="0.25">
      <c r="B97" s="627"/>
      <c r="C97" s="627"/>
      <c r="D97" s="627"/>
      <c r="E97" s="627"/>
      <c r="F97" s="627"/>
      <c r="G97" s="625"/>
      <c r="H97" s="625"/>
      <c r="I97" s="625"/>
    </row>
    <row r="98" spans="2:9" ht="15.6" x14ac:dyDescent="0.3">
      <c r="B98" s="624" t="s">
        <v>859</v>
      </c>
      <c r="C98" s="627"/>
      <c r="D98" s="627"/>
      <c r="E98" s="627"/>
      <c r="F98" s="627"/>
      <c r="G98" s="625"/>
      <c r="H98" s="625"/>
      <c r="I98" s="625"/>
    </row>
    <row r="99" spans="2:9" ht="15.6" x14ac:dyDescent="0.3">
      <c r="B99" s="624" t="s">
        <v>860</v>
      </c>
      <c r="C99" s="627"/>
      <c r="D99" s="627"/>
      <c r="E99" s="627"/>
      <c r="F99" s="627"/>
      <c r="G99" s="625"/>
      <c r="H99" s="625"/>
      <c r="I99" s="625"/>
    </row>
    <row r="100" spans="2:9" x14ac:dyDescent="0.25">
      <c r="B100" s="627"/>
      <c r="C100" s="627"/>
      <c r="D100" s="627"/>
      <c r="E100" s="627"/>
      <c r="F100" s="627"/>
      <c r="G100" s="625"/>
      <c r="H100" s="625"/>
      <c r="I100" s="625"/>
    </row>
    <row r="101" spans="2:9" ht="15.6" x14ac:dyDescent="0.3">
      <c r="B101" s="624" t="s">
        <v>861</v>
      </c>
      <c r="C101" s="627"/>
      <c r="D101" s="627"/>
      <c r="E101" s="627"/>
      <c r="F101" s="627"/>
      <c r="G101" s="625"/>
      <c r="H101" s="625"/>
      <c r="I101" s="625"/>
    </row>
    <row r="102" spans="2:9" ht="15.6" x14ac:dyDescent="0.3">
      <c r="B102" s="624" t="s">
        <v>862</v>
      </c>
      <c r="C102" s="627"/>
      <c r="D102" s="627"/>
      <c r="E102" s="627"/>
      <c r="F102" s="627"/>
      <c r="G102" s="625"/>
      <c r="H102" s="625"/>
      <c r="I102" s="625"/>
    </row>
    <row r="103" spans="2:9" ht="15.6" x14ac:dyDescent="0.3">
      <c r="B103" s="624" t="s">
        <v>863</v>
      </c>
      <c r="C103" s="627"/>
      <c r="D103" s="627"/>
      <c r="E103" s="627"/>
      <c r="F103" s="627"/>
      <c r="G103" s="625"/>
      <c r="H103" s="625"/>
      <c r="I103" s="625"/>
    </row>
    <row r="104" spans="2:9" ht="15.6" x14ac:dyDescent="0.3">
      <c r="B104" s="624" t="s">
        <v>864</v>
      </c>
      <c r="C104" s="627"/>
      <c r="D104" s="627"/>
      <c r="E104" s="627"/>
      <c r="F104" s="627"/>
      <c r="G104" s="625"/>
      <c r="H104" s="625"/>
      <c r="I104" s="625"/>
    </row>
    <row r="105" spans="2:9" ht="15.6" x14ac:dyDescent="0.3">
      <c r="B105" s="756" t="s">
        <v>976</v>
      </c>
      <c r="C105" s="757"/>
      <c r="D105" s="757"/>
      <c r="E105" s="757"/>
      <c r="F105" s="757"/>
      <c r="G105" s="625"/>
      <c r="H105" s="625"/>
      <c r="I105" s="625"/>
    </row>
    <row r="108" spans="2:9" x14ac:dyDescent="0.25">
      <c r="G108" s="628"/>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05"/>
  <sheetViews>
    <sheetView topLeftCell="B84" zoomScaleNormal="100" workbookViewId="0">
      <selection activeCell="E70" sqref="E70"/>
    </sheetView>
  </sheetViews>
  <sheetFormatPr defaultColWidth="8.9140625" defaultRowHeight="15.6" x14ac:dyDescent="0.25"/>
  <cols>
    <col min="1" max="1" width="2.4140625" style="63" customWidth="1"/>
    <col min="2" max="2" width="31.08203125" style="63" customWidth="1"/>
    <col min="3" max="4" width="15.75" style="63" customWidth="1"/>
    <col min="5" max="5" width="16.25" style="63" customWidth="1"/>
    <col min="6" max="6" width="8.08203125" style="63" customWidth="1"/>
    <col min="7" max="7" width="10.25" style="63" customWidth="1"/>
    <col min="8" max="8" width="8.9140625" style="63" customWidth="1"/>
    <col min="9" max="9" width="5" style="63" customWidth="1"/>
    <col min="10" max="10" width="10" style="63" customWidth="1"/>
    <col min="11" max="16384" width="8.9140625" style="63"/>
  </cols>
  <sheetData>
    <row r="1" spans="2:11" x14ac:dyDescent="0.25">
      <c r="B1" s="235" t="str">
        <f>inputPrYr!D3</f>
        <v>City of Bonner Springs</v>
      </c>
      <c r="C1" s="67"/>
      <c r="D1" s="67"/>
      <c r="E1" s="260">
        <f>inputPrYr!C10</f>
        <v>2013</v>
      </c>
    </row>
    <row r="2" spans="2:11" x14ac:dyDescent="0.25">
      <c r="B2" s="67"/>
      <c r="C2" s="67"/>
      <c r="D2" s="67"/>
      <c r="E2" s="209"/>
    </row>
    <row r="3" spans="2:11" x14ac:dyDescent="0.25">
      <c r="B3" s="484" t="s">
        <v>5</v>
      </c>
      <c r="C3" s="362"/>
      <c r="D3" s="362"/>
      <c r="E3" s="362"/>
    </row>
    <row r="4" spans="2:11" x14ac:dyDescent="0.25">
      <c r="B4" s="213" t="s">
        <v>283</v>
      </c>
      <c r="C4" s="598" t="s">
        <v>810</v>
      </c>
      <c r="D4" s="599" t="s">
        <v>811</v>
      </c>
      <c r="E4" s="185" t="s">
        <v>812</v>
      </c>
    </row>
    <row r="5" spans="2:11" x14ac:dyDescent="0.25">
      <c r="B5" s="545" t="str">
        <f>inputPrYr!B22</f>
        <v>General</v>
      </c>
      <c r="C5" s="427" t="str">
        <f>CONCATENATE("Actual for ",E1-2,"")</f>
        <v>Actual for 2011</v>
      </c>
      <c r="D5" s="427" t="str">
        <f>CONCATENATE("Estimate for ",E1-1,"")</f>
        <v>Estimate for 2012</v>
      </c>
      <c r="E5" s="251" t="str">
        <f>CONCATENATE("Year for ",E1,"")</f>
        <v>Year for 2013</v>
      </c>
      <c r="K5" s="603"/>
    </row>
    <row r="6" spans="2:11" x14ac:dyDescent="0.25">
      <c r="B6" s="343" t="s">
        <v>56</v>
      </c>
      <c r="C6" s="419">
        <v>2540435</v>
      </c>
      <c r="D6" s="424">
        <f>C86</f>
        <v>2391879</v>
      </c>
      <c r="E6" s="329">
        <f>D86</f>
        <v>1591068</v>
      </c>
    </row>
    <row r="7" spans="2:11" x14ac:dyDescent="0.25">
      <c r="B7" s="344" t="s">
        <v>58</v>
      </c>
      <c r="C7" s="199"/>
      <c r="D7" s="199"/>
      <c r="E7" s="107"/>
    </row>
    <row r="8" spans="2:11" x14ac:dyDescent="0.25">
      <c r="B8" s="343" t="s">
        <v>284</v>
      </c>
      <c r="C8" s="419">
        <v>1210273</v>
      </c>
      <c r="D8" s="424">
        <v>1190698</v>
      </c>
      <c r="E8" s="363" t="s">
        <v>273</v>
      </c>
    </row>
    <row r="9" spans="2:11" x14ac:dyDescent="0.25">
      <c r="B9" s="343" t="s">
        <v>1032</v>
      </c>
      <c r="C9" s="419">
        <v>1774008</v>
      </c>
      <c r="D9" s="419">
        <v>1735000</v>
      </c>
      <c r="E9" s="89">
        <v>1706000</v>
      </c>
    </row>
    <row r="10" spans="2:11" x14ac:dyDescent="0.25">
      <c r="B10" s="343" t="s">
        <v>286</v>
      </c>
      <c r="C10" s="419">
        <v>132756</v>
      </c>
      <c r="D10" s="419">
        <v>142001</v>
      </c>
      <c r="E10" s="329">
        <f>mvalloc!D8</f>
        <v>145732.34</v>
      </c>
    </row>
    <row r="11" spans="2:11" x14ac:dyDescent="0.25">
      <c r="B11" s="343" t="s">
        <v>287</v>
      </c>
      <c r="C11" s="419">
        <v>1109</v>
      </c>
      <c r="D11" s="419">
        <v>1509</v>
      </c>
      <c r="E11" s="329">
        <f>mvalloc!E8</f>
        <v>982</v>
      </c>
    </row>
    <row r="12" spans="2:11" x14ac:dyDescent="0.25">
      <c r="B12" s="343" t="s">
        <v>37</v>
      </c>
      <c r="C12" s="419">
        <v>1789</v>
      </c>
      <c r="D12" s="419">
        <v>1815</v>
      </c>
      <c r="E12" s="329">
        <f>mvalloc!F8</f>
        <v>1423.88</v>
      </c>
    </row>
    <row r="13" spans="2:11" x14ac:dyDescent="0.25">
      <c r="B13" s="343" t="s">
        <v>1033</v>
      </c>
      <c r="C13" s="419">
        <v>896634</v>
      </c>
      <c r="D13" s="419">
        <v>940000</v>
      </c>
      <c r="E13" s="329">
        <f>inputOth!E24</f>
        <v>940000</v>
      </c>
    </row>
    <row r="14" spans="2:11" x14ac:dyDescent="0.25">
      <c r="B14" s="343" t="s">
        <v>1079</v>
      </c>
      <c r="C14" s="419">
        <v>0</v>
      </c>
      <c r="D14" s="419">
        <v>410000</v>
      </c>
      <c r="E14" s="329">
        <v>480000</v>
      </c>
    </row>
    <row r="15" spans="2:11" x14ac:dyDescent="0.25">
      <c r="B15" s="343" t="s">
        <v>1034</v>
      </c>
      <c r="C15" s="419">
        <v>654336</v>
      </c>
      <c r="D15" s="419">
        <v>610000</v>
      </c>
      <c r="E15" s="329">
        <v>610000</v>
      </c>
    </row>
    <row r="16" spans="2:11" x14ac:dyDescent="0.25">
      <c r="B16" s="343" t="s">
        <v>1035</v>
      </c>
      <c r="C16" s="419">
        <v>297856</v>
      </c>
      <c r="D16" s="419">
        <v>260000</v>
      </c>
      <c r="E16" s="329">
        <v>260000</v>
      </c>
    </row>
    <row r="17" spans="2:5" x14ac:dyDescent="0.25">
      <c r="B17" s="364" t="s">
        <v>1036</v>
      </c>
      <c r="C17" s="419">
        <v>37198</v>
      </c>
      <c r="D17" s="419">
        <v>37000</v>
      </c>
      <c r="E17" s="89">
        <v>37000</v>
      </c>
    </row>
    <row r="18" spans="2:5" x14ac:dyDescent="0.25">
      <c r="B18" s="364" t="s">
        <v>1037</v>
      </c>
      <c r="C18" s="419">
        <v>49506</v>
      </c>
      <c r="D18" s="419">
        <v>70000</v>
      </c>
      <c r="E18" s="89">
        <v>70000</v>
      </c>
    </row>
    <row r="19" spans="2:5" x14ac:dyDescent="0.25">
      <c r="B19" s="435" t="s">
        <v>333</v>
      </c>
      <c r="C19" s="419">
        <v>10023</v>
      </c>
      <c r="D19" s="419">
        <v>8000</v>
      </c>
      <c r="E19" s="89">
        <v>8000</v>
      </c>
    </row>
    <row r="20" spans="2:5" x14ac:dyDescent="0.25">
      <c r="B20" s="435" t="s">
        <v>1038</v>
      </c>
      <c r="C20" s="419">
        <v>95135</v>
      </c>
      <c r="D20" s="419">
        <v>99188</v>
      </c>
      <c r="E20" s="89">
        <v>99188</v>
      </c>
    </row>
    <row r="21" spans="2:5" x14ac:dyDescent="0.25">
      <c r="B21" s="435" t="s">
        <v>1039</v>
      </c>
      <c r="C21" s="419">
        <v>50608</v>
      </c>
      <c r="D21" s="419">
        <v>45000</v>
      </c>
      <c r="E21" s="89">
        <v>45000</v>
      </c>
    </row>
    <row r="22" spans="2:5" x14ac:dyDescent="0.25">
      <c r="B22" s="364" t="s">
        <v>1040</v>
      </c>
      <c r="C22" s="419">
        <v>77322</v>
      </c>
      <c r="D22" s="419">
        <v>61000</v>
      </c>
      <c r="E22" s="89">
        <v>61000</v>
      </c>
    </row>
    <row r="23" spans="2:5" x14ac:dyDescent="0.25">
      <c r="B23" s="364" t="s">
        <v>1041</v>
      </c>
      <c r="C23" s="419">
        <v>24381</v>
      </c>
      <c r="D23" s="419">
        <v>25417</v>
      </c>
      <c r="E23" s="89">
        <v>25417</v>
      </c>
    </row>
    <row r="24" spans="2:5" x14ac:dyDescent="0.25">
      <c r="B24" s="364" t="s">
        <v>1042</v>
      </c>
      <c r="C24" s="419">
        <v>48168</v>
      </c>
      <c r="D24" s="419">
        <v>50000</v>
      </c>
      <c r="E24" s="89">
        <v>50000</v>
      </c>
    </row>
    <row r="25" spans="2:5" x14ac:dyDescent="0.25">
      <c r="B25" s="364" t="s">
        <v>1043</v>
      </c>
      <c r="C25" s="419">
        <v>66330</v>
      </c>
      <c r="D25" s="419">
        <v>67000</v>
      </c>
      <c r="E25" s="89">
        <v>67000</v>
      </c>
    </row>
    <row r="26" spans="2:5" x14ac:dyDescent="0.25">
      <c r="B26" s="364" t="s">
        <v>1044</v>
      </c>
      <c r="C26" s="419">
        <v>31805</v>
      </c>
      <c r="D26" s="419">
        <v>31000</v>
      </c>
      <c r="E26" s="89">
        <v>31000</v>
      </c>
    </row>
    <row r="27" spans="2:5" x14ac:dyDescent="0.25">
      <c r="B27" s="364" t="s">
        <v>1045</v>
      </c>
      <c r="C27" s="419">
        <v>28755</v>
      </c>
      <c r="D27" s="419">
        <v>33380</v>
      </c>
      <c r="E27" s="89">
        <v>38046</v>
      </c>
    </row>
    <row r="28" spans="2:5" x14ac:dyDescent="0.25">
      <c r="B28" s="364" t="s">
        <v>1046</v>
      </c>
      <c r="C28" s="419">
        <v>31870</v>
      </c>
      <c r="D28" s="419">
        <v>16300</v>
      </c>
      <c r="E28" s="89">
        <v>16300</v>
      </c>
    </row>
    <row r="29" spans="2:5" x14ac:dyDescent="0.25">
      <c r="B29" s="364" t="s">
        <v>1047</v>
      </c>
      <c r="C29" s="419">
        <v>21792</v>
      </c>
      <c r="D29" s="419">
        <v>20000</v>
      </c>
      <c r="E29" s="89">
        <v>20000</v>
      </c>
    </row>
    <row r="30" spans="2:5" x14ac:dyDescent="0.25">
      <c r="B30" s="364" t="s">
        <v>1048</v>
      </c>
      <c r="C30" s="419">
        <v>5313</v>
      </c>
      <c r="D30" s="419">
        <v>5000</v>
      </c>
      <c r="E30" s="89">
        <v>5000</v>
      </c>
    </row>
    <row r="31" spans="2:5" x14ac:dyDescent="0.25">
      <c r="B31" s="364" t="s">
        <v>1049</v>
      </c>
      <c r="C31" s="419">
        <v>29851</v>
      </c>
      <c r="D31" s="419">
        <v>30000</v>
      </c>
      <c r="E31" s="89">
        <v>30000</v>
      </c>
    </row>
    <row r="32" spans="2:5" x14ac:dyDescent="0.25">
      <c r="B32" s="364" t="s">
        <v>1050</v>
      </c>
      <c r="C32" s="419">
        <v>6477</v>
      </c>
      <c r="D32" s="419">
        <v>1000</v>
      </c>
      <c r="E32" s="89">
        <v>1000</v>
      </c>
    </row>
    <row r="33" spans="2:5" x14ac:dyDescent="0.25">
      <c r="B33" s="364" t="s">
        <v>1051</v>
      </c>
      <c r="C33" s="419">
        <v>0</v>
      </c>
      <c r="D33" s="419">
        <v>-84548</v>
      </c>
      <c r="E33" s="89">
        <v>-74781</v>
      </c>
    </row>
    <row r="34" spans="2:5" x14ac:dyDescent="0.25">
      <c r="B34" s="364" t="s">
        <v>1052</v>
      </c>
      <c r="C34" s="419">
        <v>93710</v>
      </c>
      <c r="D34" s="419">
        <v>87045</v>
      </c>
      <c r="E34" s="89">
        <v>96660</v>
      </c>
    </row>
    <row r="35" spans="2:5" x14ac:dyDescent="0.25">
      <c r="B35" s="364" t="s">
        <v>1053</v>
      </c>
      <c r="C35" s="419">
        <v>31235</v>
      </c>
      <c r="D35" s="419">
        <v>29015</v>
      </c>
      <c r="E35" s="89">
        <v>33233</v>
      </c>
    </row>
    <row r="36" spans="2:5" x14ac:dyDescent="0.25">
      <c r="B36" s="364" t="s">
        <v>1054</v>
      </c>
      <c r="C36" s="419">
        <v>10500</v>
      </c>
      <c r="D36" s="419">
        <v>30500</v>
      </c>
      <c r="E36" s="89">
        <v>10500</v>
      </c>
    </row>
    <row r="37" spans="2:5" x14ac:dyDescent="0.25">
      <c r="B37" s="364" t="s">
        <v>1055</v>
      </c>
      <c r="C37" s="419">
        <v>46000</v>
      </c>
      <c r="D37" s="419">
        <v>50800</v>
      </c>
      <c r="E37" s="89">
        <v>54325</v>
      </c>
    </row>
    <row r="38" spans="2:5" x14ac:dyDescent="0.25">
      <c r="B38" s="364"/>
      <c r="C38" s="419"/>
      <c r="D38" s="419"/>
      <c r="E38" s="89"/>
    </row>
    <row r="39" spans="2:5" x14ac:dyDescent="0.25">
      <c r="B39" s="335" t="s">
        <v>183</v>
      </c>
      <c r="C39" s="419"/>
      <c r="D39" s="419"/>
      <c r="E39" s="89"/>
    </row>
    <row r="40" spans="2:5" x14ac:dyDescent="0.25">
      <c r="B40" s="335" t="s">
        <v>672</v>
      </c>
      <c r="C40" s="420" t="str">
        <f>IF(C41*0.1&lt;C39,"Exceed 10% Rule","")</f>
        <v/>
      </c>
      <c r="D40" s="420" t="str">
        <f>IF(D41*0.1&lt;D39,"Exceed 10% Rule","")</f>
        <v/>
      </c>
      <c r="E40" s="358" t="str">
        <f>IF(E41*0.1+E92&lt;E39,"Exceed 10% Rule","")</f>
        <v/>
      </c>
    </row>
    <row r="41" spans="2:5" x14ac:dyDescent="0.25">
      <c r="B41" s="337" t="s">
        <v>289</v>
      </c>
      <c r="C41" s="423">
        <f>SUM(C8:C39)</f>
        <v>5764740</v>
      </c>
      <c r="D41" s="423">
        <f>SUM(D8:D39)</f>
        <v>6003120</v>
      </c>
      <c r="E41" s="339">
        <f>SUM(E9:E39)</f>
        <v>4868026.22</v>
      </c>
    </row>
    <row r="42" spans="2:5" x14ac:dyDescent="0.25">
      <c r="B42" s="337" t="s">
        <v>290</v>
      </c>
      <c r="C42" s="423">
        <f>C6+C41</f>
        <v>8305175</v>
      </c>
      <c r="D42" s="423">
        <f>D6+D41</f>
        <v>8394999</v>
      </c>
      <c r="E42" s="339">
        <f>E6+E41</f>
        <v>6459094.2199999997</v>
      </c>
    </row>
    <row r="43" spans="2:5" x14ac:dyDescent="0.25">
      <c r="B43" s="67"/>
      <c r="C43" s="67"/>
      <c r="D43" s="67"/>
      <c r="E43" s="67"/>
    </row>
    <row r="44" spans="2:5" x14ac:dyDescent="0.25">
      <c r="B44" s="154"/>
      <c r="C44" s="178" t="s">
        <v>299</v>
      </c>
      <c r="D44" s="213">
        <f>IF(inputPrYr!D24&gt;0,8,7)</f>
        <v>8</v>
      </c>
      <c r="E44" s="154"/>
    </row>
    <row r="45" spans="2:5" x14ac:dyDescent="0.25">
      <c r="B45" s="154"/>
      <c r="C45" s="154"/>
      <c r="D45" s="154"/>
      <c r="E45" s="154"/>
    </row>
    <row r="46" spans="2:5" x14ac:dyDescent="0.25">
      <c r="B46" s="235" t="str">
        <f>inputPrYr!D3</f>
        <v>City of Bonner Springs</v>
      </c>
      <c r="C46" s="67"/>
      <c r="D46" s="67"/>
      <c r="E46" s="209"/>
    </row>
    <row r="47" spans="2:5" x14ac:dyDescent="0.25">
      <c r="B47" s="67"/>
      <c r="C47" s="67"/>
      <c r="D47" s="67"/>
      <c r="E47" s="178"/>
    </row>
    <row r="48" spans="2:5" x14ac:dyDescent="0.25">
      <c r="B48" s="270" t="s">
        <v>4</v>
      </c>
      <c r="C48" s="262"/>
      <c r="D48" s="262"/>
      <c r="E48" s="262"/>
    </row>
    <row r="49" spans="2:5" x14ac:dyDescent="0.25">
      <c r="B49" s="67" t="s">
        <v>283</v>
      </c>
      <c r="C49" s="558" t="s">
        <v>303</v>
      </c>
      <c r="D49" s="559" t="s">
        <v>79</v>
      </c>
      <c r="E49" s="560" t="s">
        <v>80</v>
      </c>
    </row>
    <row r="50" spans="2:5" x14ac:dyDescent="0.25">
      <c r="B50" s="97" t="str">
        <f>inputPrYr!B22</f>
        <v>General</v>
      </c>
      <c r="C50" s="422" t="str">
        <f>C5</f>
        <v>Actual for 2011</v>
      </c>
      <c r="D50" s="422" t="str">
        <f>D5</f>
        <v>Estimate for 2012</v>
      </c>
      <c r="E50" s="342" t="str">
        <f>E5</f>
        <v>Year for 2013</v>
      </c>
    </row>
    <row r="51" spans="2:5" x14ac:dyDescent="0.25">
      <c r="B51" s="365" t="s">
        <v>290</v>
      </c>
      <c r="C51" s="421">
        <f>C42</f>
        <v>8305175</v>
      </c>
      <c r="D51" s="421">
        <f>D42</f>
        <v>8394999</v>
      </c>
      <c r="E51" s="102">
        <f>E42</f>
        <v>6459094.2199999997</v>
      </c>
    </row>
    <row r="52" spans="2:5" x14ac:dyDescent="0.25">
      <c r="B52" s="344" t="s">
        <v>292</v>
      </c>
      <c r="C52" s="199"/>
      <c r="D52" s="199"/>
      <c r="E52" s="107"/>
    </row>
    <row r="53" spans="2:5" x14ac:dyDescent="0.25">
      <c r="B53" s="366" t="str">
        <f>GenDetail!A6</f>
        <v>Bonner Beautiful</v>
      </c>
      <c r="C53" s="737">
        <f>GenDetail!B11</f>
        <v>7251</v>
      </c>
      <c r="D53" s="737">
        <f>GenDetail!C11</f>
        <v>6400</v>
      </c>
      <c r="E53" s="737">
        <f>GenDetail!D11</f>
        <v>6290</v>
      </c>
    </row>
    <row r="54" spans="2:5" x14ac:dyDescent="0.25">
      <c r="B54" s="366" t="str">
        <f>GenDetail!A12</f>
        <v>Budget &amp; Finance</v>
      </c>
      <c r="C54" s="737">
        <f>GenDetail!B17</f>
        <v>323661</v>
      </c>
      <c r="D54" s="737">
        <f>GenDetail!C17</f>
        <v>300441</v>
      </c>
      <c r="E54" s="737">
        <f>GenDetail!D17</f>
        <v>316424</v>
      </c>
    </row>
    <row r="55" spans="2:5" x14ac:dyDescent="0.25">
      <c r="B55" s="366" t="str">
        <f>GenDetail!A18</f>
        <v>Building Codes</v>
      </c>
      <c r="C55" s="737">
        <f>GenDetail!B23</f>
        <v>108440</v>
      </c>
      <c r="D55" s="737">
        <f>GenDetail!C23</f>
        <v>112502</v>
      </c>
      <c r="E55" s="737">
        <f>GenDetail!D23</f>
        <v>120145</v>
      </c>
    </row>
    <row r="56" spans="2:5" x14ac:dyDescent="0.25">
      <c r="B56" s="366" t="str">
        <f>GenDetail!A24</f>
        <v>Cemetery</v>
      </c>
      <c r="C56" s="737">
        <f>GenDetail!B29</f>
        <v>85012</v>
      </c>
      <c r="D56" s="737">
        <f>GenDetail!C29</f>
        <v>71885</v>
      </c>
      <c r="E56" s="738">
        <f>GenDetail!D29</f>
        <v>70186</v>
      </c>
    </row>
    <row r="57" spans="2:5" x14ac:dyDescent="0.25">
      <c r="B57" s="366" t="str">
        <f>GenDetail!A30</f>
        <v>City Band</v>
      </c>
      <c r="C57" s="737">
        <f>GenDetail!B35</f>
        <v>8767</v>
      </c>
      <c r="D57" s="737">
        <f>GenDetail!C35</f>
        <v>8585</v>
      </c>
      <c r="E57" s="738">
        <f>GenDetail!D35</f>
        <v>9180</v>
      </c>
    </row>
    <row r="58" spans="2:5" x14ac:dyDescent="0.25">
      <c r="B58" s="366" t="str">
        <f>GenDetail!A36</f>
        <v>City Clerk</v>
      </c>
      <c r="C58" s="737">
        <f>GenDetail!B41</f>
        <v>281493</v>
      </c>
      <c r="D58" s="737">
        <f>GenDetail!C41</f>
        <v>366012</v>
      </c>
      <c r="E58" s="738">
        <f>GenDetail!D41</f>
        <v>422232</v>
      </c>
    </row>
    <row r="59" spans="2:5" x14ac:dyDescent="0.25">
      <c r="B59" s="366" t="str">
        <f>GenDetail!A42</f>
        <v>City Council</v>
      </c>
      <c r="C59" s="737">
        <f>GenDetail!B47</f>
        <v>22763</v>
      </c>
      <c r="D59" s="737">
        <f>GenDetail!C47</f>
        <v>20450</v>
      </c>
      <c r="E59" s="738">
        <f>GenDetail!D47</f>
        <v>23315</v>
      </c>
    </row>
    <row r="60" spans="2:5" x14ac:dyDescent="0.25">
      <c r="B60" s="366" t="str">
        <f>GenDetail!A48</f>
        <v>City Manager</v>
      </c>
      <c r="C60" s="737">
        <f>GenDetail!B53</f>
        <v>398112</v>
      </c>
      <c r="D60" s="737">
        <f>GenDetail!C53</f>
        <v>419664</v>
      </c>
      <c r="E60" s="737">
        <f>GenDetail!D53</f>
        <v>428585</v>
      </c>
    </row>
    <row r="61" spans="2:5" x14ac:dyDescent="0.25">
      <c r="B61" s="366" t="str">
        <f>GenDetail!A54</f>
        <v>Custodial</v>
      </c>
      <c r="C61" s="766">
        <f>GenDetail!B59</f>
        <v>78825</v>
      </c>
      <c r="D61" s="766">
        <f>GenDetail!C59</f>
        <v>84531</v>
      </c>
      <c r="E61" s="766">
        <f>GenDetail!D59</f>
        <v>85465</v>
      </c>
    </row>
    <row r="62" spans="2:5" x14ac:dyDescent="0.25">
      <c r="B62" s="366" t="str">
        <f>GenDetail!A71</f>
        <v>Environmental Codes</v>
      </c>
      <c r="C62" s="737">
        <f>GenDetail!B76</f>
        <v>59569</v>
      </c>
      <c r="D62" s="737">
        <f>GenDetail!C76</f>
        <v>65028</v>
      </c>
      <c r="E62" s="738">
        <f>GenDetail!D76</f>
        <v>68459</v>
      </c>
    </row>
    <row r="63" spans="2:5" x14ac:dyDescent="0.25">
      <c r="B63" s="366" t="str">
        <f>GenDetail!A77</f>
        <v>Fire</v>
      </c>
      <c r="C63" s="737">
        <f>GenDetail!B82</f>
        <v>184727</v>
      </c>
      <c r="D63" s="737">
        <f>GenDetail!C82</f>
        <v>201867</v>
      </c>
      <c r="E63" s="738">
        <f>GenDetail!D82</f>
        <v>209975</v>
      </c>
    </row>
    <row r="64" spans="2:5" x14ac:dyDescent="0.25">
      <c r="B64" s="366" t="str">
        <f>GenDetail!A83</f>
        <v>Municipal Court</v>
      </c>
      <c r="C64" s="737">
        <f>GenDetail!B88</f>
        <v>179064</v>
      </c>
      <c r="D64" s="737">
        <f>GenDetail!C88</f>
        <v>187825</v>
      </c>
      <c r="E64" s="738">
        <f>GenDetail!D88</f>
        <v>194111</v>
      </c>
    </row>
    <row r="65" spans="2:10" x14ac:dyDescent="0.25">
      <c r="B65" s="366" t="str">
        <f>GenDetail!A89</f>
        <v>Parks &amp; Recreation</v>
      </c>
      <c r="C65" s="737">
        <f>GenDetail!B94</f>
        <v>486014</v>
      </c>
      <c r="D65" s="737">
        <f>GenDetail!C94</f>
        <v>519746</v>
      </c>
      <c r="E65" s="738">
        <f>GenDetail!D94</f>
        <v>556186</v>
      </c>
    </row>
    <row r="66" spans="2:10" x14ac:dyDescent="0.25">
      <c r="B66" s="366" t="str">
        <f>GenDetail!A95</f>
        <v>Planning</v>
      </c>
      <c r="C66" s="737">
        <f>GenDetail!B100</f>
        <v>101906</v>
      </c>
      <c r="D66" s="737">
        <f>GenDetail!C100</f>
        <v>110603</v>
      </c>
      <c r="E66" s="738">
        <f>GenDetail!D100</f>
        <v>116550</v>
      </c>
    </row>
    <row r="67" spans="2:10" x14ac:dyDescent="0.25">
      <c r="B67" s="366" t="str">
        <f>GenDetail!A101</f>
        <v>Police</v>
      </c>
      <c r="C67" s="737">
        <f>GenDetail!B106</f>
        <v>2235491</v>
      </c>
      <c r="D67" s="737">
        <f>GenDetail!C106</f>
        <v>2337834</v>
      </c>
      <c r="E67" s="738">
        <f>GenDetail!D106</f>
        <v>2479088</v>
      </c>
    </row>
    <row r="68" spans="2:10" x14ac:dyDescent="0.25">
      <c r="B68" s="366" t="str">
        <f>GenDetail!A107</f>
        <v>Project Manager</v>
      </c>
      <c r="C68" s="737">
        <f>GenDetail!B112</f>
        <v>84130</v>
      </c>
      <c r="D68" s="737">
        <f>GenDetail!C112</f>
        <v>85683</v>
      </c>
      <c r="E68" s="737">
        <f>GenDetail!D112</f>
        <v>89281</v>
      </c>
    </row>
    <row r="69" spans="2:10" x14ac:dyDescent="0.25">
      <c r="B69" s="366" t="str">
        <f>GenDetail!A113</f>
        <v>Public Works</v>
      </c>
      <c r="C69" s="737">
        <f>GenDetail!B118</f>
        <v>735687</v>
      </c>
      <c r="D69" s="737">
        <f>GenDetail!C118</f>
        <v>811978</v>
      </c>
      <c r="E69" s="737">
        <f>GenDetail!D118</f>
        <v>917780</v>
      </c>
    </row>
    <row r="70" spans="2:10" x14ac:dyDescent="0.25">
      <c r="B70" s="366" t="str">
        <f>GenDetail!A119</f>
        <v>Transfers &amp; Contingencies</v>
      </c>
      <c r="C70" s="737">
        <f>GenDetail!B121</f>
        <v>532384</v>
      </c>
      <c r="D70" s="737">
        <f>GenDetail!C121</f>
        <v>828185</v>
      </c>
      <c r="E70" s="737">
        <f>GenDetail!D121</f>
        <v>791290</v>
      </c>
    </row>
    <row r="71" spans="2:10" x14ac:dyDescent="0.25">
      <c r="B71" s="367" t="s">
        <v>673</v>
      </c>
      <c r="C71" s="739">
        <f>SUM(C53:C70)</f>
        <v>5913296</v>
      </c>
      <c r="D71" s="739">
        <f>SUM(D53:D70)</f>
        <v>6539219</v>
      </c>
      <c r="E71" s="739">
        <f>SUM(E53:E70)</f>
        <v>6904542</v>
      </c>
    </row>
    <row r="72" spans="2:10" x14ac:dyDescent="0.25">
      <c r="B72" s="778" t="s">
        <v>1086</v>
      </c>
      <c r="C72" s="419"/>
      <c r="D72" s="419"/>
      <c r="E72" s="89"/>
    </row>
    <row r="73" spans="2:10" x14ac:dyDescent="0.25">
      <c r="B73" s="345"/>
      <c r="C73" s="419"/>
      <c r="D73" s="419"/>
      <c r="E73" s="89"/>
    </row>
    <row r="74" spans="2:10" x14ac:dyDescent="0.25">
      <c r="B74" s="331"/>
      <c r="C74" s="419"/>
      <c r="D74" s="419"/>
      <c r="E74" s="89"/>
    </row>
    <row r="75" spans="2:10" x14ac:dyDescent="0.25">
      <c r="B75" s="331"/>
      <c r="C75" s="419"/>
      <c r="D75" s="419"/>
      <c r="E75" s="89"/>
      <c r="G75" s="874" t="str">
        <f>CONCATENATE("Desired Carryover Into ",E1+1,"")</f>
        <v>Desired Carryover Into 2014</v>
      </c>
      <c r="H75" s="875"/>
      <c r="I75" s="875"/>
      <c r="J75" s="876"/>
    </row>
    <row r="76" spans="2:10" x14ac:dyDescent="0.25">
      <c r="B76" s="331"/>
      <c r="C76" s="419"/>
      <c r="D76" s="419"/>
      <c r="E76" s="89"/>
      <c r="G76" s="662"/>
      <c r="H76" s="663"/>
      <c r="I76" s="663"/>
      <c r="J76" s="664"/>
    </row>
    <row r="77" spans="2:10" x14ac:dyDescent="0.25">
      <c r="B77" s="331"/>
      <c r="C77" s="419"/>
      <c r="D77" s="419"/>
      <c r="E77" s="89"/>
      <c r="G77" s="665" t="s">
        <v>677</v>
      </c>
      <c r="H77" s="666"/>
      <c r="I77" s="666"/>
      <c r="J77" s="667">
        <v>0</v>
      </c>
    </row>
    <row r="78" spans="2:10" x14ac:dyDescent="0.25">
      <c r="B78" s="331"/>
      <c r="C78" s="419"/>
      <c r="D78" s="419"/>
      <c r="E78" s="89"/>
      <c r="G78" s="668" t="s">
        <v>678</v>
      </c>
      <c r="H78" s="669"/>
      <c r="I78" s="670"/>
      <c r="J78" s="671" t="str">
        <f>IF(J77=0,"",ROUND((J77+E92-G90)/inputOth!B14*1000,3)-G95)</f>
        <v/>
      </c>
    </row>
    <row r="79" spans="2:10" x14ac:dyDescent="0.25">
      <c r="B79" s="331"/>
      <c r="C79" s="419"/>
      <c r="D79" s="419"/>
      <c r="E79" s="89"/>
      <c r="G79" s="672" t="str">
        <f>CONCATENATE("",E1," Tot Exp/Non-Appr Must Be:")</f>
        <v>2013 Tot Exp/Non-Appr Must Be:</v>
      </c>
      <c r="H79" s="673"/>
      <c r="I79" s="674"/>
      <c r="J79" s="675">
        <f>IF(J77&gt;0,IF(E89&lt;E42,IF(J77=G90,E89,((J77-G90)*(1-D91))+E42),E89+(J77-G90)),0)</f>
        <v>0</v>
      </c>
    </row>
    <row r="80" spans="2:10" x14ac:dyDescent="0.25">
      <c r="B80" s="331"/>
      <c r="C80" s="419"/>
      <c r="D80" s="419"/>
      <c r="E80" s="89"/>
      <c r="G80" s="676" t="s">
        <v>896</v>
      </c>
      <c r="H80" s="677"/>
      <c r="I80" s="677"/>
      <c r="J80" s="678">
        <f>IF(J77&gt;0,J79-E89,0)</f>
        <v>0</v>
      </c>
    </row>
    <row r="81" spans="2:11" x14ac:dyDescent="0.25">
      <c r="B81" s="331"/>
      <c r="C81" s="419"/>
      <c r="D81" s="419"/>
      <c r="E81" s="89"/>
    </row>
    <row r="82" spans="2:11" x14ac:dyDescent="0.25">
      <c r="B82" s="335" t="s">
        <v>182</v>
      </c>
      <c r="C82" s="419"/>
      <c r="D82" s="419"/>
      <c r="E82" s="94" t="str">
        <f>nhood!E6</f>
        <v/>
      </c>
      <c r="G82" s="874" t="str">
        <f>CONCATENATE("Projected Carryover Into ",E1+1,"")</f>
        <v>Projected Carryover Into 2014</v>
      </c>
      <c r="H82" s="883"/>
      <c r="I82" s="883"/>
      <c r="J82" s="884"/>
    </row>
    <row r="83" spans="2:11" x14ac:dyDescent="0.25">
      <c r="B83" s="335" t="s">
        <v>183</v>
      </c>
      <c r="C83" s="737">
        <f>GenDetail!B120</f>
        <v>0</v>
      </c>
      <c r="D83" s="737">
        <f>GenDetail!C120</f>
        <v>264712</v>
      </c>
      <c r="E83" s="737">
        <f>GenDetail!D120</f>
        <v>359725</v>
      </c>
      <c r="G83" s="662"/>
      <c r="H83" s="663"/>
      <c r="I83" s="663"/>
      <c r="J83" s="664"/>
    </row>
    <row r="84" spans="2:11" x14ac:dyDescent="0.25">
      <c r="B84" s="335" t="s">
        <v>671</v>
      </c>
      <c r="C84" s="420" t="str">
        <f>IF(C85*0.1&lt;C83,"Exceed 10% Rule","")</f>
        <v/>
      </c>
      <c r="D84" s="420" t="str">
        <f>IF(D85*0.1&lt;D83,"Exceed 10% Rule","")</f>
        <v/>
      </c>
      <c r="E84" s="358" t="str">
        <f>IF(E85*0.1&lt;E83,"Exceed 10% Rule","")</f>
        <v/>
      </c>
      <c r="G84" s="679">
        <f>D86</f>
        <v>1591068</v>
      </c>
      <c r="H84" s="680" t="str">
        <f>CONCATENATE("",E1-1," Ending Cash Balance (est.)")</f>
        <v>2012 Ending Cash Balance (est.)</v>
      </c>
      <c r="I84" s="681"/>
      <c r="J84" s="664"/>
    </row>
    <row r="85" spans="2:11" x14ac:dyDescent="0.25">
      <c r="B85" s="337" t="s">
        <v>296</v>
      </c>
      <c r="C85" s="423">
        <f>SUM(C71:C83)</f>
        <v>5913296</v>
      </c>
      <c r="D85" s="423">
        <f>SUM(D71:D83)</f>
        <v>6803931</v>
      </c>
      <c r="E85" s="339">
        <f>SUM(E71:E83)</f>
        <v>7264267</v>
      </c>
      <c r="G85" s="679">
        <f>E41</f>
        <v>4868026.22</v>
      </c>
      <c r="H85" s="666" t="str">
        <f>CONCATENATE("",E1," Non-AV Receipts (est.)")</f>
        <v>2013 Non-AV Receipts (est.)</v>
      </c>
      <c r="I85" s="681"/>
      <c r="J85" s="664"/>
    </row>
    <row r="86" spans="2:11" x14ac:dyDescent="0.25">
      <c r="B86" s="148" t="s">
        <v>57</v>
      </c>
      <c r="C86" s="421">
        <f>C42-C85</f>
        <v>2391879</v>
      </c>
      <c r="D86" s="421">
        <f>D42-D85</f>
        <v>1591068</v>
      </c>
      <c r="E86" s="363" t="s">
        <v>273</v>
      </c>
      <c r="G86" s="682">
        <f>IF(E91&gt;0,E90,E92)</f>
        <v>1165373.7800000003</v>
      </c>
      <c r="H86" s="666" t="str">
        <f>CONCATENATE("",E1," Ad Valorem Tax (est.)")</f>
        <v>2013 Ad Valorem Tax (est.)</v>
      </c>
      <c r="I86" s="681"/>
      <c r="J86" s="664"/>
      <c r="K86" s="683" t="str">
        <f>IF(G86=E92,"","Note: Does not include Delinquent Taxes")</f>
        <v>Note: Does not include Delinquent Taxes</v>
      </c>
    </row>
    <row r="87" spans="2:11" x14ac:dyDescent="0.25">
      <c r="B87" s="178" t="str">
        <f>CONCATENATE("",E1-2,"/",E1-1," Budget Authority Amount:")</f>
        <v>2011/2012 Budget Authority Amount:</v>
      </c>
      <c r="C87" s="286">
        <f>inputOth!B71</f>
        <v>6471445</v>
      </c>
      <c r="D87" s="286">
        <f>inputPrYr!D22</f>
        <v>6803931</v>
      </c>
      <c r="E87" s="363" t="s">
        <v>273</v>
      </c>
      <c r="F87" s="348"/>
      <c r="G87" s="679">
        <f>SUM(G84:G86)</f>
        <v>7624468</v>
      </c>
      <c r="H87" s="666" t="str">
        <f>CONCATENATE("Total ",E1," Resources Available")</f>
        <v>Total 2013 Resources Available</v>
      </c>
      <c r="I87" s="681"/>
      <c r="J87" s="664"/>
    </row>
    <row r="88" spans="2:11" x14ac:dyDescent="0.25">
      <c r="B88" s="178"/>
      <c r="C88" s="879" t="s">
        <v>674</v>
      </c>
      <c r="D88" s="880"/>
      <c r="E88" s="332">
        <v>360201</v>
      </c>
      <c r="F88" s="684" t="str">
        <f>IF((E85/0.95)-E85&lt;E88,"Exceeds 5% ","")</f>
        <v/>
      </c>
      <c r="G88" s="685"/>
      <c r="H88" s="666"/>
      <c r="I88" s="666"/>
      <c r="J88" s="664"/>
    </row>
    <row r="89" spans="2:11" x14ac:dyDescent="0.25">
      <c r="B89" s="526" t="str">
        <f>CONCATENATE(C104,"     ",D104)</f>
        <v xml:space="preserve">     </v>
      </c>
      <c r="C89" s="881" t="s">
        <v>675</v>
      </c>
      <c r="D89" s="882"/>
      <c r="E89" s="107">
        <f>E85+E88</f>
        <v>7624468</v>
      </c>
      <c r="G89" s="682">
        <f>ROUND(C85*0.05+C85,0)</f>
        <v>6208961</v>
      </c>
      <c r="H89" s="666" t="str">
        <f>CONCATENATE("Less ",E1-2," Expenditures + 5%")</f>
        <v>Less 2011 Expenditures + 5%</v>
      </c>
      <c r="I89" s="681"/>
      <c r="J89" s="664"/>
    </row>
    <row r="90" spans="2:11" x14ac:dyDescent="0.25">
      <c r="B90" s="526" t="str">
        <f>CONCATENATE(C105,"     ",D105)</f>
        <v xml:space="preserve">     </v>
      </c>
      <c r="C90" s="341"/>
      <c r="D90" s="209" t="s">
        <v>297</v>
      </c>
      <c r="E90" s="94">
        <f>IF(E89-E42&gt;0,E89-E42,0)</f>
        <v>1165373.7800000003</v>
      </c>
      <c r="G90" s="686">
        <f>G87-G89</f>
        <v>1415507</v>
      </c>
      <c r="H90" s="687" t="str">
        <f>CONCATENATE("Projected ",E1+1," Carryover (est.)")</f>
        <v>Projected 2014 Carryover (est.)</v>
      </c>
      <c r="I90" s="688"/>
      <c r="J90" s="689"/>
    </row>
    <row r="91" spans="2:11" x14ac:dyDescent="0.25">
      <c r="B91" s="209"/>
      <c r="C91" s="480" t="s">
        <v>676</v>
      </c>
      <c r="D91" s="777">
        <f>inputOth!E56</f>
        <v>5.2630999999999997E-2</v>
      </c>
      <c r="E91" s="107">
        <f>ROUND(IF(D91&gt;0,(E90*D91),0),0)</f>
        <v>61335</v>
      </c>
    </row>
    <row r="92" spans="2:11" ht="16.2" thickBot="1" x14ac:dyDescent="0.3">
      <c r="B92" s="67"/>
      <c r="C92" s="877" t="str">
        <f>CONCATENATE("Amount of  ",$E$1-1," Ad Valorem Tax")</f>
        <v>Amount of  2012 Ad Valorem Tax</v>
      </c>
      <c r="D92" s="878"/>
      <c r="E92" s="604">
        <f>E90+E91</f>
        <v>1226708.7800000003</v>
      </c>
      <c r="G92" s="885" t="s">
        <v>897</v>
      </c>
      <c r="H92" s="886"/>
      <c r="I92" s="886"/>
      <c r="J92" s="887"/>
    </row>
    <row r="93" spans="2:11" ht="16.2" thickTop="1" x14ac:dyDescent="0.25">
      <c r="B93" s="67"/>
      <c r="C93" s="67"/>
      <c r="D93" s="67"/>
      <c r="E93" s="67"/>
      <c r="G93" s="690"/>
      <c r="H93" s="691"/>
      <c r="I93" s="692"/>
      <c r="J93" s="693"/>
    </row>
    <row r="94" spans="2:11" x14ac:dyDescent="0.25">
      <c r="B94" s="154"/>
      <c r="C94" s="178" t="s">
        <v>299</v>
      </c>
      <c r="D94" s="213" t="str">
        <f>CONCATENATE("",D44,"a")</f>
        <v>8a</v>
      </c>
      <c r="E94" s="154"/>
      <c r="G94" s="694">
        <f>summ!H15</f>
        <v>18.516999999999999</v>
      </c>
      <c r="H94" s="691" t="str">
        <f>CONCATENATE("",E1," Fund Mill Rate")</f>
        <v>2013 Fund Mill Rate</v>
      </c>
      <c r="I94" s="692"/>
      <c r="J94" s="693"/>
    </row>
    <row r="95" spans="2:11" x14ac:dyDescent="0.25">
      <c r="G95" s="695">
        <f>summ!E15</f>
        <v>18.838999999999999</v>
      </c>
      <c r="H95" s="691" t="str">
        <f>CONCATENATE("",E1-1," Fund Mill Rate")</f>
        <v>2012 Fund Mill Rate</v>
      </c>
      <c r="I95" s="692"/>
      <c r="J95" s="693"/>
    </row>
    <row r="96" spans="2:11" x14ac:dyDescent="0.25">
      <c r="B96" s="127"/>
      <c r="G96" s="696">
        <f>summ!H47</f>
        <v>30.577999999999999</v>
      </c>
      <c r="H96" s="691" t="str">
        <f>CONCATENATE("Total ",E1," Mill Rate")</f>
        <v>Total 2013 Mill Rate</v>
      </c>
      <c r="I96" s="692"/>
      <c r="J96" s="693"/>
    </row>
    <row r="97" spans="2:10" x14ac:dyDescent="0.25">
      <c r="G97" s="695">
        <f>summ!E47</f>
        <v>30.577999999999999</v>
      </c>
      <c r="H97" s="697" t="str">
        <f>CONCATENATE("Total ",E1-1," Mill Rate")</f>
        <v>Total 2012 Mill Rate</v>
      </c>
      <c r="I97" s="698"/>
      <c r="J97" s="699"/>
    </row>
    <row r="98" spans="2:10" x14ac:dyDescent="0.25">
      <c r="G98" s="700"/>
      <c r="H98" s="701"/>
      <c r="I98" s="701"/>
      <c r="J98" s="702"/>
    </row>
    <row r="99" spans="2:10" x14ac:dyDescent="0.25">
      <c r="B99" s="50"/>
      <c r="C99" s="50"/>
      <c r="G99" s="701"/>
      <c r="H99" s="507"/>
      <c r="I99" s="507"/>
      <c r="J99" s="703" t="str">
        <f>IF(J98=0,"",ROUND((J98+E92-G92)/inputOth!B14*1000,3)-general!G94)</f>
        <v/>
      </c>
    </row>
    <row r="100" spans="2:10" x14ac:dyDescent="0.25">
      <c r="G100" s="704"/>
      <c r="H100" s="507"/>
      <c r="I100" s="701"/>
      <c r="J100" s="705"/>
    </row>
    <row r="104" spans="2:10" x14ac:dyDescent="0.25">
      <c r="C104" s="63" t="str">
        <f>IF(C85&gt;C87,"See Tab A","")</f>
        <v/>
      </c>
      <c r="D104" s="63" t="str">
        <f>IF(D85&gt;D87,"See Tab C","")</f>
        <v/>
      </c>
    </row>
    <row r="105" spans="2:10" x14ac:dyDescent="0.25">
      <c r="C105" s="63" t="str">
        <f>IF(C86&lt;0,"See Tab B","")</f>
        <v/>
      </c>
      <c r="D105" s="63" t="str">
        <f>IF(D86&lt;0,"See Tab D","")</f>
        <v/>
      </c>
    </row>
  </sheetData>
  <mergeCells count="6">
    <mergeCell ref="G75:J75"/>
    <mergeCell ref="C92:D92"/>
    <mergeCell ref="C88:D88"/>
    <mergeCell ref="C89:D89"/>
    <mergeCell ref="G82:J82"/>
    <mergeCell ref="G92:J92"/>
  </mergeCells>
  <phoneticPr fontId="0" type="noConversion"/>
  <conditionalFormatting sqref="E88">
    <cfRule type="cellIs" dxfId="296" priority="3" stopIfTrue="1" operator="greaterThan">
      <formula>$E$85/0.95-$E$85</formula>
    </cfRule>
  </conditionalFormatting>
  <conditionalFormatting sqref="C85">
    <cfRule type="cellIs" dxfId="295" priority="4" stopIfTrue="1" operator="greaterThan">
      <formula>$C$87</formula>
    </cfRule>
  </conditionalFormatting>
  <conditionalFormatting sqref="C39">
    <cfRule type="cellIs" dxfId="294" priority="5" stopIfTrue="1" operator="greaterThan">
      <formula>$C$41*0.1</formula>
    </cfRule>
  </conditionalFormatting>
  <conditionalFormatting sqref="D39">
    <cfRule type="cellIs" dxfId="293" priority="6" stopIfTrue="1" operator="greaterThan">
      <formula>$D$41*0.1</formula>
    </cfRule>
  </conditionalFormatting>
  <conditionalFormatting sqref="D85">
    <cfRule type="cellIs" dxfId="292" priority="9" stopIfTrue="1" operator="greaterThan">
      <formula>$D$87</formula>
    </cfRule>
  </conditionalFormatting>
  <conditionalFormatting sqref="C86">
    <cfRule type="cellIs" dxfId="291" priority="10" stopIfTrue="1" operator="lessThan">
      <formula>0</formula>
    </cfRule>
  </conditionalFormatting>
  <conditionalFormatting sqref="D86">
    <cfRule type="cellIs" dxfId="290" priority="1" stopIfTrue="1" operator="lessThan">
      <formula>0</formula>
    </cfRule>
  </conditionalFormatting>
  <conditionalFormatting sqref="E39">
    <cfRule type="cellIs" dxfId="289" priority="61" stopIfTrue="1" operator="greaterThan">
      <formula>$E$41*0.1+$E$92</formula>
    </cfRule>
  </conditionalFormatting>
  <pageMargins left="0.5" right="0.5" top="1" bottom="0.5" header="0.5" footer="0.5"/>
  <pageSetup scale="89" fitToHeight="2" orientation="portrait" blackAndWhite="1" horizontalDpi="120" verticalDpi="144" r:id="rId1"/>
  <headerFooter alignWithMargins="0">
    <oddHeader>&amp;RState of Kansas
City</oddHeader>
  </headerFooter>
  <rowBreaks count="1" manualBreakCount="1">
    <brk id="45"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8"/>
  <sheetViews>
    <sheetView topLeftCell="A60" zoomScaleNormal="100" workbookViewId="0">
      <selection activeCell="A71" sqref="A71"/>
    </sheetView>
  </sheetViews>
  <sheetFormatPr defaultColWidth="8.9140625" defaultRowHeight="15.6" x14ac:dyDescent="0.25"/>
  <cols>
    <col min="1" max="1" width="28.33203125" style="50" customWidth="1"/>
    <col min="2" max="3" width="15.75" style="50" customWidth="1"/>
    <col min="4" max="4" width="16.08203125" style="50" customWidth="1"/>
    <col min="5" max="16384" width="8.9140625" style="50"/>
  </cols>
  <sheetData>
    <row r="1" spans="1:4" x14ac:dyDescent="0.25">
      <c r="A1" s="235" t="str">
        <f>inputPrYr!D3</f>
        <v>City of Bonner Springs</v>
      </c>
      <c r="B1" s="67"/>
      <c r="C1" s="213"/>
      <c r="D1" s="67">
        <f>inputPrYr!C10</f>
        <v>2013</v>
      </c>
    </row>
    <row r="2" spans="1:4" x14ac:dyDescent="0.25">
      <c r="A2" s="325"/>
      <c r="B2" s="368"/>
      <c r="C2" s="368"/>
      <c r="D2" s="368"/>
    </row>
    <row r="3" spans="1:4" x14ac:dyDescent="0.25">
      <c r="A3" s="213" t="s">
        <v>283</v>
      </c>
      <c r="B3" s="598" t="s">
        <v>810</v>
      </c>
      <c r="C3" s="599" t="s">
        <v>811</v>
      </c>
      <c r="D3" s="185" t="s">
        <v>812</v>
      </c>
    </row>
    <row r="4" spans="1:4" x14ac:dyDescent="0.25">
      <c r="A4" s="82" t="s">
        <v>219</v>
      </c>
      <c r="B4" s="427" t="str">
        <f>CONCATENATE("Actual for ",D1-2,"")</f>
        <v>Actual for 2011</v>
      </c>
      <c r="C4" s="427" t="str">
        <f>CONCATENATE("Estimate for ",D1-1,"")</f>
        <v>Estimate for 2012</v>
      </c>
      <c r="D4" s="251" t="str">
        <f>CONCATENATE("Year for ",D1,"")</f>
        <v>Year for 2013</v>
      </c>
    </row>
    <row r="5" spans="1:4" x14ac:dyDescent="0.25">
      <c r="A5" s="369" t="s">
        <v>292</v>
      </c>
      <c r="B5" s="107"/>
      <c r="C5" s="107"/>
      <c r="D5" s="107"/>
    </row>
    <row r="6" spans="1:4" x14ac:dyDescent="0.25">
      <c r="A6" s="370" t="s">
        <v>1056</v>
      </c>
      <c r="B6" s="107"/>
      <c r="C6" s="107"/>
      <c r="D6" s="107"/>
    </row>
    <row r="7" spans="1:4" x14ac:dyDescent="0.25">
      <c r="A7" s="371" t="s">
        <v>300</v>
      </c>
      <c r="B7" s="332">
        <v>0</v>
      </c>
      <c r="C7" s="332">
        <v>0</v>
      </c>
      <c r="D7" s="332">
        <v>0</v>
      </c>
    </row>
    <row r="8" spans="1:4" x14ac:dyDescent="0.25">
      <c r="A8" s="371" t="s">
        <v>293</v>
      </c>
      <c r="B8" s="332">
        <v>4816</v>
      </c>
      <c r="C8" s="332">
        <v>3280</v>
      </c>
      <c r="D8" s="332">
        <v>3230</v>
      </c>
    </row>
    <row r="9" spans="1:4" x14ac:dyDescent="0.25">
      <c r="A9" s="371" t="s">
        <v>294</v>
      </c>
      <c r="B9" s="332">
        <v>2435</v>
      </c>
      <c r="C9" s="332">
        <v>3120</v>
      </c>
      <c r="D9" s="332">
        <v>3060</v>
      </c>
    </row>
    <row r="10" spans="1:4" x14ac:dyDescent="0.25">
      <c r="A10" s="371" t="s">
        <v>295</v>
      </c>
      <c r="B10" s="332">
        <v>0</v>
      </c>
      <c r="C10" s="332">
        <v>0</v>
      </c>
      <c r="D10" s="332">
        <v>0</v>
      </c>
    </row>
    <row r="11" spans="1:4" x14ac:dyDescent="0.25">
      <c r="A11" s="369" t="s">
        <v>260</v>
      </c>
      <c r="B11" s="338">
        <f>SUM(B7:B10)</f>
        <v>7251</v>
      </c>
      <c r="C11" s="338">
        <f>SUM(C7:C10)</f>
        <v>6400</v>
      </c>
      <c r="D11" s="338">
        <f>SUM(D7:D10)</f>
        <v>6290</v>
      </c>
    </row>
    <row r="12" spans="1:4" x14ac:dyDescent="0.25">
      <c r="A12" s="280" t="s">
        <v>1057</v>
      </c>
      <c r="B12" s="235"/>
      <c r="C12" s="235"/>
      <c r="D12" s="235"/>
    </row>
    <row r="13" spans="1:4" x14ac:dyDescent="0.25">
      <c r="A13" s="371" t="s">
        <v>300</v>
      </c>
      <c r="B13" s="332">
        <v>275405</v>
      </c>
      <c r="C13" s="332">
        <v>254871</v>
      </c>
      <c r="D13" s="332">
        <v>270024</v>
      </c>
    </row>
    <row r="14" spans="1:4" x14ac:dyDescent="0.25">
      <c r="A14" s="371" t="s">
        <v>293</v>
      </c>
      <c r="B14" s="332">
        <v>43248</v>
      </c>
      <c r="C14" s="332">
        <v>39770</v>
      </c>
      <c r="D14" s="332">
        <v>41700</v>
      </c>
    </row>
    <row r="15" spans="1:4" x14ac:dyDescent="0.25">
      <c r="A15" s="371" t="s">
        <v>294</v>
      </c>
      <c r="B15" s="332">
        <v>5008</v>
      </c>
      <c r="C15" s="332">
        <v>5800</v>
      </c>
      <c r="D15" s="332">
        <v>4700</v>
      </c>
    </row>
    <row r="16" spans="1:4" x14ac:dyDescent="0.25">
      <c r="A16" s="371" t="s">
        <v>295</v>
      </c>
      <c r="B16" s="332">
        <v>0</v>
      </c>
      <c r="C16" s="332">
        <v>0</v>
      </c>
      <c r="D16" s="332">
        <v>0</v>
      </c>
    </row>
    <row r="17" spans="1:4" x14ac:dyDescent="0.25">
      <c r="A17" s="369" t="s">
        <v>260</v>
      </c>
      <c r="B17" s="338">
        <f>SUM(B13:B16)</f>
        <v>323661</v>
      </c>
      <c r="C17" s="338">
        <f>SUM(C13:C16)</f>
        <v>300441</v>
      </c>
      <c r="D17" s="338">
        <f>SUM(D13:D16)</f>
        <v>316424</v>
      </c>
    </row>
    <row r="18" spans="1:4" x14ac:dyDescent="0.25">
      <c r="A18" s="280" t="s">
        <v>1058</v>
      </c>
      <c r="B18" s="235"/>
      <c r="C18" s="235"/>
      <c r="D18" s="235"/>
    </row>
    <row r="19" spans="1:4" x14ac:dyDescent="0.25">
      <c r="A19" s="371" t="s">
        <v>300</v>
      </c>
      <c r="B19" s="332">
        <v>100214</v>
      </c>
      <c r="C19" s="332">
        <v>105997</v>
      </c>
      <c r="D19" s="332">
        <v>112850</v>
      </c>
    </row>
    <row r="20" spans="1:4" x14ac:dyDescent="0.25">
      <c r="A20" s="371" t="s">
        <v>293</v>
      </c>
      <c r="B20" s="332">
        <v>6521</v>
      </c>
      <c r="C20" s="332">
        <v>4130</v>
      </c>
      <c r="D20" s="332">
        <v>4920</v>
      </c>
    </row>
    <row r="21" spans="1:4" x14ac:dyDescent="0.25">
      <c r="A21" s="371" t="s">
        <v>294</v>
      </c>
      <c r="B21" s="332">
        <v>1705</v>
      </c>
      <c r="C21" s="332">
        <v>2375</v>
      </c>
      <c r="D21" s="332">
        <v>2375</v>
      </c>
    </row>
    <row r="22" spans="1:4" x14ac:dyDescent="0.25">
      <c r="A22" s="371" t="s">
        <v>295</v>
      </c>
      <c r="B22" s="332">
        <v>0</v>
      </c>
      <c r="C22" s="332">
        <v>0</v>
      </c>
      <c r="D22" s="332">
        <v>0</v>
      </c>
    </row>
    <row r="23" spans="1:4" x14ac:dyDescent="0.25">
      <c r="A23" s="369" t="s">
        <v>260</v>
      </c>
      <c r="B23" s="338">
        <f>SUM(B19:B22)</f>
        <v>108440</v>
      </c>
      <c r="C23" s="338">
        <f>SUM(C19:C22)</f>
        <v>112502</v>
      </c>
      <c r="D23" s="338">
        <f>SUM(D19:D22)</f>
        <v>120145</v>
      </c>
    </row>
    <row r="24" spans="1:4" x14ac:dyDescent="0.25">
      <c r="A24" s="280" t="s">
        <v>1059</v>
      </c>
      <c r="B24" s="235"/>
      <c r="C24" s="235"/>
      <c r="D24" s="235"/>
    </row>
    <row r="25" spans="1:4" x14ac:dyDescent="0.25">
      <c r="A25" s="371" t="s">
        <v>300</v>
      </c>
      <c r="B25" s="332">
        <v>59838</v>
      </c>
      <c r="C25" s="332">
        <v>62764</v>
      </c>
      <c r="D25" s="332">
        <v>61144</v>
      </c>
    </row>
    <row r="26" spans="1:4" x14ac:dyDescent="0.25">
      <c r="A26" s="371" t="s">
        <v>293</v>
      </c>
      <c r="B26" s="332">
        <v>5346</v>
      </c>
      <c r="C26" s="332">
        <v>4706</v>
      </c>
      <c r="D26" s="332">
        <v>4027</v>
      </c>
    </row>
    <row r="27" spans="1:4" x14ac:dyDescent="0.25">
      <c r="A27" s="371" t="s">
        <v>294</v>
      </c>
      <c r="B27" s="332">
        <v>2968</v>
      </c>
      <c r="C27" s="332">
        <v>4415</v>
      </c>
      <c r="D27" s="332">
        <v>5015</v>
      </c>
    </row>
    <row r="28" spans="1:4" x14ac:dyDescent="0.25">
      <c r="A28" s="371" t="s">
        <v>295</v>
      </c>
      <c r="B28" s="332">
        <v>16860</v>
      </c>
      <c r="C28" s="332">
        <v>0</v>
      </c>
      <c r="D28" s="332">
        <v>0</v>
      </c>
    </row>
    <row r="29" spans="1:4" x14ac:dyDescent="0.25">
      <c r="A29" s="369" t="s">
        <v>260</v>
      </c>
      <c r="B29" s="338">
        <f>SUM(B25:B28)</f>
        <v>85012</v>
      </c>
      <c r="C29" s="338">
        <f>SUM(C25:C28)</f>
        <v>71885</v>
      </c>
      <c r="D29" s="338">
        <f>SUM(D25:D28)</f>
        <v>70186</v>
      </c>
    </row>
    <row r="30" spans="1:4" x14ac:dyDescent="0.25">
      <c r="A30" s="280" t="s">
        <v>1060</v>
      </c>
      <c r="B30" s="235"/>
      <c r="C30" s="235" t="s">
        <v>261</v>
      </c>
      <c r="D30" s="235"/>
    </row>
    <row r="31" spans="1:4" x14ac:dyDescent="0.25">
      <c r="A31" s="371" t="s">
        <v>300</v>
      </c>
      <c r="B31" s="332">
        <v>437</v>
      </c>
      <c r="C31" s="332">
        <v>550</v>
      </c>
      <c r="D31" s="332">
        <v>550</v>
      </c>
    </row>
    <row r="32" spans="1:4" x14ac:dyDescent="0.25">
      <c r="A32" s="371" t="s">
        <v>293</v>
      </c>
      <c r="B32" s="332">
        <v>7647</v>
      </c>
      <c r="C32" s="332">
        <v>7210</v>
      </c>
      <c r="D32" s="332">
        <v>7420</v>
      </c>
    </row>
    <row r="33" spans="1:4" x14ac:dyDescent="0.25">
      <c r="A33" s="371" t="s">
        <v>294</v>
      </c>
      <c r="B33" s="332">
        <v>683</v>
      </c>
      <c r="C33" s="332">
        <v>825</v>
      </c>
      <c r="D33" s="332">
        <v>1210</v>
      </c>
    </row>
    <row r="34" spans="1:4" x14ac:dyDescent="0.25">
      <c r="A34" s="371" t="s">
        <v>295</v>
      </c>
      <c r="B34" s="332">
        <v>0</v>
      </c>
      <c r="C34" s="332">
        <v>0</v>
      </c>
      <c r="D34" s="332">
        <v>0</v>
      </c>
    </row>
    <row r="35" spans="1:4" x14ac:dyDescent="0.25">
      <c r="A35" s="369" t="s">
        <v>260</v>
      </c>
      <c r="B35" s="338">
        <f>SUM(B31:B34)</f>
        <v>8767</v>
      </c>
      <c r="C35" s="338">
        <f>SUM(C31:C34)</f>
        <v>8585</v>
      </c>
      <c r="D35" s="338">
        <f>SUM(D31:D34)</f>
        <v>9180</v>
      </c>
    </row>
    <row r="36" spans="1:4" x14ac:dyDescent="0.25">
      <c r="A36" s="280" t="s">
        <v>71</v>
      </c>
      <c r="B36" s="235"/>
      <c r="C36" s="235"/>
      <c r="D36" s="235"/>
    </row>
    <row r="37" spans="1:4" x14ac:dyDescent="0.25">
      <c r="A37" s="371" t="s">
        <v>300</v>
      </c>
      <c r="B37" s="332">
        <v>153920</v>
      </c>
      <c r="C37" s="332">
        <v>161607</v>
      </c>
      <c r="D37" s="332">
        <v>243524</v>
      </c>
    </row>
    <row r="38" spans="1:4" x14ac:dyDescent="0.25">
      <c r="A38" s="371" t="s">
        <v>293</v>
      </c>
      <c r="B38" s="332">
        <v>115415</v>
      </c>
      <c r="C38" s="332">
        <v>141520</v>
      </c>
      <c r="D38" s="332">
        <v>125308</v>
      </c>
    </row>
    <row r="39" spans="1:4" x14ac:dyDescent="0.25">
      <c r="A39" s="371" t="s">
        <v>294</v>
      </c>
      <c r="B39" s="332">
        <v>12063</v>
      </c>
      <c r="C39" s="332">
        <v>7585</v>
      </c>
      <c r="D39" s="332">
        <v>7400</v>
      </c>
    </row>
    <row r="40" spans="1:4" x14ac:dyDescent="0.25">
      <c r="A40" s="371" t="s">
        <v>295</v>
      </c>
      <c r="B40" s="332">
        <v>95</v>
      </c>
      <c r="C40" s="332">
        <v>55300</v>
      </c>
      <c r="D40" s="332">
        <v>46000</v>
      </c>
    </row>
    <row r="41" spans="1:4" x14ac:dyDescent="0.25">
      <c r="A41" s="369" t="s">
        <v>260</v>
      </c>
      <c r="B41" s="338">
        <f>SUM(B37:B40)</f>
        <v>281493</v>
      </c>
      <c r="C41" s="338">
        <f>SUM(C37:C40)</f>
        <v>366012</v>
      </c>
      <c r="D41" s="338">
        <f>SUM(D37:D40)</f>
        <v>422232</v>
      </c>
    </row>
    <row r="42" spans="1:4" x14ac:dyDescent="0.25">
      <c r="A42" s="280" t="s">
        <v>1061</v>
      </c>
      <c r="B42" s="235"/>
      <c r="C42" s="235"/>
      <c r="D42" s="235"/>
    </row>
    <row r="43" spans="1:4" x14ac:dyDescent="0.25">
      <c r="A43" s="371" t="s">
        <v>300</v>
      </c>
      <c r="B43" s="332">
        <v>9764</v>
      </c>
      <c r="C43" s="332">
        <v>10070</v>
      </c>
      <c r="D43" s="332">
        <v>10070</v>
      </c>
    </row>
    <row r="44" spans="1:4" x14ac:dyDescent="0.25">
      <c r="A44" s="371" t="s">
        <v>293</v>
      </c>
      <c r="B44" s="332">
        <v>7863</v>
      </c>
      <c r="C44" s="332">
        <v>6230</v>
      </c>
      <c r="D44" s="332">
        <v>8215</v>
      </c>
    </row>
    <row r="45" spans="1:4" x14ac:dyDescent="0.25">
      <c r="A45" s="371" t="s">
        <v>294</v>
      </c>
      <c r="B45" s="332">
        <v>5136</v>
      </c>
      <c r="C45" s="332">
        <v>4150</v>
      </c>
      <c r="D45" s="332">
        <v>5030</v>
      </c>
    </row>
    <row r="46" spans="1:4" x14ac:dyDescent="0.25">
      <c r="A46" s="371" t="s">
        <v>295</v>
      </c>
      <c r="B46" s="332">
        <v>0</v>
      </c>
      <c r="C46" s="332">
        <v>0</v>
      </c>
      <c r="D46" s="332">
        <v>0</v>
      </c>
    </row>
    <row r="47" spans="1:4" x14ac:dyDescent="0.25">
      <c r="A47" s="369" t="s">
        <v>260</v>
      </c>
      <c r="B47" s="338">
        <f>SUM(B43:B46)</f>
        <v>22763</v>
      </c>
      <c r="C47" s="338">
        <f>SUM(C43:C46)</f>
        <v>20450</v>
      </c>
      <c r="D47" s="338">
        <f>SUM(D43:D46)</f>
        <v>23315</v>
      </c>
    </row>
    <row r="48" spans="1:4" x14ac:dyDescent="0.25">
      <c r="A48" s="280" t="s">
        <v>1062</v>
      </c>
      <c r="B48" s="235"/>
      <c r="C48" s="235"/>
      <c r="D48" s="235"/>
    </row>
    <row r="49" spans="1:4" x14ac:dyDescent="0.25">
      <c r="A49" s="371" t="s">
        <v>300</v>
      </c>
      <c r="B49" s="332">
        <v>347456</v>
      </c>
      <c r="C49" s="332">
        <v>364589</v>
      </c>
      <c r="D49" s="332">
        <v>380967</v>
      </c>
    </row>
    <row r="50" spans="1:4" x14ac:dyDescent="0.25">
      <c r="A50" s="371" t="s">
        <v>293</v>
      </c>
      <c r="B50" s="332">
        <v>42504</v>
      </c>
      <c r="C50" s="332">
        <v>49805</v>
      </c>
      <c r="D50" s="332">
        <v>42575</v>
      </c>
    </row>
    <row r="51" spans="1:4" x14ac:dyDescent="0.25">
      <c r="A51" s="371" t="s">
        <v>294</v>
      </c>
      <c r="B51" s="332">
        <v>8152</v>
      </c>
      <c r="C51" s="332">
        <v>5270</v>
      </c>
      <c r="D51" s="332">
        <v>5043</v>
      </c>
    </row>
    <row r="52" spans="1:4" x14ac:dyDescent="0.25">
      <c r="A52" s="371" t="s">
        <v>295</v>
      </c>
      <c r="B52" s="332">
        <v>0</v>
      </c>
      <c r="C52" s="332">
        <v>0</v>
      </c>
      <c r="D52" s="332">
        <v>0</v>
      </c>
    </row>
    <row r="53" spans="1:4" x14ac:dyDescent="0.25">
      <c r="A53" s="369" t="s">
        <v>260</v>
      </c>
      <c r="B53" s="338">
        <f>SUM(B49:B52)</f>
        <v>398112</v>
      </c>
      <c r="C53" s="338">
        <f t="shared" ref="C53:D53" si="0">SUM(C49:C52)</f>
        <v>419664</v>
      </c>
      <c r="D53" s="338">
        <f t="shared" si="0"/>
        <v>428585</v>
      </c>
    </row>
    <row r="54" spans="1:4" x14ac:dyDescent="0.25">
      <c r="A54" s="379" t="s">
        <v>1063</v>
      </c>
      <c r="B54" s="332" t="s">
        <v>261</v>
      </c>
      <c r="C54" s="332"/>
      <c r="D54" s="332"/>
    </row>
    <row r="55" spans="1:4" x14ac:dyDescent="0.25">
      <c r="A55" s="379" t="s">
        <v>300</v>
      </c>
      <c r="B55" s="332">
        <v>68201</v>
      </c>
      <c r="C55" s="332">
        <v>72851</v>
      </c>
      <c r="D55" s="332">
        <v>74340</v>
      </c>
    </row>
    <row r="56" spans="1:4" x14ac:dyDescent="0.25">
      <c r="A56" s="379" t="s">
        <v>293</v>
      </c>
      <c r="B56" s="332">
        <v>508</v>
      </c>
      <c r="C56" s="332">
        <v>500</v>
      </c>
      <c r="D56" s="332">
        <v>500</v>
      </c>
    </row>
    <row r="57" spans="1:4" x14ac:dyDescent="0.25">
      <c r="A57" s="379" t="s">
        <v>294</v>
      </c>
      <c r="B57" s="332">
        <v>10116</v>
      </c>
      <c r="C57" s="332">
        <v>11180</v>
      </c>
      <c r="D57" s="332">
        <v>10125</v>
      </c>
    </row>
    <row r="58" spans="1:4" x14ac:dyDescent="0.25">
      <c r="A58" s="379" t="s">
        <v>295</v>
      </c>
      <c r="B58" s="332">
        <v>0</v>
      </c>
      <c r="C58" s="332"/>
      <c r="D58" s="332">
        <v>500</v>
      </c>
    </row>
    <row r="59" spans="1:4" x14ac:dyDescent="0.25">
      <c r="A59" s="369" t="s">
        <v>260</v>
      </c>
      <c r="B59" s="338">
        <f>SUM(B55:B58)</f>
        <v>78825</v>
      </c>
      <c r="C59" s="338">
        <f t="shared" ref="C59:D59" si="1">SUM(C55:C58)</f>
        <v>84531</v>
      </c>
      <c r="D59" s="338">
        <f t="shared" si="1"/>
        <v>85465</v>
      </c>
    </row>
    <row r="60" spans="1:4" x14ac:dyDescent="0.25">
      <c r="A60" s="67"/>
      <c r="B60" s="235"/>
      <c r="C60" s="235"/>
      <c r="D60" s="235"/>
    </row>
    <row r="61" spans="1:4" ht="16.2" thickBot="1" x14ac:dyDescent="0.3">
      <c r="A61" s="369" t="s">
        <v>301</v>
      </c>
      <c r="B61" s="372">
        <f>B11+B17+B23+B29+B35+B41+B47+B53+B59</f>
        <v>1314324</v>
      </c>
      <c r="C61" s="372">
        <f t="shared" ref="C61:D61" si="2">C11+C17+C23+C29+C35+C41+C47+C53+C59</f>
        <v>1390470</v>
      </c>
      <c r="D61" s="372">
        <f t="shared" si="2"/>
        <v>1481822</v>
      </c>
    </row>
    <row r="62" spans="1:4" ht="16.2" thickTop="1" x14ac:dyDescent="0.25">
      <c r="A62" s="373"/>
      <c r="B62" s="235"/>
      <c r="C62" s="235"/>
      <c r="D62" s="235"/>
    </row>
    <row r="63" spans="1:4" x14ac:dyDescent="0.25">
      <c r="A63" s="178" t="s">
        <v>299</v>
      </c>
      <c r="B63" s="375" t="str">
        <f>CONCATENATE("",general!D44,"b")</f>
        <v>8b</v>
      </c>
      <c r="C63" s="235"/>
      <c r="D63" s="235"/>
    </row>
    <row r="64" spans="1:4" x14ac:dyDescent="0.25">
      <c r="A64" s="760"/>
      <c r="B64" s="375"/>
      <c r="C64" s="235"/>
      <c r="D64" s="235"/>
    </row>
    <row r="65" spans="1:4" x14ac:dyDescent="0.25">
      <c r="A65" s="760"/>
      <c r="B65" s="375"/>
      <c r="C65" s="235"/>
      <c r="D65" s="235"/>
    </row>
    <row r="66" spans="1:4" x14ac:dyDescent="0.25">
      <c r="A66" s="375" t="str">
        <f>A1</f>
        <v>City of Bonner Springs</v>
      </c>
      <c r="B66" s="374"/>
      <c r="C66" s="376"/>
      <c r="D66" s="374">
        <f>D1</f>
        <v>2013</v>
      </c>
    </row>
    <row r="67" spans="1:4" x14ac:dyDescent="0.25">
      <c r="A67" s="374"/>
      <c r="B67" s="374"/>
      <c r="C67" s="374"/>
      <c r="D67" s="376"/>
    </row>
    <row r="68" spans="1:4" x14ac:dyDescent="0.25">
      <c r="A68" s="600" t="s">
        <v>283</v>
      </c>
      <c r="B68" s="561" t="str">
        <f t="shared" ref="B68:D69" si="3">B3</f>
        <v xml:space="preserve">Prior Year </v>
      </c>
      <c r="C68" s="561" t="str">
        <f t="shared" si="3"/>
        <v>Current Year</v>
      </c>
      <c r="D68" s="561" t="str">
        <f t="shared" si="3"/>
        <v xml:space="preserve">Proposed Budget </v>
      </c>
    </row>
    <row r="69" spans="1:4" x14ac:dyDescent="0.25">
      <c r="A69" s="601" t="s">
        <v>396</v>
      </c>
      <c r="B69" s="602" t="str">
        <f t="shared" si="3"/>
        <v>Actual for 2011</v>
      </c>
      <c r="C69" s="602" t="str">
        <f t="shared" si="3"/>
        <v>Estimate for 2012</v>
      </c>
      <c r="D69" s="602" t="str">
        <f t="shared" si="3"/>
        <v>Year for 2013</v>
      </c>
    </row>
    <row r="70" spans="1:4" x14ac:dyDescent="0.25">
      <c r="A70" s="377" t="s">
        <v>292</v>
      </c>
      <c r="B70" s="378"/>
      <c r="C70" s="378"/>
      <c r="D70" s="378"/>
    </row>
    <row r="71" spans="1:4" x14ac:dyDescent="0.25">
      <c r="A71" s="379" t="s">
        <v>1226</v>
      </c>
      <c r="B71" s="380"/>
      <c r="C71" s="380"/>
      <c r="D71" s="380"/>
    </row>
    <row r="72" spans="1:4" x14ac:dyDescent="0.25">
      <c r="A72" s="379" t="s">
        <v>1072</v>
      </c>
      <c r="B72" s="380">
        <v>52610</v>
      </c>
      <c r="C72" s="380">
        <v>55205</v>
      </c>
      <c r="D72" s="380">
        <v>58214</v>
      </c>
    </row>
    <row r="73" spans="1:4" x14ac:dyDescent="0.25">
      <c r="A73" s="379" t="s">
        <v>1073</v>
      </c>
      <c r="B73" s="380">
        <v>4893</v>
      </c>
      <c r="C73" s="380">
        <v>7823</v>
      </c>
      <c r="D73" s="380">
        <v>8145</v>
      </c>
    </row>
    <row r="74" spans="1:4" x14ac:dyDescent="0.25">
      <c r="A74" s="379" t="s">
        <v>1074</v>
      </c>
      <c r="B74" s="380">
        <v>2066</v>
      </c>
      <c r="C74" s="380">
        <v>2000</v>
      </c>
      <c r="D74" s="380">
        <v>2100</v>
      </c>
    </row>
    <row r="75" spans="1:4" x14ac:dyDescent="0.25">
      <c r="A75" s="379" t="s">
        <v>1075</v>
      </c>
      <c r="B75" s="380">
        <v>0</v>
      </c>
      <c r="C75" s="380">
        <v>0</v>
      </c>
      <c r="D75" s="380">
        <v>0</v>
      </c>
    </row>
    <row r="76" spans="1:4" x14ac:dyDescent="0.25">
      <c r="A76" s="377" t="s">
        <v>260</v>
      </c>
      <c r="B76" s="381">
        <f>SUM(B72:B75)</f>
        <v>59569</v>
      </c>
      <c r="C76" s="381">
        <f t="shared" ref="C76:D76" si="4">SUM(C72:C75)</f>
        <v>65028</v>
      </c>
      <c r="D76" s="381">
        <f t="shared" si="4"/>
        <v>68459</v>
      </c>
    </row>
    <row r="77" spans="1:4" x14ac:dyDescent="0.25">
      <c r="A77" s="382" t="s">
        <v>1064</v>
      </c>
      <c r="B77" s="375"/>
      <c r="C77" s="375"/>
      <c r="D77" s="375"/>
    </row>
    <row r="78" spans="1:4" x14ac:dyDescent="0.25">
      <c r="A78" s="379" t="s">
        <v>300</v>
      </c>
      <c r="B78" s="380">
        <v>79881</v>
      </c>
      <c r="C78" s="380">
        <v>90101</v>
      </c>
      <c r="D78" s="380">
        <v>91315</v>
      </c>
    </row>
    <row r="79" spans="1:4" x14ac:dyDescent="0.25">
      <c r="A79" s="379" t="s">
        <v>293</v>
      </c>
      <c r="B79" s="380">
        <v>67969</v>
      </c>
      <c r="C79" s="380">
        <v>78066</v>
      </c>
      <c r="D79" s="380">
        <v>86110</v>
      </c>
    </row>
    <row r="80" spans="1:4" x14ac:dyDescent="0.25">
      <c r="A80" s="379" t="s">
        <v>294</v>
      </c>
      <c r="B80" s="380">
        <v>28531</v>
      </c>
      <c r="C80" s="380">
        <v>28450</v>
      </c>
      <c r="D80" s="380">
        <v>29550</v>
      </c>
    </row>
    <row r="81" spans="1:4" x14ac:dyDescent="0.25">
      <c r="A81" s="379" t="s">
        <v>295</v>
      </c>
      <c r="B81" s="380">
        <v>8346</v>
      </c>
      <c r="C81" s="380">
        <v>5250</v>
      </c>
      <c r="D81" s="380">
        <v>3000</v>
      </c>
    </row>
    <row r="82" spans="1:4" x14ac:dyDescent="0.25">
      <c r="A82" s="377" t="s">
        <v>260</v>
      </c>
      <c r="B82" s="381">
        <f>SUM(B78:B81)</f>
        <v>184727</v>
      </c>
      <c r="C82" s="381">
        <f>SUM(C78:C81)</f>
        <v>201867</v>
      </c>
      <c r="D82" s="381">
        <f>SUM(D78:D81)</f>
        <v>209975</v>
      </c>
    </row>
    <row r="83" spans="1:4" x14ac:dyDescent="0.25">
      <c r="A83" s="382" t="s">
        <v>1065</v>
      </c>
      <c r="B83" s="375"/>
      <c r="C83" s="375"/>
      <c r="D83" s="375"/>
    </row>
    <row r="84" spans="1:4" x14ac:dyDescent="0.25">
      <c r="A84" s="379" t="s">
        <v>300</v>
      </c>
      <c r="B84" s="380">
        <v>99146</v>
      </c>
      <c r="C84" s="380">
        <v>101745</v>
      </c>
      <c r="D84" s="380">
        <v>109561</v>
      </c>
    </row>
    <row r="85" spans="1:4" x14ac:dyDescent="0.25">
      <c r="A85" s="379" t="s">
        <v>293</v>
      </c>
      <c r="B85" s="380">
        <v>78105</v>
      </c>
      <c r="C85" s="380">
        <v>85580</v>
      </c>
      <c r="D85" s="380">
        <v>84550</v>
      </c>
    </row>
    <row r="86" spans="1:4" x14ac:dyDescent="0.25">
      <c r="A86" s="379" t="s">
        <v>294</v>
      </c>
      <c r="B86" s="380">
        <v>352</v>
      </c>
      <c r="C86" s="380">
        <v>0</v>
      </c>
      <c r="D86" s="380">
        <v>0</v>
      </c>
    </row>
    <row r="87" spans="1:4" x14ac:dyDescent="0.25">
      <c r="A87" s="379" t="s">
        <v>295</v>
      </c>
      <c r="B87" s="380">
        <v>1461</v>
      </c>
      <c r="C87" s="380">
        <v>500</v>
      </c>
      <c r="D87" s="380">
        <v>0</v>
      </c>
    </row>
    <row r="88" spans="1:4" x14ac:dyDescent="0.25">
      <c r="A88" s="377" t="s">
        <v>260</v>
      </c>
      <c r="B88" s="381">
        <f>SUM(B84:B87)</f>
        <v>179064</v>
      </c>
      <c r="C88" s="381">
        <f>SUM(C84:C87)</f>
        <v>187825</v>
      </c>
      <c r="D88" s="381">
        <f>SUM(D84:D87)</f>
        <v>194111</v>
      </c>
    </row>
    <row r="89" spans="1:4" x14ac:dyDescent="0.25">
      <c r="A89" s="382" t="s">
        <v>1070</v>
      </c>
      <c r="B89" s="375"/>
      <c r="C89" s="375"/>
      <c r="D89" s="375"/>
    </row>
    <row r="90" spans="1:4" x14ac:dyDescent="0.25">
      <c r="A90" s="379" t="s">
        <v>300</v>
      </c>
      <c r="B90" s="380">
        <v>382256</v>
      </c>
      <c r="C90" s="380">
        <v>373589</v>
      </c>
      <c r="D90" s="380">
        <v>405281</v>
      </c>
    </row>
    <row r="91" spans="1:4" x14ac:dyDescent="0.25">
      <c r="A91" s="379" t="s">
        <v>293</v>
      </c>
      <c r="B91" s="380">
        <v>78166</v>
      </c>
      <c r="C91" s="380">
        <v>105387</v>
      </c>
      <c r="D91" s="380">
        <v>103875</v>
      </c>
    </row>
    <row r="92" spans="1:4" x14ac:dyDescent="0.25">
      <c r="A92" s="379" t="s">
        <v>294</v>
      </c>
      <c r="B92" s="380">
        <v>25170</v>
      </c>
      <c r="C92" s="380">
        <v>34770</v>
      </c>
      <c r="D92" s="380">
        <v>38600</v>
      </c>
    </row>
    <row r="93" spans="1:4" x14ac:dyDescent="0.25">
      <c r="A93" s="379" t="s">
        <v>295</v>
      </c>
      <c r="B93" s="380">
        <v>422</v>
      </c>
      <c r="C93" s="380">
        <v>6000</v>
      </c>
      <c r="D93" s="380">
        <v>8430</v>
      </c>
    </row>
    <row r="94" spans="1:4" x14ac:dyDescent="0.25">
      <c r="A94" s="377" t="s">
        <v>260</v>
      </c>
      <c r="B94" s="381">
        <f>SUM(B90:B93)</f>
        <v>486014</v>
      </c>
      <c r="C94" s="381">
        <f>SUM(C90:C93)</f>
        <v>519746</v>
      </c>
      <c r="D94" s="381">
        <f>SUM(D90:D93)</f>
        <v>556186</v>
      </c>
    </row>
    <row r="95" spans="1:4" x14ac:dyDescent="0.25">
      <c r="A95" s="382" t="s">
        <v>1071</v>
      </c>
      <c r="B95" s="375"/>
      <c r="C95" s="375"/>
      <c r="D95" s="375"/>
    </row>
    <row r="96" spans="1:4" x14ac:dyDescent="0.25">
      <c r="A96" s="379" t="s">
        <v>300</v>
      </c>
      <c r="B96" s="380">
        <v>93122</v>
      </c>
      <c r="C96" s="380">
        <v>98478</v>
      </c>
      <c r="D96" s="380">
        <v>103635</v>
      </c>
    </row>
    <row r="97" spans="1:4" x14ac:dyDescent="0.25">
      <c r="A97" s="379" t="s">
        <v>293</v>
      </c>
      <c r="B97" s="380">
        <v>6279</v>
      </c>
      <c r="C97" s="380">
        <v>9825</v>
      </c>
      <c r="D97" s="380">
        <v>10615</v>
      </c>
    </row>
    <row r="98" spans="1:4" x14ac:dyDescent="0.25">
      <c r="A98" s="379" t="s">
        <v>294</v>
      </c>
      <c r="B98" s="380">
        <v>2505</v>
      </c>
      <c r="C98" s="380">
        <v>2300</v>
      </c>
      <c r="D98" s="380">
        <v>2300</v>
      </c>
    </row>
    <row r="99" spans="1:4" x14ac:dyDescent="0.25">
      <c r="A99" s="379" t="s">
        <v>295</v>
      </c>
      <c r="B99" s="380">
        <v>0</v>
      </c>
      <c r="C99" s="380">
        <v>0</v>
      </c>
      <c r="D99" s="380">
        <v>0</v>
      </c>
    </row>
    <row r="100" spans="1:4" x14ac:dyDescent="0.25">
      <c r="A100" s="377" t="s">
        <v>260</v>
      </c>
      <c r="B100" s="381">
        <f>SUM(B96:B99)</f>
        <v>101906</v>
      </c>
      <c r="C100" s="381">
        <f>SUM(C96:C99)</f>
        <v>110603</v>
      </c>
      <c r="D100" s="381">
        <f>SUM(D96:D99)</f>
        <v>116550</v>
      </c>
    </row>
    <row r="101" spans="1:4" x14ac:dyDescent="0.25">
      <c r="A101" s="382" t="s">
        <v>1066</v>
      </c>
      <c r="B101" s="375"/>
      <c r="C101" s="375"/>
      <c r="D101" s="375"/>
    </row>
    <row r="102" spans="1:4" x14ac:dyDescent="0.25">
      <c r="A102" s="379" t="s">
        <v>300</v>
      </c>
      <c r="B102" s="380">
        <v>1865173</v>
      </c>
      <c r="C102" s="380">
        <v>2040534</v>
      </c>
      <c r="D102" s="380">
        <v>2149333</v>
      </c>
    </row>
    <row r="103" spans="1:4" x14ac:dyDescent="0.25">
      <c r="A103" s="379" t="s">
        <v>293</v>
      </c>
      <c r="B103" s="380">
        <v>245104</v>
      </c>
      <c r="C103" s="380">
        <v>192300</v>
      </c>
      <c r="D103" s="380">
        <v>221755</v>
      </c>
    </row>
    <row r="104" spans="1:4" x14ac:dyDescent="0.25">
      <c r="A104" s="379" t="s">
        <v>294</v>
      </c>
      <c r="B104" s="380">
        <v>124608</v>
      </c>
      <c r="C104" s="380">
        <v>105000</v>
      </c>
      <c r="D104" s="380">
        <v>108000</v>
      </c>
    </row>
    <row r="105" spans="1:4" x14ac:dyDescent="0.25">
      <c r="A105" s="379" t="s">
        <v>295</v>
      </c>
      <c r="B105" s="380">
        <v>606</v>
      </c>
      <c r="C105" s="380">
        <v>0</v>
      </c>
      <c r="D105" s="380">
        <v>0</v>
      </c>
    </row>
    <row r="106" spans="1:4" x14ac:dyDescent="0.25">
      <c r="A106" s="377" t="s">
        <v>260</v>
      </c>
      <c r="B106" s="381">
        <f>SUM(B102:B105)</f>
        <v>2235491</v>
      </c>
      <c r="C106" s="381">
        <f>SUM(C102:C105)</f>
        <v>2337834</v>
      </c>
      <c r="D106" s="381">
        <f>SUM(D102:D105)</f>
        <v>2479088</v>
      </c>
    </row>
    <row r="107" spans="1:4" x14ac:dyDescent="0.25">
      <c r="A107" s="382" t="s">
        <v>1067</v>
      </c>
      <c r="B107" s="375"/>
      <c r="C107" s="375"/>
      <c r="D107" s="375"/>
    </row>
    <row r="108" spans="1:4" x14ac:dyDescent="0.25">
      <c r="A108" s="379" t="s">
        <v>300</v>
      </c>
      <c r="B108" s="380">
        <v>76761</v>
      </c>
      <c r="C108" s="380">
        <v>79195</v>
      </c>
      <c r="D108" s="380">
        <v>82881</v>
      </c>
    </row>
    <row r="109" spans="1:4" x14ac:dyDescent="0.25">
      <c r="A109" s="379" t="s">
        <v>293</v>
      </c>
      <c r="B109" s="380">
        <v>6444</v>
      </c>
      <c r="C109" s="380">
        <v>6113</v>
      </c>
      <c r="D109" s="380">
        <v>5925</v>
      </c>
    </row>
    <row r="110" spans="1:4" x14ac:dyDescent="0.25">
      <c r="A110" s="379" t="s">
        <v>294</v>
      </c>
      <c r="B110" s="380">
        <v>925</v>
      </c>
      <c r="C110" s="380">
        <v>375</v>
      </c>
      <c r="D110" s="380">
        <v>475</v>
      </c>
    </row>
    <row r="111" spans="1:4" x14ac:dyDescent="0.25">
      <c r="A111" s="379" t="s">
        <v>295</v>
      </c>
      <c r="B111" s="380">
        <v>0</v>
      </c>
      <c r="C111" s="380">
        <v>0</v>
      </c>
      <c r="D111" s="380">
        <v>0</v>
      </c>
    </row>
    <row r="112" spans="1:4" x14ac:dyDescent="0.25">
      <c r="A112" s="377" t="s">
        <v>260</v>
      </c>
      <c r="B112" s="381">
        <f>SUM(B108:B111)</f>
        <v>84130</v>
      </c>
      <c r="C112" s="381">
        <f t="shared" ref="C112:D112" si="5">SUM(C108:C111)</f>
        <v>85683</v>
      </c>
      <c r="D112" s="381">
        <f t="shared" si="5"/>
        <v>89281</v>
      </c>
    </row>
    <row r="113" spans="1:4" x14ac:dyDescent="0.25">
      <c r="A113" s="382" t="s">
        <v>1068</v>
      </c>
      <c r="B113" s="380"/>
      <c r="C113" s="380"/>
      <c r="D113" s="380"/>
    </row>
    <row r="114" spans="1:4" x14ac:dyDescent="0.25">
      <c r="A114" s="379" t="s">
        <v>300</v>
      </c>
      <c r="B114" s="380">
        <v>500166</v>
      </c>
      <c r="C114" s="380">
        <v>533659</v>
      </c>
      <c r="D114" s="380">
        <v>566628</v>
      </c>
    </row>
    <row r="115" spans="1:4" x14ac:dyDescent="0.25">
      <c r="A115" s="379" t="s">
        <v>293</v>
      </c>
      <c r="B115" s="380">
        <v>100342</v>
      </c>
      <c r="C115" s="380">
        <v>89819</v>
      </c>
      <c r="D115" s="380">
        <v>86152</v>
      </c>
    </row>
    <row r="116" spans="1:4" x14ac:dyDescent="0.25">
      <c r="A116" s="379" t="s">
        <v>294</v>
      </c>
      <c r="B116" s="380">
        <v>130029</v>
      </c>
      <c r="C116" s="380">
        <v>156500</v>
      </c>
      <c r="D116" s="380">
        <v>155000</v>
      </c>
    </row>
    <row r="117" spans="1:4" x14ac:dyDescent="0.25">
      <c r="A117" s="379" t="s">
        <v>295</v>
      </c>
      <c r="B117" s="380">
        <v>5150</v>
      </c>
      <c r="C117" s="380">
        <v>32000</v>
      </c>
      <c r="D117" s="380">
        <v>110000</v>
      </c>
    </row>
    <row r="118" spans="1:4" x14ac:dyDescent="0.25">
      <c r="A118" s="377" t="s">
        <v>260</v>
      </c>
      <c r="B118" s="381">
        <f>SUM(B114:B117)</f>
        <v>735687</v>
      </c>
      <c r="C118" s="381">
        <f t="shared" ref="C118:D118" si="6">SUM(C114:C117)</f>
        <v>811978</v>
      </c>
      <c r="D118" s="381">
        <f t="shared" si="6"/>
        <v>917780</v>
      </c>
    </row>
    <row r="119" spans="1:4" x14ac:dyDescent="0.25">
      <c r="A119" s="382" t="s">
        <v>1069</v>
      </c>
      <c r="B119" s="380"/>
      <c r="C119" s="380"/>
      <c r="D119" s="380"/>
    </row>
    <row r="120" spans="1:4" x14ac:dyDescent="0.25">
      <c r="A120" s="379" t="s">
        <v>1076</v>
      </c>
      <c r="B120" s="380">
        <v>0</v>
      </c>
      <c r="C120" s="380">
        <v>264712</v>
      </c>
      <c r="D120" s="380">
        <v>359725</v>
      </c>
    </row>
    <row r="121" spans="1:4" x14ac:dyDescent="0.25">
      <c r="A121" s="379" t="s">
        <v>1077</v>
      </c>
      <c r="B121" s="380">
        <v>532384</v>
      </c>
      <c r="C121" s="380">
        <v>828185</v>
      </c>
      <c r="D121" s="380">
        <v>791290</v>
      </c>
    </row>
    <row r="122" spans="1:4" x14ac:dyDescent="0.25">
      <c r="A122" s="379"/>
      <c r="B122" s="380"/>
      <c r="C122" s="380"/>
      <c r="D122" s="380"/>
    </row>
    <row r="123" spans="1:4" x14ac:dyDescent="0.25">
      <c r="A123" s="377" t="s">
        <v>260</v>
      </c>
      <c r="B123" s="381">
        <f>SUM(B119:B121)</f>
        <v>532384</v>
      </c>
      <c r="C123" s="381">
        <f t="shared" ref="C123:D123" si="7">SUM(C119:C121)</f>
        <v>1092897</v>
      </c>
      <c r="D123" s="381">
        <f t="shared" si="7"/>
        <v>1151015</v>
      </c>
    </row>
    <row r="124" spans="1:4" x14ac:dyDescent="0.25">
      <c r="A124" s="383" t="s">
        <v>397</v>
      </c>
      <c r="B124" s="384">
        <f>B76+B82+B88+B94+B100+B106+B112+B118+B123</f>
        <v>4598972</v>
      </c>
      <c r="C124" s="384">
        <f t="shared" ref="C124:D124" si="8">C76+C82+C88+C94+C100+C106+C112+C118+C123</f>
        <v>5413461</v>
      </c>
      <c r="D124" s="384">
        <f t="shared" si="8"/>
        <v>5782445</v>
      </c>
    </row>
    <row r="125" spans="1:4" x14ac:dyDescent="0.25">
      <c r="A125" s="377" t="s">
        <v>398</v>
      </c>
      <c r="B125" s="381">
        <f>B61</f>
        <v>1314324</v>
      </c>
      <c r="C125" s="381">
        <f>C61</f>
        <v>1390470</v>
      </c>
      <c r="D125" s="381">
        <f>D61</f>
        <v>1481822</v>
      </c>
    </row>
    <row r="126" spans="1:4" ht="16.2" thickBot="1" x14ac:dyDescent="0.3">
      <c r="A126" s="377" t="s">
        <v>399</v>
      </c>
      <c r="B126" s="386">
        <f>SUM(B124:B125)</f>
        <v>5913296</v>
      </c>
      <c r="C126" s="386">
        <f>SUM(C124:C125)</f>
        <v>6803931</v>
      </c>
      <c r="D126" s="386">
        <f>SUM(D124:D125)</f>
        <v>7264267</v>
      </c>
    </row>
    <row r="127" spans="1:4" ht="16.2" thickTop="1" x14ac:dyDescent="0.25">
      <c r="A127" s="385" t="s">
        <v>220</v>
      </c>
      <c r="B127" s="375"/>
      <c r="C127" s="375"/>
      <c r="D127" s="375"/>
    </row>
    <row r="128" spans="1:4" x14ac:dyDescent="0.25">
      <c r="A128" s="178" t="s">
        <v>299</v>
      </c>
      <c r="B128" s="375" t="str">
        <f>CONCATENATE("",general!D44,"c")</f>
        <v>8c</v>
      </c>
      <c r="C128" s="375"/>
      <c r="D128" s="375"/>
    </row>
  </sheetData>
  <phoneticPr fontId="0" type="noConversion"/>
  <pageMargins left="0.5" right="0.5" top="1" bottom="0.5" header="0.5" footer="0.5"/>
  <pageSetup scale="64" fitToHeight="2" orientation="portrait" blackAndWhite="1" horizontalDpi="300" verticalDpi="30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1"/>
  <sheetViews>
    <sheetView topLeftCell="A36" zoomScaleNormal="100" workbookViewId="0">
      <selection activeCell="C47" sqref="C47:D47"/>
    </sheetView>
  </sheetViews>
  <sheetFormatPr defaultColWidth="8.9140625" defaultRowHeight="15.6" x14ac:dyDescent="0.25"/>
  <cols>
    <col min="1" max="1" width="2.4140625" style="63" customWidth="1"/>
    <col min="2" max="2" width="31.08203125" style="63" customWidth="1"/>
    <col min="3" max="4" width="15.75" style="63" customWidth="1"/>
    <col min="5" max="5" width="16.25" style="63" customWidth="1"/>
    <col min="6" max="6" width="8.08203125" style="63" customWidth="1"/>
    <col min="7" max="7" width="10.25" style="63" customWidth="1"/>
    <col min="8" max="8" width="8.9140625" style="63"/>
    <col min="9" max="9" width="5" style="63" customWidth="1"/>
    <col min="10" max="10" width="10" style="63" customWidth="1"/>
    <col min="11" max="16384" width="8.9140625" style="63"/>
  </cols>
  <sheetData>
    <row r="1" spans="2:5" x14ac:dyDescent="0.25">
      <c r="B1" s="235" t="str">
        <f>inputPrYr!D3</f>
        <v>City of Bonner Springs</v>
      </c>
      <c r="C1" s="67"/>
      <c r="D1" s="67"/>
      <c r="E1" s="324">
        <f>inputPrYr!$C$10</f>
        <v>2013</v>
      </c>
    </row>
    <row r="2" spans="2:5" x14ac:dyDescent="0.25">
      <c r="B2" s="67"/>
      <c r="C2" s="67"/>
      <c r="D2" s="67"/>
      <c r="E2" s="209"/>
    </row>
    <row r="3" spans="2:5" x14ac:dyDescent="0.25">
      <c r="B3" s="484" t="s">
        <v>5</v>
      </c>
      <c r="C3" s="242"/>
      <c r="D3" s="242"/>
      <c r="E3" s="351"/>
    </row>
    <row r="4" spans="2:5" x14ac:dyDescent="0.25">
      <c r="B4" s="74" t="s">
        <v>283</v>
      </c>
      <c r="C4" s="598" t="s">
        <v>810</v>
      </c>
      <c r="D4" s="599" t="s">
        <v>811</v>
      </c>
      <c r="E4" s="185" t="s">
        <v>812</v>
      </c>
    </row>
    <row r="5" spans="2:5" x14ac:dyDescent="0.25">
      <c r="B5" s="545" t="str">
        <f>inputPrYr!B23</f>
        <v>Debt Service</v>
      </c>
      <c r="C5" s="427" t="str">
        <f>CONCATENATE("Actual for ",E1-2,"")</f>
        <v>Actual for 2011</v>
      </c>
      <c r="D5" s="427" t="str">
        <f>CONCATENATE("Estimate for ",E1-1,"")</f>
        <v>Estimate for 2012</v>
      </c>
      <c r="E5" s="251" t="str">
        <f>CONCATENATE("Year for ",E1,"")</f>
        <v>Year for 2013</v>
      </c>
    </row>
    <row r="6" spans="2:5" x14ac:dyDescent="0.25">
      <c r="B6" s="148" t="s">
        <v>56</v>
      </c>
      <c r="C6" s="426">
        <v>233380</v>
      </c>
      <c r="D6" s="483">
        <f>C44</f>
        <v>221916</v>
      </c>
      <c r="E6" s="352">
        <f>D44</f>
        <v>150059</v>
      </c>
    </row>
    <row r="7" spans="2:5" x14ac:dyDescent="0.25">
      <c r="B7" s="330" t="s">
        <v>58</v>
      </c>
      <c r="C7" s="428"/>
      <c r="D7" s="483"/>
      <c r="E7" s="352"/>
    </row>
    <row r="8" spans="2:5" x14ac:dyDescent="0.25">
      <c r="B8" s="148" t="s">
        <v>284</v>
      </c>
      <c r="C8" s="426">
        <v>400323</v>
      </c>
      <c r="D8" s="428">
        <v>439527</v>
      </c>
      <c r="E8" s="347" t="s">
        <v>273</v>
      </c>
    </row>
    <row r="9" spans="2:5" x14ac:dyDescent="0.25">
      <c r="B9" s="148" t="s">
        <v>285</v>
      </c>
      <c r="C9" s="426">
        <v>18933</v>
      </c>
      <c r="D9" s="426">
        <v>0</v>
      </c>
      <c r="E9" s="353">
        <v>0</v>
      </c>
    </row>
    <row r="10" spans="2:5" x14ac:dyDescent="0.25">
      <c r="B10" s="148" t="s">
        <v>286</v>
      </c>
      <c r="C10" s="426">
        <v>57557</v>
      </c>
      <c r="D10" s="426">
        <v>49203</v>
      </c>
      <c r="E10" s="354">
        <f>mvalloc!D9</f>
        <v>53794</v>
      </c>
    </row>
    <row r="11" spans="2:5" x14ac:dyDescent="0.25">
      <c r="B11" s="148" t="s">
        <v>287</v>
      </c>
      <c r="C11" s="426">
        <v>455</v>
      </c>
      <c r="D11" s="426">
        <v>523</v>
      </c>
      <c r="E11" s="354">
        <f>mvalloc!E9</f>
        <v>363</v>
      </c>
    </row>
    <row r="12" spans="2:5" x14ac:dyDescent="0.25">
      <c r="B12" s="355" t="s">
        <v>37</v>
      </c>
      <c r="C12" s="426">
        <v>190</v>
      </c>
      <c r="D12" s="426">
        <v>628</v>
      </c>
      <c r="E12" s="354">
        <f>mvalloc!F9</f>
        <v>526</v>
      </c>
    </row>
    <row r="13" spans="2:5" x14ac:dyDescent="0.25">
      <c r="B13" s="783" t="s">
        <v>1045</v>
      </c>
      <c r="C13" s="426">
        <v>9961</v>
      </c>
      <c r="D13" s="426">
        <v>12322</v>
      </c>
      <c r="E13" s="353">
        <v>14631</v>
      </c>
    </row>
    <row r="14" spans="2:5" x14ac:dyDescent="0.25">
      <c r="B14" s="783" t="s">
        <v>1101</v>
      </c>
      <c r="C14" s="426">
        <v>0</v>
      </c>
      <c r="D14" s="426">
        <v>-31210</v>
      </c>
      <c r="E14" s="353">
        <v>-28758</v>
      </c>
    </row>
    <row r="15" spans="2:5" x14ac:dyDescent="0.25">
      <c r="B15" s="783" t="s">
        <v>1090</v>
      </c>
      <c r="C15" s="426">
        <v>148441</v>
      </c>
      <c r="D15" s="426">
        <v>125000</v>
      </c>
      <c r="E15" s="353">
        <v>129403</v>
      </c>
    </row>
    <row r="16" spans="2:5" x14ac:dyDescent="0.25">
      <c r="B16" s="784" t="s">
        <v>333</v>
      </c>
      <c r="C16" s="426">
        <v>2433</v>
      </c>
      <c r="D16" s="426">
        <v>2000</v>
      </c>
      <c r="E16" s="353">
        <v>2000</v>
      </c>
    </row>
    <row r="17" spans="2:5" x14ac:dyDescent="0.25">
      <c r="B17" s="784" t="s">
        <v>1091</v>
      </c>
      <c r="C17" s="426">
        <v>744</v>
      </c>
      <c r="D17" s="426">
        <v>0</v>
      </c>
      <c r="E17" s="353">
        <v>0</v>
      </c>
    </row>
    <row r="18" spans="2:5" x14ac:dyDescent="0.25">
      <c r="B18" s="784" t="s">
        <v>1046</v>
      </c>
      <c r="C18" s="426">
        <v>8856</v>
      </c>
      <c r="D18" s="426">
        <v>0</v>
      </c>
      <c r="E18" s="353">
        <v>0</v>
      </c>
    </row>
    <row r="19" spans="2:5" x14ac:dyDescent="0.25">
      <c r="B19" s="784" t="s">
        <v>1092</v>
      </c>
      <c r="C19" s="426">
        <v>544466</v>
      </c>
      <c r="D19" s="426">
        <v>543123</v>
      </c>
      <c r="E19" s="353">
        <v>537319</v>
      </c>
    </row>
    <row r="20" spans="2:5" x14ac:dyDescent="0.25">
      <c r="B20" s="784" t="s">
        <v>1093</v>
      </c>
      <c r="C20" s="426">
        <v>318827</v>
      </c>
      <c r="D20" s="426">
        <v>319032</v>
      </c>
      <c r="E20" s="353">
        <v>342001</v>
      </c>
    </row>
    <row r="21" spans="2:5" x14ac:dyDescent="0.25">
      <c r="B21" s="356" t="s">
        <v>1094</v>
      </c>
      <c r="C21" s="426">
        <v>428609</v>
      </c>
      <c r="D21" s="426">
        <v>429840</v>
      </c>
      <c r="E21" s="353">
        <v>436530</v>
      </c>
    </row>
    <row r="22" spans="2:5" x14ac:dyDescent="0.25">
      <c r="B22" s="356" t="s">
        <v>1095</v>
      </c>
      <c r="C22" s="426">
        <v>15114</v>
      </c>
      <c r="D22" s="426">
        <v>0</v>
      </c>
      <c r="E22" s="353">
        <v>0</v>
      </c>
    </row>
    <row r="23" spans="2:5" x14ac:dyDescent="0.25">
      <c r="B23" s="357" t="s">
        <v>1096</v>
      </c>
      <c r="C23" s="426">
        <v>414</v>
      </c>
      <c r="D23" s="426">
        <v>0</v>
      </c>
      <c r="E23" s="353">
        <v>0</v>
      </c>
    </row>
    <row r="24" spans="2:5" x14ac:dyDescent="0.25">
      <c r="B24" s="357" t="s">
        <v>1097</v>
      </c>
      <c r="C24" s="426">
        <v>0</v>
      </c>
      <c r="D24" s="426">
        <v>191601</v>
      </c>
      <c r="E24" s="353">
        <v>0</v>
      </c>
    </row>
    <row r="25" spans="2:5" x14ac:dyDescent="0.25">
      <c r="B25" s="357" t="s">
        <v>1098</v>
      </c>
      <c r="C25" s="426">
        <v>19987</v>
      </c>
      <c r="D25" s="426">
        <v>19962</v>
      </c>
      <c r="E25" s="353">
        <v>19743</v>
      </c>
    </row>
    <row r="26" spans="2:5" x14ac:dyDescent="0.25">
      <c r="B26" s="357" t="s">
        <v>1099</v>
      </c>
      <c r="C26" s="426">
        <v>261288</v>
      </c>
      <c r="D26" s="426">
        <v>75439</v>
      </c>
      <c r="E26" s="353">
        <v>268044</v>
      </c>
    </row>
    <row r="27" spans="2:5" x14ac:dyDescent="0.25">
      <c r="B27" s="357" t="s">
        <v>1100</v>
      </c>
      <c r="C27" s="426">
        <v>434769</v>
      </c>
      <c r="D27" s="426">
        <v>442169</v>
      </c>
      <c r="E27" s="353">
        <v>1252821</v>
      </c>
    </row>
    <row r="28" spans="2:5" x14ac:dyDescent="0.25">
      <c r="B28" s="335" t="s">
        <v>183</v>
      </c>
      <c r="C28" s="426"/>
      <c r="D28" s="426"/>
      <c r="E28" s="353"/>
    </row>
    <row r="29" spans="2:5" x14ac:dyDescent="0.25">
      <c r="B29" s="335" t="s">
        <v>672</v>
      </c>
      <c r="C29" s="420" t="str">
        <f>IF(C30*0.1&lt;C28,"Exceed 10% Rule","")</f>
        <v/>
      </c>
      <c r="D29" s="420" t="str">
        <f>IF(D30*0.1&lt;D28,"Exceed 10% Rule","")</f>
        <v/>
      </c>
      <c r="E29" s="358" t="str">
        <f>IF(E30*0.1+E50&lt;E28,"Exceed 10% Rule","")</f>
        <v/>
      </c>
    </row>
    <row r="30" spans="2:5" x14ac:dyDescent="0.25">
      <c r="B30" s="337" t="s">
        <v>289</v>
      </c>
      <c r="C30" s="429">
        <f>SUM(C8:C28)</f>
        <v>2671367</v>
      </c>
      <c r="D30" s="430">
        <f>SUM(D8:D28)</f>
        <v>2619159</v>
      </c>
      <c r="E30" s="359">
        <f>SUM(E8:E28)</f>
        <v>3028417</v>
      </c>
    </row>
    <row r="31" spans="2:5" x14ac:dyDescent="0.25">
      <c r="B31" s="337" t="s">
        <v>290</v>
      </c>
      <c r="C31" s="430">
        <f>C6+C30</f>
        <v>2904747</v>
      </c>
      <c r="D31" s="430">
        <f>D6+D30</f>
        <v>2841075</v>
      </c>
      <c r="E31" s="360">
        <f>E6+E30</f>
        <v>3178476</v>
      </c>
    </row>
    <row r="32" spans="2:5" x14ac:dyDescent="0.25">
      <c r="B32" s="330" t="s">
        <v>292</v>
      </c>
      <c r="C32" s="428"/>
      <c r="D32" s="428"/>
      <c r="E32" s="354"/>
    </row>
    <row r="33" spans="2:11" x14ac:dyDescent="0.25">
      <c r="B33" s="331" t="s">
        <v>335</v>
      </c>
      <c r="C33" s="426">
        <v>1980000</v>
      </c>
      <c r="D33" s="426">
        <v>1925000</v>
      </c>
      <c r="E33" s="353">
        <v>2819852</v>
      </c>
    </row>
    <row r="34" spans="2:11" x14ac:dyDescent="0.25">
      <c r="B34" s="331" t="s">
        <v>333</v>
      </c>
      <c r="C34" s="426">
        <v>702831</v>
      </c>
      <c r="D34" s="426">
        <v>766016</v>
      </c>
      <c r="E34" s="353">
        <v>706780</v>
      </c>
      <c r="G34" s="888" t="str">
        <f>CONCATENATE("Desired Carryover Into ",E1+1,"")</f>
        <v>Desired Carryover Into 2014</v>
      </c>
      <c r="H34" s="883"/>
      <c r="I34" s="883"/>
      <c r="J34" s="884"/>
    </row>
    <row r="35" spans="2:11" x14ac:dyDescent="0.25">
      <c r="B35" s="331" t="s">
        <v>261</v>
      </c>
      <c r="C35" s="426"/>
      <c r="D35" s="426"/>
      <c r="E35" s="353"/>
      <c r="G35" s="706"/>
      <c r="H35" s="478"/>
      <c r="I35" s="707"/>
      <c r="J35" s="708"/>
    </row>
    <row r="36" spans="2:11" x14ac:dyDescent="0.25">
      <c r="B36" s="331"/>
      <c r="C36" s="426"/>
      <c r="D36" s="426"/>
      <c r="E36" s="353"/>
      <c r="G36" s="709" t="s">
        <v>677</v>
      </c>
      <c r="H36" s="707"/>
      <c r="I36" s="707"/>
      <c r="J36" s="710">
        <v>0</v>
      </c>
    </row>
    <row r="37" spans="2:11" x14ac:dyDescent="0.25">
      <c r="B37" s="331"/>
      <c r="C37" s="426"/>
      <c r="D37" s="426"/>
      <c r="E37" s="353"/>
      <c r="G37" s="706" t="s">
        <v>678</v>
      </c>
      <c r="H37" s="478"/>
      <c r="I37" s="478"/>
      <c r="J37" s="711" t="str">
        <f>IF(J36=0,"",ROUND((J36+E50-G49)/inputOth!B14*1000,3)-G55)</f>
        <v/>
      </c>
    </row>
    <row r="38" spans="2:11" x14ac:dyDescent="0.25">
      <c r="B38" s="331"/>
      <c r="C38" s="426"/>
      <c r="D38" s="426"/>
      <c r="E38" s="353"/>
      <c r="G38" s="712" t="str">
        <f>CONCATENATE("",E1," Tot Exp/Non-Appr Must Be:")</f>
        <v>2013 Tot Exp/Non-Appr Must Be:</v>
      </c>
      <c r="H38" s="713"/>
      <c r="I38" s="714"/>
      <c r="J38" s="715">
        <f>IF(J36&gt;0,IF(E47&lt;E31,IF(J36=G49,E47,((J36-G49)*(1-D49))+E31),E47+(J36-G49)),0)</f>
        <v>0</v>
      </c>
    </row>
    <row r="39" spans="2:11" x14ac:dyDescent="0.25">
      <c r="B39" s="331"/>
      <c r="C39" s="426"/>
      <c r="D39" s="426"/>
      <c r="E39" s="353"/>
      <c r="G39" s="676" t="s">
        <v>896</v>
      </c>
      <c r="H39" s="716"/>
      <c r="I39" s="716"/>
      <c r="J39" s="678">
        <f>IF(J36&gt;0,J38-E47,0)</f>
        <v>0</v>
      </c>
    </row>
    <row r="40" spans="2:11" x14ac:dyDescent="0.25">
      <c r="B40" s="335" t="s">
        <v>182</v>
      </c>
      <c r="C40" s="426"/>
      <c r="D40" s="426"/>
      <c r="E40" s="361" t="str">
        <f>nhood!E7</f>
        <v/>
      </c>
    </row>
    <row r="41" spans="2:11" x14ac:dyDescent="0.25">
      <c r="B41" s="335" t="s">
        <v>1102</v>
      </c>
      <c r="C41" s="426">
        <v>0</v>
      </c>
      <c r="D41" s="426">
        <v>0</v>
      </c>
      <c r="E41" s="353">
        <v>50000</v>
      </c>
      <c r="G41" s="889" t="str">
        <f>CONCATENATE("Projected Carryover Into ",E1+1,"")</f>
        <v>Projected Carryover Into 2014</v>
      </c>
      <c r="H41" s="890"/>
      <c r="I41" s="890"/>
      <c r="J41" s="884"/>
    </row>
    <row r="42" spans="2:11" x14ac:dyDescent="0.25">
      <c r="B42" s="335" t="s">
        <v>184</v>
      </c>
      <c r="C42" s="420" t="str">
        <f>IF(C43*0.1&lt;C41,"Exceed 10% Rule","")</f>
        <v/>
      </c>
      <c r="D42" s="420" t="str">
        <f>IF(D43*0.1&lt;D41,"Exceed 10% Rule","")</f>
        <v/>
      </c>
      <c r="E42" s="358" t="str">
        <f>IF(E43*0.1&lt;E41,"Exceed 10% Rule","")</f>
        <v/>
      </c>
      <c r="G42" s="662"/>
      <c r="H42" s="663"/>
      <c r="I42" s="663"/>
      <c r="J42" s="717"/>
    </row>
    <row r="43" spans="2:11" x14ac:dyDescent="0.25">
      <c r="B43" s="337" t="s">
        <v>296</v>
      </c>
      <c r="C43" s="429">
        <f>SUM(C33:C41)</f>
        <v>2682831</v>
      </c>
      <c r="D43" s="430">
        <f>SUM(D33:D41)</f>
        <v>2691016</v>
      </c>
      <c r="E43" s="359">
        <f>SUM(E33:E41)</f>
        <v>3576632</v>
      </c>
      <c r="G43" s="718">
        <f>D44</f>
        <v>150059</v>
      </c>
      <c r="H43" s="719" t="str">
        <f>CONCATENATE("",E1-1," Ending Cash Balance (est.)")</f>
        <v>2012 Ending Cash Balance (est.)</v>
      </c>
      <c r="I43" s="664"/>
      <c r="J43" s="717"/>
    </row>
    <row r="44" spans="2:11" x14ac:dyDescent="0.25">
      <c r="B44" s="148" t="s">
        <v>57</v>
      </c>
      <c r="C44" s="431">
        <f>C31-C43</f>
        <v>221916</v>
      </c>
      <c r="D44" s="431">
        <f>D31-D43</f>
        <v>150059</v>
      </c>
      <c r="E44" s="347" t="s">
        <v>273</v>
      </c>
      <c r="G44" s="718">
        <f>E30</f>
        <v>3028417</v>
      </c>
      <c r="H44" s="720" t="str">
        <f>CONCATENATE("",E1," Non-AV Receipts (est.)")</f>
        <v>2013 Non-AV Receipts (est.)</v>
      </c>
      <c r="I44" s="663"/>
      <c r="J44" s="717"/>
    </row>
    <row r="45" spans="2:11" x14ac:dyDescent="0.25">
      <c r="B45" s="178" t="str">
        <f>CONCATENATE("",E1-2,"/",E1-1," Budget Authority Amount:")</f>
        <v>2011/2012 Budget Authority Amount:</v>
      </c>
      <c r="C45" s="286">
        <f>inputOth!B72</f>
        <v>2777627</v>
      </c>
      <c r="D45" s="286">
        <f>inputPrYr!D23</f>
        <v>2741016</v>
      </c>
      <c r="E45" s="347" t="s">
        <v>273</v>
      </c>
      <c r="F45" s="348"/>
      <c r="G45" s="721">
        <f>IF(E49&gt;0,E48,E50)</f>
        <v>448157</v>
      </c>
      <c r="H45" s="720" t="str">
        <f>CONCATENATE("",E1," Ad Valorem Tax (est.)")</f>
        <v>2013 Ad Valorem Tax (est.)</v>
      </c>
      <c r="I45" s="663"/>
      <c r="J45" s="717"/>
      <c r="K45" s="722" t="str">
        <f>IF(G45=E50,"","Note: Does not include Delinquent Taxes")</f>
        <v>Note: Does not include Delinquent Taxes</v>
      </c>
    </row>
    <row r="46" spans="2:11" x14ac:dyDescent="0.25">
      <c r="B46" s="178"/>
      <c r="C46" s="879" t="s">
        <v>674</v>
      </c>
      <c r="D46" s="880"/>
      <c r="E46" s="89">
        <v>50001</v>
      </c>
      <c r="F46" s="684" t="str">
        <f>IF(E43/0.95-E43&lt;E46,"Exceeds 5%","")</f>
        <v/>
      </c>
      <c r="G46" s="718">
        <f>SUM(G43:G45)</f>
        <v>3626633</v>
      </c>
      <c r="H46" s="720" t="str">
        <f>CONCATENATE("Total ",E1," Resources Available")</f>
        <v>Total 2013 Resources Available</v>
      </c>
      <c r="I46" s="664"/>
      <c r="J46" s="717"/>
    </row>
    <row r="47" spans="2:11" x14ac:dyDescent="0.25">
      <c r="B47" s="526" t="str">
        <f>CONCATENATE(C98,"     ",D98)</f>
        <v xml:space="preserve">     </v>
      </c>
      <c r="C47" s="881" t="s">
        <v>675</v>
      </c>
      <c r="D47" s="882"/>
      <c r="E47" s="329">
        <f>E43+E46</f>
        <v>3626633</v>
      </c>
      <c r="G47" s="723"/>
      <c r="H47" s="720"/>
      <c r="I47" s="663"/>
      <c r="J47" s="717"/>
    </row>
    <row r="48" spans="2:11" x14ac:dyDescent="0.25">
      <c r="B48" s="526" t="str">
        <f>CONCATENATE(C99,"     ",D99)</f>
        <v xml:space="preserve">     </v>
      </c>
      <c r="C48" s="341"/>
      <c r="D48" s="209" t="s">
        <v>297</v>
      </c>
      <c r="E48" s="102">
        <f>IF(E47-E31&gt;0,E47-E31,0)</f>
        <v>448157</v>
      </c>
      <c r="G48" s="721">
        <f>C43</f>
        <v>2682831</v>
      </c>
      <c r="H48" s="720" t="str">
        <f>CONCATENATE("Less ",E1-2," Expenditures")</f>
        <v>Less 2011 Expenditures</v>
      </c>
      <c r="I48" s="663"/>
      <c r="J48" s="717"/>
    </row>
    <row r="49" spans="2:10" x14ac:dyDescent="0.25">
      <c r="B49" s="209"/>
      <c r="C49" s="480" t="s">
        <v>676</v>
      </c>
      <c r="D49" s="777">
        <f>inputOth!E56</f>
        <v>5.2630999999999997E-2</v>
      </c>
      <c r="E49" s="329">
        <f>ROUND(IF(D49&gt;0,(E48*D49),0),0)</f>
        <v>23587</v>
      </c>
      <c r="G49" s="724">
        <f>SUM(G46-G48)</f>
        <v>943802</v>
      </c>
      <c r="H49" s="725" t="str">
        <f>CONCATENATE("Projected ",E1+1," carryover (est.)")</f>
        <v>Projected 2014 carryover (est.)</v>
      </c>
      <c r="I49" s="689"/>
      <c r="J49" s="726"/>
    </row>
    <row r="50" spans="2:10" ht="16.2" thickBot="1" x14ac:dyDescent="0.3">
      <c r="B50" s="67"/>
      <c r="C50" s="877" t="str">
        <f>CONCATENATE("Amount of  ",$E$1-1," Ad Valorem Tax")</f>
        <v>Amount of  2012 Ad Valorem Tax</v>
      </c>
      <c r="D50" s="878"/>
      <c r="E50" s="350">
        <f>E48+E49</f>
        <v>471744</v>
      </c>
    </row>
    <row r="51" spans="2:10" ht="16.2" thickTop="1" x14ac:dyDescent="0.25">
      <c r="B51" s="67"/>
      <c r="C51" s="795"/>
      <c r="D51" s="796"/>
      <c r="E51" s="800"/>
    </row>
    <row r="52" spans="2:10" x14ac:dyDescent="0.25">
      <c r="B52" s="67"/>
      <c r="C52" s="797" t="s">
        <v>299</v>
      </c>
      <c r="D52" s="280">
        <v>9</v>
      </c>
      <c r="E52" s="67"/>
      <c r="G52" s="885" t="s">
        <v>897</v>
      </c>
      <c r="H52" s="886"/>
      <c r="I52" s="886"/>
      <c r="J52" s="887"/>
    </row>
    <row r="53" spans="2:10" x14ac:dyDescent="0.25">
      <c r="G53" s="690"/>
      <c r="H53" s="691"/>
      <c r="I53" s="692"/>
      <c r="J53" s="693"/>
    </row>
    <row r="54" spans="2:10" x14ac:dyDescent="0.25">
      <c r="G54" s="694">
        <f>summ!H16</f>
        <v>7.1210000000000004</v>
      </c>
      <c r="H54" s="691" t="str">
        <f>CONCATENATE("",E1," Fund Mill Rate")</f>
        <v>2013 Fund Mill Rate</v>
      </c>
      <c r="I54" s="692"/>
      <c r="J54" s="693"/>
    </row>
    <row r="55" spans="2:10" x14ac:dyDescent="0.25">
      <c r="G55" s="695">
        <f>summ!E16</f>
        <v>6.9539999999999997</v>
      </c>
      <c r="H55" s="691" t="str">
        <f>CONCATENATE("",E1-1," Fund Mill Rate")</f>
        <v>2012 Fund Mill Rate</v>
      </c>
      <c r="I55" s="692"/>
      <c r="J55" s="693"/>
    </row>
    <row r="56" spans="2:10" x14ac:dyDescent="0.25">
      <c r="G56" s="696">
        <f>summ!H47</f>
        <v>30.577999999999999</v>
      </c>
      <c r="H56" s="691" t="str">
        <f>CONCATENATE("Total ",E1," Mill Rate")</f>
        <v>Total 2013 Mill Rate</v>
      </c>
      <c r="I56" s="692"/>
      <c r="J56" s="693"/>
    </row>
    <row r="57" spans="2:10" x14ac:dyDescent="0.25">
      <c r="G57" s="695">
        <f>summ!E47</f>
        <v>30.577999999999999</v>
      </c>
      <c r="H57" s="697" t="str">
        <f>CONCATENATE("Total ",E1-1," Mill Rate")</f>
        <v>Total 2012 Mill Rate</v>
      </c>
      <c r="I57" s="698"/>
      <c r="J57" s="699"/>
    </row>
    <row r="71" spans="7:10" x14ac:dyDescent="0.25">
      <c r="G71" s="888" t="str">
        <f>CONCATENATE("Desired Carryover Into ",E1+1,"")</f>
        <v>Desired Carryover Into 2014</v>
      </c>
      <c r="H71" s="891"/>
      <c r="I71" s="891"/>
      <c r="J71" s="892"/>
    </row>
    <row r="72" spans="7:10" x14ac:dyDescent="0.25">
      <c r="G72" s="706"/>
      <c r="H72" s="478"/>
      <c r="I72" s="707"/>
      <c r="J72" s="708"/>
    </row>
    <row r="73" spans="7:10" x14ac:dyDescent="0.25">
      <c r="G73" s="709" t="s">
        <v>677</v>
      </c>
      <c r="H73" s="707"/>
      <c r="I73" s="707"/>
      <c r="J73" s="710">
        <v>0</v>
      </c>
    </row>
    <row r="74" spans="7:10" x14ac:dyDescent="0.25">
      <c r="G74" s="706" t="s">
        <v>678</v>
      </c>
      <c r="H74" s="478"/>
      <c r="I74" s="478"/>
      <c r="J74" s="727" t="str">
        <f>IF(J73=0,"",ROUND((J73+Library!D30-G86)/inputOth!B14*1000,3)-G91)</f>
        <v/>
      </c>
    </row>
    <row r="75" spans="7:10" x14ac:dyDescent="0.25">
      <c r="G75" s="712" t="str">
        <f>CONCATENATE("",E1," Tot Exp/Non-Appr Must Be:")</f>
        <v>2013 Tot Exp/Non-Appr Must Be:</v>
      </c>
      <c r="H75" s="713"/>
      <c r="I75" s="714"/>
      <c r="J75" s="715">
        <f>IF(J73&gt;0,IF(Library!D27&lt;Library!D17,IF(J73=G86,Library!D27,((J73-G86)*(1-Library!C29))+Library!D17),Library!D27+(J73-G86)),0)</f>
        <v>0</v>
      </c>
    </row>
    <row r="76" spans="7:10" x14ac:dyDescent="0.25">
      <c r="G76" s="676" t="s">
        <v>896</v>
      </c>
      <c r="H76" s="716"/>
      <c r="I76" s="716"/>
      <c r="J76" s="678">
        <f>IF(J73&gt;0,J75-Library!D27,0)</f>
        <v>0</v>
      </c>
    </row>
    <row r="77" spans="7:10" x14ac:dyDescent="0.3">
      <c r="J77" s="3"/>
    </row>
    <row r="78" spans="7:10" x14ac:dyDescent="0.25">
      <c r="G78" s="888" t="str">
        <f>CONCATENATE("Projected Carryover Into ",E1+1,"")</f>
        <v>Projected Carryover Into 2014</v>
      </c>
      <c r="H78" s="891"/>
      <c r="I78" s="891"/>
      <c r="J78" s="892"/>
    </row>
    <row r="79" spans="7:10" x14ac:dyDescent="0.25">
      <c r="G79" s="479"/>
      <c r="H79" s="478"/>
      <c r="I79" s="478"/>
      <c r="J79" s="477"/>
    </row>
    <row r="80" spans="7:10" x14ac:dyDescent="0.25">
      <c r="G80" s="728">
        <f>Library!C24</f>
        <v>0</v>
      </c>
      <c r="H80" s="691" t="str">
        <f>CONCATENATE("",E1-1," Ending Cash Balance (est.)")</f>
        <v>2012 Ending Cash Balance (est.)</v>
      </c>
      <c r="I80" s="729"/>
      <c r="J80" s="477"/>
    </row>
    <row r="81" spans="6:11" x14ac:dyDescent="0.25">
      <c r="G81" s="728">
        <f>Library!D16</f>
        <v>42829</v>
      </c>
      <c r="H81" s="707" t="str">
        <f>CONCATENATE("",E1," Non-AV Receipts (est.)")</f>
        <v>2013 Non-AV Receipts (est.)</v>
      </c>
      <c r="I81" s="729"/>
      <c r="J81" s="477"/>
    </row>
    <row r="82" spans="6:11" x14ac:dyDescent="0.25">
      <c r="F82" s="348"/>
      <c r="G82" s="730">
        <f>IF(Library!C29&gt;0,Library!D28,Library!D30)</f>
        <v>310919</v>
      </c>
      <c r="H82" s="707" t="str">
        <f>CONCATENATE("",E1," Ad Valorem Tax (est.)")</f>
        <v>2013 Ad Valorem Tax (est.)</v>
      </c>
      <c r="I82" s="729"/>
      <c r="J82" s="477"/>
      <c r="K82" s="722" t="str">
        <f>IF(G82=Library!D30,"","Note: Does not include Delinquent Taxes")</f>
        <v>Note: Does not include Delinquent Taxes</v>
      </c>
    </row>
    <row r="83" spans="6:11" x14ac:dyDescent="0.25">
      <c r="F83" s="755" t="str">
        <f>IF(Library!D23/0.95-Library!D23&lt;Library!D26,"Exceeds 5%","")</f>
        <v/>
      </c>
      <c r="G83" s="505">
        <f>SUM(G80:G82)</f>
        <v>353748</v>
      </c>
      <c r="H83" s="707" t="str">
        <f>CONCATENATE("Total ",E1," Resources Available")</f>
        <v>Total 2013 Resources Available</v>
      </c>
      <c r="I83" s="477"/>
      <c r="J83" s="477"/>
    </row>
    <row r="84" spans="6:11" x14ac:dyDescent="0.25">
      <c r="G84" s="502"/>
      <c r="H84" s="504"/>
      <c r="I84" s="478"/>
      <c r="J84" s="477"/>
    </row>
    <row r="85" spans="6:11" x14ac:dyDescent="0.25">
      <c r="G85" s="503">
        <f>ROUND(Library!B23*0.05+Library!B23,0)</f>
        <v>346358</v>
      </c>
      <c r="H85" s="504" t="str">
        <f>CONCATENATE("Less ",E1-2," Expenditures + 5%")</f>
        <v>Less 2011 Expenditures + 5%</v>
      </c>
      <c r="I85" s="477"/>
      <c r="J85" s="477"/>
    </row>
    <row r="86" spans="6:11" x14ac:dyDescent="0.3">
      <c r="G86" s="501">
        <f>G83-G85</f>
        <v>7390</v>
      </c>
      <c r="H86" s="500" t="str">
        <f>CONCATENATE("Projected ",E1+1," carryover (est.)")</f>
        <v>Projected 2014 carryover (est.)</v>
      </c>
      <c r="I86" s="476"/>
      <c r="J86" s="731"/>
    </row>
    <row r="87" spans="6:11" x14ac:dyDescent="0.3">
      <c r="F87" s="740" t="str">
        <f>IF('Library Grant '!F33="","",IF('Library Grant '!F33="Qualify","Qualifies for State Library Grant","See 'Library Grant' tab"))</f>
        <v>Qualifies for State Library Grant</v>
      </c>
      <c r="G87" s="3"/>
      <c r="H87" s="3"/>
      <c r="I87" s="3"/>
    </row>
    <row r="88" spans="6:11" x14ac:dyDescent="0.25">
      <c r="G88" s="885" t="s">
        <v>897</v>
      </c>
      <c r="H88" s="886"/>
      <c r="I88" s="886"/>
      <c r="J88" s="887"/>
    </row>
    <row r="89" spans="6:11" x14ac:dyDescent="0.25">
      <c r="G89" s="690"/>
      <c r="H89" s="691"/>
      <c r="I89" s="692"/>
      <c r="J89" s="693"/>
    </row>
    <row r="90" spans="6:11" x14ac:dyDescent="0.25">
      <c r="G90" s="694">
        <f>summ!H17</f>
        <v>4.9400000000000004</v>
      </c>
      <c r="H90" s="691" t="str">
        <f>CONCATENATE("",E1," Fund Mill Rate")</f>
        <v>2013 Fund Mill Rate</v>
      </c>
      <c r="I90" s="692"/>
      <c r="J90" s="693"/>
    </row>
    <row r="91" spans="6:11" x14ac:dyDescent="0.25">
      <c r="G91" s="695">
        <f>summ!E17</f>
        <v>4.7850000000000001</v>
      </c>
      <c r="H91" s="691" t="str">
        <f>CONCATENATE("",E1-1," Fund Mill Rate")</f>
        <v>2012 Fund Mill Rate</v>
      </c>
      <c r="I91" s="692"/>
      <c r="J91" s="693"/>
    </row>
    <row r="92" spans="6:11" x14ac:dyDescent="0.25">
      <c r="G92" s="696">
        <f>summ!H47</f>
        <v>30.577999999999999</v>
      </c>
      <c r="H92" s="691" t="str">
        <f>CONCATENATE("Total ",E1," Mill Rate")</f>
        <v>Total 2013 Mill Rate</v>
      </c>
      <c r="I92" s="692"/>
      <c r="J92" s="693"/>
    </row>
    <row r="93" spans="6:11" x14ac:dyDescent="0.25">
      <c r="G93" s="695">
        <f>summ!E47</f>
        <v>30.577999999999999</v>
      </c>
      <c r="H93" s="697" t="str">
        <f>CONCATENATE("Total ",E1-1," Mill Rate")</f>
        <v>Total 2012 Mill Rate</v>
      </c>
      <c r="I93" s="698"/>
      <c r="J93" s="699"/>
    </row>
    <row r="98" spans="3:4" hidden="1" x14ac:dyDescent="0.25">
      <c r="C98" s="63" t="str">
        <f>IF(C43&gt;C45,"See Tab A","")</f>
        <v/>
      </c>
      <c r="D98" s="63" t="str">
        <f>IF(D43&gt;D45,"See Tab C","")</f>
        <v/>
      </c>
    </row>
    <row r="99" spans="3:4" hidden="1" x14ac:dyDescent="0.25">
      <c r="C99" s="63" t="str">
        <f>IF(C44&lt;0,"See Tab B","")</f>
        <v/>
      </c>
      <c r="D99" s="63" t="str">
        <f>IF(D44&lt;0,"See Tab D","")</f>
        <v/>
      </c>
    </row>
    <row r="100" spans="3:4" hidden="1" x14ac:dyDescent="0.25">
      <c r="C100" s="63" t="str">
        <f>IF(Library!B23&gt;Library!B25,"See Tab A","")</f>
        <v>See Tab A</v>
      </c>
      <c r="D100" s="63" t="str">
        <f>IF(Library!C23&gt;Library!C25,"See Tab C","")</f>
        <v/>
      </c>
    </row>
    <row r="101" spans="3:4" hidden="1" x14ac:dyDescent="0.25">
      <c r="C101" s="63" t="str">
        <f>IF(Library!B24&lt;0,"See Tab B","")</f>
        <v/>
      </c>
      <c r="D101" s="63" t="str">
        <f>IF(Library!C24&lt;0,"See Tab D","")</f>
        <v/>
      </c>
    </row>
  </sheetData>
  <mergeCells count="9">
    <mergeCell ref="C46:D46"/>
    <mergeCell ref="C47:D47"/>
    <mergeCell ref="C50:D50"/>
    <mergeCell ref="G88:J88"/>
    <mergeCell ref="G34:J34"/>
    <mergeCell ref="G41:J41"/>
    <mergeCell ref="G52:J52"/>
    <mergeCell ref="G71:J71"/>
    <mergeCell ref="G78:J78"/>
  </mergeCells>
  <phoneticPr fontId="9" type="noConversion"/>
  <conditionalFormatting sqref="E41">
    <cfRule type="cellIs" dxfId="288" priority="13" stopIfTrue="1" operator="greaterThan">
      <formula>$E$43*0.1</formula>
    </cfRule>
  </conditionalFormatting>
  <conditionalFormatting sqref="E46">
    <cfRule type="cellIs" dxfId="287" priority="14" stopIfTrue="1" operator="greaterThan">
      <formula>$E$43/0.95-$E$43</formula>
    </cfRule>
  </conditionalFormatting>
  <conditionalFormatting sqref="D28">
    <cfRule type="cellIs" dxfId="286" priority="15" stopIfTrue="1" operator="greaterThan">
      <formula>$D$30*0.1</formula>
    </cfRule>
  </conditionalFormatting>
  <conditionalFormatting sqref="C28">
    <cfRule type="cellIs" dxfId="285" priority="16" stopIfTrue="1" operator="greaterThan">
      <formula>$C$30*0.1</formula>
    </cfRule>
  </conditionalFormatting>
  <conditionalFormatting sqref="D41">
    <cfRule type="cellIs" dxfId="284" priority="17" stopIfTrue="1" operator="greaterThan">
      <formula>$D$43*0.1</formula>
    </cfRule>
  </conditionalFormatting>
  <conditionalFormatting sqref="D43">
    <cfRule type="cellIs" dxfId="283" priority="18" stopIfTrue="1" operator="greaterThan">
      <formula>$D$45</formula>
    </cfRule>
  </conditionalFormatting>
  <conditionalFormatting sqref="C41">
    <cfRule type="cellIs" dxfId="282" priority="19" stopIfTrue="1" operator="greaterThan">
      <formula>$C$43*0.1</formula>
    </cfRule>
  </conditionalFormatting>
  <conditionalFormatting sqref="C43">
    <cfRule type="cellIs" dxfId="281" priority="20" stopIfTrue="1" operator="greaterThan">
      <formula>$C$45</formula>
    </cfRule>
  </conditionalFormatting>
  <conditionalFormatting sqref="C44">
    <cfRule type="cellIs" dxfId="280" priority="21" stopIfTrue="1" operator="lessThan">
      <formula>0</formula>
    </cfRule>
  </conditionalFormatting>
  <conditionalFormatting sqref="D44">
    <cfRule type="cellIs" dxfId="279" priority="12" stopIfTrue="1" operator="lessThan">
      <formula>0</formula>
    </cfRule>
  </conditionalFormatting>
  <conditionalFormatting sqref="E28">
    <cfRule type="cellIs" dxfId="278" priority="25" stopIfTrue="1" operator="greaterThan">
      <formula>$E$30*0.1+$E$50</formula>
    </cfRule>
  </conditionalFormatting>
  <pageMargins left="0.75" right="0.75" top="1" bottom="1" header="0.5" footer="0.5"/>
  <pageSetup scale="75"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10" workbookViewId="0">
      <selection activeCell="A30" sqref="A30"/>
    </sheetView>
  </sheetViews>
  <sheetFormatPr defaultRowHeight="15" x14ac:dyDescent="0.25"/>
  <cols>
    <col min="1" max="1" width="24" customWidth="1"/>
    <col min="2" max="2" width="17.9140625" customWidth="1"/>
    <col min="3" max="3" width="16" customWidth="1"/>
    <col min="4" max="4" width="20.83203125" customWidth="1"/>
  </cols>
  <sheetData>
    <row r="1" spans="1:4" ht="15.6" x14ac:dyDescent="0.25">
      <c r="A1" s="74"/>
      <c r="B1" s="274"/>
      <c r="C1" s="274"/>
      <c r="D1" s="274"/>
    </row>
    <row r="2" spans="1:4" ht="15.6" x14ac:dyDescent="0.25">
      <c r="A2" s="74" t="s">
        <v>283</v>
      </c>
      <c r="B2" s="598" t="s">
        <v>810</v>
      </c>
      <c r="C2" s="599" t="s">
        <v>813</v>
      </c>
      <c r="D2" s="185" t="s">
        <v>812</v>
      </c>
    </row>
    <row r="3" spans="1:4" ht="15.6" x14ac:dyDescent="0.25">
      <c r="A3" s="544" t="str">
        <f>inputPrYr!B24</f>
        <v>Library</v>
      </c>
      <c r="B3" s="427" t="str">
        <f>'Debt Service'!C5</f>
        <v>Actual for 2011</v>
      </c>
      <c r="C3" s="427" t="str">
        <f>'Debt Service'!D5</f>
        <v>Estimate for 2012</v>
      </c>
      <c r="D3" s="251" t="str">
        <f>'Debt Service'!E5</f>
        <v>Year for 2013</v>
      </c>
    </row>
    <row r="4" spans="1:4" ht="15.6" x14ac:dyDescent="0.25">
      <c r="A4" s="343" t="s">
        <v>56</v>
      </c>
      <c r="B4" s="419">
        <v>0</v>
      </c>
      <c r="C4" s="424">
        <f>B24</f>
        <v>0</v>
      </c>
      <c r="D4" s="329">
        <f>C24</f>
        <v>0</v>
      </c>
    </row>
    <row r="5" spans="1:4" ht="15.6" x14ac:dyDescent="0.25">
      <c r="A5" s="343" t="s">
        <v>58</v>
      </c>
      <c r="B5" s="199"/>
      <c r="C5" s="199"/>
      <c r="D5" s="107"/>
    </row>
    <row r="6" spans="1:4" ht="15.6" x14ac:dyDescent="0.25">
      <c r="A6" s="148" t="s">
        <v>284</v>
      </c>
      <c r="B6" s="419">
        <v>276623</v>
      </c>
      <c r="C6" s="424">
        <v>302457</v>
      </c>
      <c r="D6" s="347" t="s">
        <v>273</v>
      </c>
    </row>
    <row r="7" spans="1:4" ht="15.6" x14ac:dyDescent="0.25">
      <c r="A7" s="148" t="s">
        <v>285</v>
      </c>
      <c r="B7" s="419">
        <v>12513</v>
      </c>
      <c r="C7" s="419">
        <v>0</v>
      </c>
      <c r="D7" s="89">
        <v>0</v>
      </c>
    </row>
    <row r="8" spans="1:4" ht="15.6" x14ac:dyDescent="0.25">
      <c r="A8" s="148" t="s">
        <v>286</v>
      </c>
      <c r="B8" s="419">
        <v>33006</v>
      </c>
      <c r="C8" s="419">
        <v>34003</v>
      </c>
      <c r="D8" s="329">
        <f>mvalloc!D10</f>
        <v>37018</v>
      </c>
    </row>
    <row r="9" spans="1:4" ht="15.6" x14ac:dyDescent="0.25">
      <c r="A9" s="148" t="s">
        <v>287</v>
      </c>
      <c r="B9" s="419">
        <v>271</v>
      </c>
      <c r="C9" s="419">
        <v>361</v>
      </c>
      <c r="D9" s="329">
        <f>mvalloc!E10</f>
        <v>249</v>
      </c>
    </row>
    <row r="10" spans="1:4" ht="15.6" x14ac:dyDescent="0.25">
      <c r="A10" s="199" t="s">
        <v>37</v>
      </c>
      <c r="B10" s="419">
        <v>328</v>
      </c>
      <c r="C10" s="419">
        <v>434</v>
      </c>
      <c r="D10" s="329">
        <f>mvalloc!F10</f>
        <v>362</v>
      </c>
    </row>
    <row r="11" spans="1:4" ht="15.6" x14ac:dyDescent="0.25">
      <c r="A11" s="331" t="s">
        <v>1045</v>
      </c>
      <c r="B11" s="419">
        <v>6885</v>
      </c>
      <c r="C11" s="419">
        <v>8479</v>
      </c>
      <c r="D11" s="89">
        <v>10151</v>
      </c>
    </row>
    <row r="12" spans="1:4" ht="15.6" x14ac:dyDescent="0.25">
      <c r="A12" s="331" t="s">
        <v>182</v>
      </c>
      <c r="B12" s="419">
        <v>0</v>
      </c>
      <c r="C12" s="419">
        <v>-21477</v>
      </c>
      <c r="D12" s="89">
        <v>-19951</v>
      </c>
    </row>
    <row r="13" spans="1:4" ht="15.6" x14ac:dyDescent="0.25">
      <c r="A13" s="331" t="s">
        <v>1087</v>
      </c>
      <c r="B13" s="419">
        <v>239</v>
      </c>
      <c r="C13" s="419">
        <v>0</v>
      </c>
      <c r="D13" s="89">
        <v>0</v>
      </c>
    </row>
    <row r="14" spans="1:4" ht="15.6" x14ac:dyDescent="0.25">
      <c r="A14" s="335" t="s">
        <v>183</v>
      </c>
      <c r="B14" s="419">
        <v>0</v>
      </c>
      <c r="C14" s="419">
        <v>0</v>
      </c>
      <c r="D14" s="793">
        <v>15000</v>
      </c>
    </row>
    <row r="15" spans="1:4" ht="15.6" x14ac:dyDescent="0.25">
      <c r="A15" s="335" t="s">
        <v>672</v>
      </c>
      <c r="B15" s="420" t="str">
        <f>IF(B16*0.1&lt;B14,"Exceed 10% Rule","")</f>
        <v/>
      </c>
      <c r="C15" s="420" t="str">
        <f>IF(C16*0.1&lt;C14,"Exceed 10% Rule","")</f>
        <v/>
      </c>
      <c r="D15" s="358" t="str">
        <f>IF(D16*0.1+D30&lt;D14,"Exceed 10% Rule","")</f>
        <v/>
      </c>
    </row>
    <row r="16" spans="1:4" ht="15.6" x14ac:dyDescent="0.25">
      <c r="A16" s="337" t="s">
        <v>289</v>
      </c>
      <c r="B16" s="423">
        <f>SUM(B6:B14)</f>
        <v>329865</v>
      </c>
      <c r="C16" s="423">
        <f>SUM(C6:C14)</f>
        <v>324257</v>
      </c>
      <c r="D16" s="339">
        <f>SUM(D6:D14)</f>
        <v>42829</v>
      </c>
    </row>
    <row r="17" spans="1:4" ht="15.6" x14ac:dyDescent="0.25">
      <c r="A17" s="337" t="s">
        <v>290</v>
      </c>
      <c r="B17" s="423">
        <f>B4+B16</f>
        <v>329865</v>
      </c>
      <c r="C17" s="423">
        <f>C4+C16</f>
        <v>324257</v>
      </c>
      <c r="D17" s="339">
        <f>D4+D16</f>
        <v>42829</v>
      </c>
    </row>
    <row r="18" spans="1:4" ht="15.6" x14ac:dyDescent="0.25">
      <c r="A18" s="148" t="s">
        <v>292</v>
      </c>
      <c r="B18" s="335"/>
      <c r="C18" s="335"/>
      <c r="D18" s="88"/>
    </row>
    <row r="19" spans="1:4" ht="15.6" x14ac:dyDescent="0.25">
      <c r="A19" s="331" t="s">
        <v>1088</v>
      </c>
      <c r="B19" s="419">
        <v>329865</v>
      </c>
      <c r="C19" s="419">
        <v>324257</v>
      </c>
      <c r="D19" s="89">
        <v>338748</v>
      </c>
    </row>
    <row r="20" spans="1:4" ht="15.6" x14ac:dyDescent="0.25">
      <c r="A20" s="335" t="s">
        <v>182</v>
      </c>
      <c r="B20" s="419">
        <v>0</v>
      </c>
      <c r="C20" s="419">
        <v>0</v>
      </c>
      <c r="D20" s="102">
        <v>0</v>
      </c>
    </row>
    <row r="21" spans="1:4" ht="15.6" x14ac:dyDescent="0.25">
      <c r="A21" s="335" t="s">
        <v>183</v>
      </c>
      <c r="B21" s="419">
        <v>0</v>
      </c>
      <c r="C21" s="419">
        <v>0</v>
      </c>
      <c r="D21" s="89">
        <v>15000</v>
      </c>
    </row>
    <row r="22" spans="1:4" ht="15.6" x14ac:dyDescent="0.25">
      <c r="A22" s="335" t="s">
        <v>671</v>
      </c>
      <c r="B22" s="420" t="str">
        <f>IF(B23*0.1&lt;B21,"Exceed 10% Rule","")</f>
        <v/>
      </c>
      <c r="C22" s="420" t="str">
        <f>IF(C23*0.1&lt;C21,"Exceed 10% Rule","")</f>
        <v/>
      </c>
      <c r="D22" s="358" t="str">
        <f>IF(D23*0.1&lt;D21,"Exceed 10% Rule","")</f>
        <v/>
      </c>
    </row>
    <row r="23" spans="1:4" ht="15.6" x14ac:dyDescent="0.25">
      <c r="A23" s="349" t="s">
        <v>296</v>
      </c>
      <c r="B23" s="423">
        <f>SUM(B19:B21)</f>
        <v>329865</v>
      </c>
      <c r="C23" s="423">
        <f>SUM(C19:C21)</f>
        <v>324257</v>
      </c>
      <c r="D23" s="339">
        <f>SUM(D19:D21)</f>
        <v>353748</v>
      </c>
    </row>
    <row r="24" spans="1:4" ht="15.6" x14ac:dyDescent="0.25">
      <c r="A24" s="148" t="s">
        <v>57</v>
      </c>
      <c r="B24" s="421">
        <v>0</v>
      </c>
      <c r="C24" s="421">
        <v>0</v>
      </c>
      <c r="D24" s="347" t="s">
        <v>273</v>
      </c>
    </row>
    <row r="25" spans="1:4" ht="15.6" x14ac:dyDescent="0.25">
      <c r="A25" s="765" t="str">
        <f>CONCATENATE("",'Debt Service'!E1-2,"/",'Debt Service'!E1-1," Budget Authority Amount:")</f>
        <v>2011/2012 Budget Authority Amount:</v>
      </c>
      <c r="B25" s="286">
        <f>inputOth!B73</f>
        <v>328551</v>
      </c>
      <c r="C25" s="286">
        <f>inputPrYr!D24</f>
        <v>339257</v>
      </c>
      <c r="D25" s="347" t="s">
        <v>273</v>
      </c>
    </row>
    <row r="26" spans="1:4" ht="15.6" x14ac:dyDescent="0.25">
      <c r="A26" s="765"/>
      <c r="B26" s="792" t="s">
        <v>674</v>
      </c>
      <c r="C26" s="762"/>
      <c r="D26" s="89">
        <v>0</v>
      </c>
    </row>
    <row r="27" spans="1:4" ht="15.6" x14ac:dyDescent="0.25">
      <c r="A27" s="526" t="str">
        <f>CONCATENATE('Debt Service'!C100,"     ",'Debt Service'!D100)</f>
        <v xml:space="preserve">See Tab A     </v>
      </c>
      <c r="B27" s="791" t="s">
        <v>1199</v>
      </c>
      <c r="C27" s="763"/>
      <c r="D27" s="329">
        <f>D23+D26</f>
        <v>353748</v>
      </c>
    </row>
    <row r="28" spans="1:4" ht="15.6" x14ac:dyDescent="0.25">
      <c r="A28" s="526" t="str">
        <f>CONCATENATE('Debt Service'!C101,"     ",'Debt Service'!D101)</f>
        <v xml:space="preserve">     </v>
      </c>
      <c r="B28" s="341"/>
      <c r="C28" s="209" t="s">
        <v>297</v>
      </c>
      <c r="D28" s="102">
        <f>IF(D27-D17&gt;0,D27-D17,0)</f>
        <v>310919</v>
      </c>
    </row>
    <row r="29" spans="1:4" ht="15.6" x14ac:dyDescent="0.25">
      <c r="A29" s="209"/>
      <c r="B29" s="480" t="s">
        <v>676</v>
      </c>
      <c r="C29" s="777">
        <f>inputOth!E56</f>
        <v>5.2630999999999997E-2</v>
      </c>
      <c r="D29" s="329">
        <f>ROUND(IF(C29&gt;0,(D28*C29),0),0)</f>
        <v>16364</v>
      </c>
    </row>
    <row r="30" spans="1:4" ht="16.2" thickBot="1" x14ac:dyDescent="0.3">
      <c r="A30" s="67"/>
      <c r="B30" s="877" t="str">
        <f>CONCATENATE("Amount of  ",'Debt Service'!$E$1-1," Ad Valorem Tax")</f>
        <v>Amount of  2012 Ad Valorem Tax</v>
      </c>
      <c r="C30" s="878"/>
      <c r="D30" s="350">
        <f>D28+D29</f>
        <v>327283</v>
      </c>
    </row>
    <row r="31" spans="1:4" ht="16.2" thickTop="1" x14ac:dyDescent="0.25">
      <c r="A31" s="67"/>
      <c r="B31" s="425"/>
      <c r="C31" s="67"/>
      <c r="D31" s="67"/>
    </row>
    <row r="32" spans="1:4" ht="15.6" x14ac:dyDescent="0.25">
      <c r="A32" s="178" t="s">
        <v>299</v>
      </c>
      <c r="B32" s="280">
        <v>10</v>
      </c>
      <c r="C32" s="67"/>
      <c r="D32" s="67"/>
    </row>
  </sheetData>
  <mergeCells count="1">
    <mergeCell ref="B30:C30"/>
  </mergeCells>
  <conditionalFormatting sqref="D21">
    <cfRule type="cellIs" dxfId="277" priority="10" stopIfTrue="1" operator="greaterThan">
      <formula>$E$64*0.1</formula>
    </cfRule>
  </conditionalFormatting>
  <conditionalFormatting sqref="D26">
    <cfRule type="cellIs" dxfId="276" priority="9" stopIfTrue="1" operator="greaterThan">
      <formula>$E$64/0.95-$E$64</formula>
    </cfRule>
  </conditionalFormatting>
  <conditionalFormatting sqref="C21">
    <cfRule type="cellIs" dxfId="275" priority="8" stopIfTrue="1" operator="greaterThan">
      <formula>$D$64*0.1</formula>
    </cfRule>
  </conditionalFormatting>
  <conditionalFormatting sqref="B21">
    <cfRule type="cellIs" dxfId="274" priority="7" stopIfTrue="1" operator="greaterThan">
      <formula>$C$64*0.1</formula>
    </cfRule>
  </conditionalFormatting>
  <conditionalFormatting sqref="C23">
    <cfRule type="cellIs" dxfId="273" priority="6" stopIfTrue="1" operator="greaterThan">
      <formula>$D$66</formula>
    </cfRule>
  </conditionalFormatting>
  <conditionalFormatting sqref="B23">
    <cfRule type="cellIs" dxfId="272" priority="5" stopIfTrue="1" operator="greaterThan">
      <formula>$C$66</formula>
    </cfRule>
  </conditionalFormatting>
  <conditionalFormatting sqref="B24">
    <cfRule type="cellIs" dxfId="271" priority="4" stopIfTrue="1" operator="lessThan">
      <formula>0</formula>
    </cfRule>
  </conditionalFormatting>
  <conditionalFormatting sqref="C14">
    <cfRule type="cellIs" dxfId="270" priority="3" stopIfTrue="1" operator="greaterThan">
      <formula>$D$57*0.1</formula>
    </cfRule>
  </conditionalFormatting>
  <conditionalFormatting sqref="B14">
    <cfRule type="cellIs" dxfId="269" priority="2" stopIfTrue="1" operator="greaterThan">
      <formula>$C$57*0.1</formula>
    </cfRule>
  </conditionalFormatting>
  <conditionalFormatting sqref="C24">
    <cfRule type="cellIs" dxfId="268" priority="1" stopIfTrue="1" operator="lessThan">
      <formula>0</formula>
    </cfRule>
  </conditionalFormatting>
  <conditionalFormatting sqref="D14">
    <cfRule type="cellIs" dxfId="267" priority="11" stopIfTrue="1" operator="greaterThan">
      <formula>$E$57*0.1+$E$71</formula>
    </cfRule>
  </conditionalFormatting>
  <pageMargins left="0.7" right="0.7" top="0.75" bottom="0.75" header="0.3" footer="0.3"/>
  <pageSetup scale="85"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51" workbookViewId="0">
      <selection activeCell="B62" sqref="B62"/>
    </sheetView>
  </sheetViews>
  <sheetFormatPr defaultColWidth="8.9140625" defaultRowHeight="15.6" x14ac:dyDescent="0.25"/>
  <cols>
    <col min="1" max="1" width="2.4140625" style="63" customWidth="1"/>
    <col min="2" max="2" width="31.08203125" style="63" customWidth="1"/>
    <col min="3" max="4" width="15.75" style="63" customWidth="1"/>
    <col min="5" max="5" width="16.25" style="63" customWidth="1"/>
    <col min="6" max="16384" width="8.9140625" style="63"/>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(inputPrYr!B29)</f>
        <v>Spec. Rev. Aquatic Park Facility Sales Tax</v>
      </c>
      <c r="C5" s="427" t="str">
        <f>CONCATENATE("Actual for ",E1-2,"")</f>
        <v>Actual for 2011</v>
      </c>
      <c r="D5" s="427" t="str">
        <f>CONCATENATE("Estimate for ",E1-1,"")</f>
        <v>Estimate for 2012</v>
      </c>
      <c r="E5" s="251" t="str">
        <f>CONCATENATE("Year for ",E1,"")</f>
        <v>Year for 2013</v>
      </c>
    </row>
    <row r="6" spans="2:5" x14ac:dyDescent="0.25">
      <c r="B6" s="343" t="s">
        <v>56</v>
      </c>
      <c r="C6" s="89">
        <v>818987</v>
      </c>
      <c r="D6" s="329">
        <f>C31</f>
        <v>830340</v>
      </c>
      <c r="E6" s="329">
        <f>D31</f>
        <v>824321</v>
      </c>
    </row>
    <row r="7" spans="2:5" x14ac:dyDescent="0.25">
      <c r="B7" s="344" t="s">
        <v>58</v>
      </c>
      <c r="C7" s="107"/>
      <c r="D7" s="107"/>
      <c r="E7" s="107"/>
    </row>
    <row r="8" spans="2:5" x14ac:dyDescent="0.25">
      <c r="B8" s="331" t="s">
        <v>1032</v>
      </c>
      <c r="C8" s="89">
        <v>443502</v>
      </c>
      <c r="D8" s="89">
        <v>433750</v>
      </c>
      <c r="E8" s="89">
        <v>426500</v>
      </c>
    </row>
    <row r="9" spans="2:5" x14ac:dyDescent="0.25">
      <c r="B9" s="331" t="s">
        <v>333</v>
      </c>
      <c r="C9" s="89">
        <v>2620</v>
      </c>
      <c r="D9" s="89">
        <v>2400</v>
      </c>
      <c r="E9" s="89">
        <v>2000</v>
      </c>
    </row>
    <row r="10" spans="2:5" x14ac:dyDescent="0.25">
      <c r="B10" s="331"/>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446122</v>
      </c>
      <c r="D16" s="339">
        <f>SUM(D8:D14)</f>
        <v>436150</v>
      </c>
      <c r="E16" s="339">
        <f>SUM(E8:E14)</f>
        <v>428500</v>
      </c>
    </row>
    <row r="17" spans="2:5" x14ac:dyDescent="0.25">
      <c r="B17" s="337" t="s">
        <v>290</v>
      </c>
      <c r="C17" s="339">
        <f>C6+C16</f>
        <v>1265109</v>
      </c>
      <c r="D17" s="339">
        <f>D6+D16</f>
        <v>1266490</v>
      </c>
      <c r="E17" s="339">
        <f>E6+E16</f>
        <v>1252821</v>
      </c>
    </row>
    <row r="18" spans="2:5" x14ac:dyDescent="0.25">
      <c r="B18" s="148" t="s">
        <v>292</v>
      </c>
      <c r="C18" s="329"/>
      <c r="D18" s="329"/>
      <c r="E18" s="329"/>
    </row>
    <row r="19" spans="2:5" x14ac:dyDescent="0.25">
      <c r="B19" s="331" t="s">
        <v>1103</v>
      </c>
      <c r="C19" s="89">
        <v>434769</v>
      </c>
      <c r="D19" s="89">
        <v>442169</v>
      </c>
      <c r="E19" s="89">
        <v>1252821</v>
      </c>
    </row>
    <row r="20" spans="2:5" x14ac:dyDescent="0.25">
      <c r="B20" s="331"/>
      <c r="C20" s="89"/>
      <c r="D20" s="89"/>
      <c r="E20" s="89"/>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434769</v>
      </c>
      <c r="D30" s="339">
        <f>SUM(D19:D28)</f>
        <v>442169</v>
      </c>
      <c r="E30" s="339">
        <f>SUM(E19:E28)</f>
        <v>1252821</v>
      </c>
    </row>
    <row r="31" spans="2:5" x14ac:dyDescent="0.25">
      <c r="B31" s="148" t="s">
        <v>57</v>
      </c>
      <c r="C31" s="102">
        <f>C17-C30</f>
        <v>830340</v>
      </c>
      <c r="D31" s="102">
        <f>D17-D30</f>
        <v>824321</v>
      </c>
      <c r="E31" s="102">
        <f>E17-E30</f>
        <v>0</v>
      </c>
    </row>
    <row r="32" spans="2:5" x14ac:dyDescent="0.25">
      <c r="B32" s="178" t="str">
        <f>CONCATENATE("",E1-2,"/",E1-1," Budget Authority Amount:")</f>
        <v>2011/2012 Budget Authority Amount:</v>
      </c>
      <c r="C32" s="286">
        <f>inputOth!B74</f>
        <v>434769</v>
      </c>
      <c r="D32" s="286">
        <f>inputPrYr!D29</f>
        <v>442169</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(inputPrYr!B30)</f>
        <v>Spec. Rev. County Infrastructure</v>
      </c>
      <c r="C38" s="342" t="str">
        <f>C5</f>
        <v>Actual for 2011</v>
      </c>
      <c r="D38" s="342" t="str">
        <f>D5</f>
        <v>Estimate for 2012</v>
      </c>
      <c r="E38" s="342" t="str">
        <f>E5</f>
        <v>Year for 2013</v>
      </c>
    </row>
    <row r="39" spans="2:5" x14ac:dyDescent="0.25">
      <c r="B39" s="343" t="s">
        <v>56</v>
      </c>
      <c r="C39" s="89">
        <v>25964</v>
      </c>
      <c r="D39" s="329">
        <f>C64</f>
        <v>26053</v>
      </c>
      <c r="E39" s="329">
        <f>D64</f>
        <v>0</v>
      </c>
    </row>
    <row r="40" spans="2:5" x14ac:dyDescent="0.25">
      <c r="B40" s="344" t="s">
        <v>58</v>
      </c>
      <c r="C40" s="107"/>
      <c r="D40" s="107"/>
      <c r="E40" s="107"/>
    </row>
    <row r="41" spans="2:5" x14ac:dyDescent="0.25">
      <c r="B41" s="331" t="s">
        <v>333</v>
      </c>
      <c r="C41" s="89">
        <v>89</v>
      </c>
      <c r="D41" s="89">
        <v>81</v>
      </c>
      <c r="E41" s="89">
        <v>0</v>
      </c>
    </row>
    <row r="42" spans="2:5" x14ac:dyDescent="0.25">
      <c r="B42" s="331"/>
      <c r="C42" s="89"/>
      <c r="D42" s="89"/>
      <c r="E42" s="89"/>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288</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89</v>
      </c>
      <c r="D49" s="339">
        <f>SUM(D41:D47)</f>
        <v>81</v>
      </c>
      <c r="E49" s="339">
        <f>SUM(E41:E47)</f>
        <v>0</v>
      </c>
    </row>
    <row r="50" spans="2:5" x14ac:dyDescent="0.25">
      <c r="B50" s="337" t="s">
        <v>290</v>
      </c>
      <c r="C50" s="339">
        <f>C39+C49</f>
        <v>26053</v>
      </c>
      <c r="D50" s="339">
        <f>D39+D49</f>
        <v>26134</v>
      </c>
      <c r="E50" s="339">
        <f>E39+E49</f>
        <v>0</v>
      </c>
    </row>
    <row r="51" spans="2:5" x14ac:dyDescent="0.25">
      <c r="B51" s="148" t="s">
        <v>292</v>
      </c>
      <c r="C51" s="329"/>
      <c r="D51" s="329"/>
      <c r="E51" s="329"/>
    </row>
    <row r="52" spans="2:5" x14ac:dyDescent="0.25">
      <c r="B52" s="331" t="s">
        <v>1155</v>
      </c>
      <c r="C52" s="89">
        <v>0</v>
      </c>
      <c r="D52" s="89">
        <v>26134</v>
      </c>
      <c r="E52" s="89">
        <v>0</v>
      </c>
    </row>
    <row r="53" spans="2:5" x14ac:dyDescent="0.25">
      <c r="B53" s="331"/>
      <c r="C53" s="89"/>
      <c r="D53" s="89"/>
      <c r="E53" s="89"/>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0</v>
      </c>
      <c r="D63" s="339">
        <f>SUM(D52:D61)</f>
        <v>26134</v>
      </c>
      <c r="E63" s="339">
        <f>SUM(E52:E61)</f>
        <v>0</v>
      </c>
    </row>
    <row r="64" spans="2:5" x14ac:dyDescent="0.25">
      <c r="B64" s="148" t="s">
        <v>57</v>
      </c>
      <c r="C64" s="102">
        <f>C50-C63</f>
        <v>26053</v>
      </c>
      <c r="D64" s="102">
        <f>D50-D63</f>
        <v>0</v>
      </c>
      <c r="E64" s="102">
        <f>E50-E63</f>
        <v>0</v>
      </c>
    </row>
    <row r="65" spans="2:5" x14ac:dyDescent="0.25">
      <c r="B65" s="178" t="str">
        <f>CONCATENATE("",E1-2,"/",E1-1," Budget Authority Amount:")</f>
        <v>2011/2012 Budget Authority Amount:</v>
      </c>
      <c r="C65" s="286">
        <f>inputOth!B75</f>
        <v>25808</v>
      </c>
      <c r="D65" s="286">
        <f>inputPrYr!D30</f>
        <v>26134</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11</v>
      </c>
      <c r="D69" s="67"/>
      <c r="E69" s="67"/>
    </row>
  </sheetData>
  <phoneticPr fontId="0" type="noConversion"/>
  <conditionalFormatting sqref="C47">
    <cfRule type="cellIs" dxfId="266" priority="3" stopIfTrue="1" operator="greaterThan">
      <formula>$C$49*0.1</formula>
    </cfRule>
  </conditionalFormatting>
  <conditionalFormatting sqref="D47">
    <cfRule type="cellIs" dxfId="265" priority="4" stopIfTrue="1" operator="greaterThan">
      <formula>$D$49*0.1</formula>
    </cfRule>
  </conditionalFormatting>
  <conditionalFormatting sqref="E47">
    <cfRule type="cellIs" dxfId="264" priority="5" stopIfTrue="1" operator="greaterThan">
      <formula>$E$49*0.1</formula>
    </cfRule>
  </conditionalFormatting>
  <conditionalFormatting sqref="C61">
    <cfRule type="cellIs" dxfId="263" priority="6" stopIfTrue="1" operator="greaterThan">
      <formula>$C$63*0.1</formula>
    </cfRule>
  </conditionalFormatting>
  <conditionalFormatting sqref="D61">
    <cfRule type="cellIs" dxfId="262" priority="7" stopIfTrue="1" operator="greaterThan">
      <formula>$D$63*0.1</formula>
    </cfRule>
  </conditionalFormatting>
  <conditionalFormatting sqref="E61">
    <cfRule type="cellIs" dxfId="261" priority="8" stopIfTrue="1" operator="greaterThan">
      <formula>$E$63*0.1</formula>
    </cfRule>
  </conditionalFormatting>
  <conditionalFormatting sqref="C28">
    <cfRule type="cellIs" dxfId="260" priority="9" stopIfTrue="1" operator="greaterThan">
      <formula>$C$30*0.1</formula>
    </cfRule>
  </conditionalFormatting>
  <conditionalFormatting sqref="D28">
    <cfRule type="cellIs" dxfId="259" priority="10" stopIfTrue="1" operator="greaterThan">
      <formula>$D$30*0.1</formula>
    </cfRule>
  </conditionalFormatting>
  <conditionalFormatting sqref="E28">
    <cfRule type="cellIs" dxfId="258" priority="11" stopIfTrue="1" operator="greaterThan">
      <formula>$E$30*0.1</formula>
    </cfRule>
  </conditionalFormatting>
  <conditionalFormatting sqref="C14">
    <cfRule type="cellIs" dxfId="257" priority="12" stopIfTrue="1" operator="greaterThan">
      <formula>$C$16*0.1</formula>
    </cfRule>
  </conditionalFormatting>
  <conditionalFormatting sqref="D14">
    <cfRule type="cellIs" dxfId="256" priority="13" stopIfTrue="1" operator="greaterThan">
      <formula>$D$16*0.1</formula>
    </cfRule>
  </conditionalFormatting>
  <conditionalFormatting sqref="E14">
    <cfRule type="cellIs" dxfId="255" priority="14" stopIfTrue="1" operator="greaterThan">
      <formula>$E$16*0.1</formula>
    </cfRule>
  </conditionalFormatting>
  <conditionalFormatting sqref="E64 C64 E31 C31">
    <cfRule type="cellIs" dxfId="254" priority="15" stopIfTrue="1" operator="lessThan">
      <formula>0</formula>
    </cfRule>
  </conditionalFormatting>
  <conditionalFormatting sqref="D63">
    <cfRule type="cellIs" dxfId="253" priority="16" stopIfTrue="1" operator="greaterThan">
      <formula>$D$65</formula>
    </cfRule>
  </conditionalFormatting>
  <conditionalFormatting sqref="C63">
    <cfRule type="cellIs" dxfId="252" priority="17" stopIfTrue="1" operator="greaterThan">
      <formula>$C$65</formula>
    </cfRule>
  </conditionalFormatting>
  <conditionalFormatting sqref="D30">
    <cfRule type="cellIs" dxfId="251" priority="18" stopIfTrue="1" operator="greaterThan">
      <formula>$D$32</formula>
    </cfRule>
  </conditionalFormatting>
  <conditionalFormatting sqref="C30">
    <cfRule type="cellIs" dxfId="250" priority="19" stopIfTrue="1" operator="greaterThan">
      <formula>$C$32</formula>
    </cfRule>
  </conditionalFormatting>
  <conditionalFormatting sqref="D64">
    <cfRule type="cellIs" dxfId="249" priority="2" stopIfTrue="1" operator="lessThan">
      <formula>0</formula>
    </cfRule>
  </conditionalFormatting>
  <conditionalFormatting sqref="D31">
    <cfRule type="cellIs" dxfId="248" priority="1" stopIfTrue="1" operator="lessThan">
      <formula>0</formula>
    </cfRule>
  </conditionalFormatting>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51" workbookViewId="0">
      <selection activeCell="B62" sqref="B62"/>
    </sheetView>
  </sheetViews>
  <sheetFormatPr defaultColWidth="8.9140625" defaultRowHeight="15.6" x14ac:dyDescent="0.25"/>
  <cols>
    <col min="1" max="1" width="2.4140625" style="63" customWidth="1"/>
    <col min="2" max="2" width="31.08203125" style="63" customWidth="1"/>
    <col min="3" max="4" width="15.75" style="63" customWidth="1"/>
    <col min="5" max="5" width="16.08203125" style="63" customWidth="1"/>
    <col min="6" max="16384" width="8.9140625" style="63"/>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(inputPrYr!B31)</f>
        <v>Spec. Rev. Convention &amp; Tourism</v>
      </c>
      <c r="C5" s="427" t="str">
        <f>CONCATENATE("Actual for ",E1-2,"")</f>
        <v>Actual for 2011</v>
      </c>
      <c r="D5" s="427" t="str">
        <f>CONCATENATE("Estimate for ",E1-1,"")</f>
        <v>Estimate for 2012</v>
      </c>
      <c r="E5" s="251" t="str">
        <f>CONCATENATE("Year for ",E1,"")</f>
        <v>Year for 2013</v>
      </c>
    </row>
    <row r="6" spans="2:5" x14ac:dyDescent="0.25">
      <c r="B6" s="343" t="s">
        <v>56</v>
      </c>
      <c r="C6" s="89">
        <v>134543</v>
      </c>
      <c r="D6" s="329">
        <f>C31</f>
        <v>141979</v>
      </c>
      <c r="E6" s="329">
        <f>D31</f>
        <v>141302</v>
      </c>
    </row>
    <row r="7" spans="2:5" x14ac:dyDescent="0.25">
      <c r="B7" s="344" t="s">
        <v>58</v>
      </c>
      <c r="C7" s="107"/>
      <c r="D7" s="107"/>
      <c r="E7" s="107"/>
    </row>
    <row r="8" spans="2:5" x14ac:dyDescent="0.25">
      <c r="B8" s="331" t="s">
        <v>1104</v>
      </c>
      <c r="C8" s="89">
        <v>72871</v>
      </c>
      <c r="D8" s="89">
        <v>75000</v>
      </c>
      <c r="E8" s="89">
        <v>75000</v>
      </c>
    </row>
    <row r="9" spans="2:5" x14ac:dyDescent="0.25">
      <c r="B9" s="331" t="s">
        <v>333</v>
      </c>
      <c r="C9" s="89">
        <v>528</v>
      </c>
      <c r="D9" s="89">
        <v>450</v>
      </c>
      <c r="E9" s="89">
        <v>450</v>
      </c>
    </row>
    <row r="10" spans="2:5" x14ac:dyDescent="0.25">
      <c r="B10" s="331" t="s">
        <v>1037</v>
      </c>
      <c r="C10" s="89">
        <v>2409</v>
      </c>
      <c r="D10" s="89">
        <v>0</v>
      </c>
      <c r="E10" s="89">
        <v>0</v>
      </c>
    </row>
    <row r="11" spans="2:5" x14ac:dyDescent="0.25">
      <c r="B11" s="331" t="s">
        <v>1046</v>
      </c>
      <c r="C11" s="89">
        <v>900</v>
      </c>
      <c r="D11" s="89">
        <v>0</v>
      </c>
      <c r="E11" s="89">
        <v>0</v>
      </c>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76708</v>
      </c>
      <c r="D16" s="339">
        <f>SUM(D8:D14)</f>
        <v>75450</v>
      </c>
      <c r="E16" s="339">
        <f>SUM(E8:E14)</f>
        <v>75450</v>
      </c>
    </row>
    <row r="17" spans="2:5" x14ac:dyDescent="0.25">
      <c r="B17" s="337" t="s">
        <v>290</v>
      </c>
      <c r="C17" s="339">
        <f>C6+C16</f>
        <v>211251</v>
      </c>
      <c r="D17" s="339">
        <f>D6+D16</f>
        <v>217429</v>
      </c>
      <c r="E17" s="339">
        <f>E6+E16</f>
        <v>216752</v>
      </c>
    </row>
    <row r="18" spans="2:5" x14ac:dyDescent="0.25">
      <c r="B18" s="148" t="s">
        <v>292</v>
      </c>
      <c r="C18" s="329"/>
      <c r="D18" s="329"/>
      <c r="E18" s="329"/>
    </row>
    <row r="19" spans="2:5" x14ac:dyDescent="0.25">
      <c r="B19" s="331" t="s">
        <v>1105</v>
      </c>
      <c r="C19" s="89">
        <v>21182</v>
      </c>
      <c r="D19" s="89">
        <v>22037</v>
      </c>
      <c r="E19" s="89">
        <v>23276</v>
      </c>
    </row>
    <row r="20" spans="2:5" x14ac:dyDescent="0.25">
      <c r="B20" s="331" t="s">
        <v>1106</v>
      </c>
      <c r="C20" s="89">
        <v>47446</v>
      </c>
      <c r="D20" s="89">
        <v>52190</v>
      </c>
      <c r="E20" s="89">
        <v>55420</v>
      </c>
    </row>
    <row r="21" spans="2:5" x14ac:dyDescent="0.25">
      <c r="B21" s="331" t="s">
        <v>1107</v>
      </c>
      <c r="C21" s="89">
        <v>644</v>
      </c>
      <c r="D21" s="89">
        <v>1900</v>
      </c>
      <c r="E21" s="89">
        <v>1500</v>
      </c>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69272</v>
      </c>
      <c r="D30" s="339">
        <f>SUM(D19:D28)</f>
        <v>76127</v>
      </c>
      <c r="E30" s="339">
        <f>SUM(E19:E28)</f>
        <v>80196</v>
      </c>
    </row>
    <row r="31" spans="2:5" x14ac:dyDescent="0.25">
      <c r="B31" s="148" t="s">
        <v>57</v>
      </c>
      <c r="C31" s="102">
        <f>C17-C30</f>
        <v>141979</v>
      </c>
      <c r="D31" s="102">
        <f>D17-D30</f>
        <v>141302</v>
      </c>
      <c r="E31" s="102">
        <f>E17-E30</f>
        <v>136556</v>
      </c>
    </row>
    <row r="32" spans="2:5" x14ac:dyDescent="0.25">
      <c r="B32" s="178" t="str">
        <f>CONCATENATE("",E1-2,"/",E1-1," Budget Authority Amount:")</f>
        <v>2011/2012 Budget Authority Amount:</v>
      </c>
      <c r="C32" s="286">
        <f>inputOth!B76</f>
        <v>70557</v>
      </c>
      <c r="D32" s="286">
        <f>inputPrYr!D31</f>
        <v>76127</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(inputPrYr!B32)</f>
        <v>Spec. Rev. Drug &amp; Alcohol</v>
      </c>
      <c r="C38" s="342" t="str">
        <f>C5</f>
        <v>Actual for 2011</v>
      </c>
      <c r="D38" s="342" t="str">
        <f>D5</f>
        <v>Estimate for 2012</v>
      </c>
      <c r="E38" s="342" t="str">
        <f>E5</f>
        <v>Year for 2013</v>
      </c>
    </row>
    <row r="39" spans="2:5" x14ac:dyDescent="0.25">
      <c r="B39" s="343" t="s">
        <v>56</v>
      </c>
      <c r="C39" s="89">
        <v>174254</v>
      </c>
      <c r="D39" s="329">
        <f>C64</f>
        <v>160173</v>
      </c>
      <c r="E39" s="329">
        <f>D64</f>
        <v>129773</v>
      </c>
    </row>
    <row r="40" spans="2:5" x14ac:dyDescent="0.25">
      <c r="B40" s="344" t="s">
        <v>58</v>
      </c>
      <c r="C40" s="107"/>
      <c r="D40" s="107"/>
      <c r="E40" s="107"/>
    </row>
    <row r="41" spans="2:5" x14ac:dyDescent="0.25">
      <c r="B41" s="331" t="s">
        <v>1039</v>
      </c>
      <c r="C41" s="89">
        <v>50608</v>
      </c>
      <c r="D41" s="89">
        <v>45000</v>
      </c>
      <c r="E41" s="89">
        <v>45000</v>
      </c>
    </row>
    <row r="42" spans="2:5" x14ac:dyDescent="0.25">
      <c r="B42" s="331" t="s">
        <v>333</v>
      </c>
      <c r="C42" s="89">
        <v>546</v>
      </c>
      <c r="D42" s="89">
        <v>400</v>
      </c>
      <c r="E42" s="89">
        <v>400</v>
      </c>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51154</v>
      </c>
      <c r="D49" s="339">
        <f>SUM(D41:D47)</f>
        <v>45400</v>
      </c>
      <c r="E49" s="339">
        <f>SUM(E41:E47)</f>
        <v>45400</v>
      </c>
    </row>
    <row r="50" spans="2:5" x14ac:dyDescent="0.25">
      <c r="B50" s="337" t="s">
        <v>290</v>
      </c>
      <c r="C50" s="339">
        <f>C39+C49</f>
        <v>225408</v>
      </c>
      <c r="D50" s="339">
        <f>D39+D49</f>
        <v>205573</v>
      </c>
      <c r="E50" s="339">
        <f>E39+E49</f>
        <v>175173</v>
      </c>
    </row>
    <row r="51" spans="2:5" x14ac:dyDescent="0.25">
      <c r="B51" s="148" t="s">
        <v>292</v>
      </c>
      <c r="C51" s="329"/>
      <c r="D51" s="329"/>
      <c r="E51" s="329"/>
    </row>
    <row r="52" spans="2:5" x14ac:dyDescent="0.25">
      <c r="B52" s="331" t="s">
        <v>1106</v>
      </c>
      <c r="C52" s="89">
        <v>14635</v>
      </c>
      <c r="D52" s="89">
        <v>25000</v>
      </c>
      <c r="E52" s="89">
        <v>25000</v>
      </c>
    </row>
    <row r="53" spans="2:5" x14ac:dyDescent="0.25">
      <c r="B53" s="331" t="s">
        <v>1108</v>
      </c>
      <c r="C53" s="89">
        <v>50600</v>
      </c>
      <c r="D53" s="89">
        <v>50800</v>
      </c>
      <c r="E53" s="89">
        <v>54325</v>
      </c>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65235</v>
      </c>
      <c r="D63" s="339">
        <f>SUM(D52:D61)</f>
        <v>75800</v>
      </c>
      <c r="E63" s="339">
        <f>SUM(E52:E61)</f>
        <v>79325</v>
      </c>
    </row>
    <row r="64" spans="2:5" x14ac:dyDescent="0.25">
      <c r="B64" s="148" t="s">
        <v>57</v>
      </c>
      <c r="C64" s="102">
        <f>C50-C63</f>
        <v>160173</v>
      </c>
      <c r="D64" s="102">
        <f>D50-D63</f>
        <v>129773</v>
      </c>
      <c r="E64" s="102">
        <f>E50-E63</f>
        <v>95848</v>
      </c>
    </row>
    <row r="65" spans="2:5" x14ac:dyDescent="0.25">
      <c r="B65" s="178" t="str">
        <f>CONCATENATE("",E1-2,"/",E1-1," Budget Authority Amount:")</f>
        <v>2011/2012 Budget Authority Amount:</v>
      </c>
      <c r="C65" s="286">
        <f>inputOth!B77</f>
        <v>82000</v>
      </c>
      <c r="D65" s="286">
        <f>inputPrYr!D32</f>
        <v>75800</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12</v>
      </c>
      <c r="D69" s="67"/>
      <c r="E69" s="67"/>
    </row>
  </sheetData>
  <phoneticPr fontId="0" type="noConversion"/>
  <conditionalFormatting sqref="C47">
    <cfRule type="cellIs" dxfId="247" priority="3" stopIfTrue="1" operator="greaterThan">
      <formula>$C$49*0.1</formula>
    </cfRule>
  </conditionalFormatting>
  <conditionalFormatting sqref="D47">
    <cfRule type="cellIs" dxfId="246" priority="4" stopIfTrue="1" operator="greaterThan">
      <formula>$D$49*0.1</formula>
    </cfRule>
  </conditionalFormatting>
  <conditionalFormatting sqref="E47">
    <cfRule type="cellIs" dxfId="245" priority="5" stopIfTrue="1" operator="greaterThan">
      <formula>$E$49*0.1</formula>
    </cfRule>
  </conditionalFormatting>
  <conditionalFormatting sqref="C61">
    <cfRule type="cellIs" dxfId="244" priority="6" stopIfTrue="1" operator="greaterThan">
      <formula>$C$63*0.1</formula>
    </cfRule>
  </conditionalFormatting>
  <conditionalFormatting sqref="D61">
    <cfRule type="cellIs" dxfId="243" priority="7" stopIfTrue="1" operator="greaterThan">
      <formula>$D$63*0.1</formula>
    </cfRule>
  </conditionalFormatting>
  <conditionalFormatting sqref="E61">
    <cfRule type="cellIs" dxfId="242" priority="8" stopIfTrue="1" operator="greaterThan">
      <formula>$E$63*0.1</formula>
    </cfRule>
  </conditionalFormatting>
  <conditionalFormatting sqref="C28">
    <cfRule type="cellIs" dxfId="241" priority="9" stopIfTrue="1" operator="greaterThan">
      <formula>$C$30*0.1</formula>
    </cfRule>
  </conditionalFormatting>
  <conditionalFormatting sqref="D28">
    <cfRule type="cellIs" dxfId="240" priority="10" stopIfTrue="1" operator="greaterThan">
      <formula>$D$30*0.1</formula>
    </cfRule>
  </conditionalFormatting>
  <conditionalFormatting sqref="E28">
    <cfRule type="cellIs" dxfId="239" priority="11" stopIfTrue="1" operator="greaterThan">
      <formula>$E$30*0.1</formula>
    </cfRule>
  </conditionalFormatting>
  <conditionalFormatting sqref="C14">
    <cfRule type="cellIs" dxfId="238" priority="12" stopIfTrue="1" operator="greaterThan">
      <formula>$C$16*0.1</formula>
    </cfRule>
  </conditionalFormatting>
  <conditionalFormatting sqref="D14">
    <cfRule type="cellIs" dxfId="237" priority="13" stopIfTrue="1" operator="greaterThan">
      <formula>$D$16*0.1</formula>
    </cfRule>
  </conditionalFormatting>
  <conditionalFormatting sqref="E14">
    <cfRule type="cellIs" dxfId="236" priority="14" stopIfTrue="1" operator="greaterThan">
      <formula>$E$16*0.1</formula>
    </cfRule>
  </conditionalFormatting>
  <conditionalFormatting sqref="E64 C64 E31 C31">
    <cfRule type="cellIs" dxfId="235" priority="15" stopIfTrue="1" operator="lessThan">
      <formula>0</formula>
    </cfRule>
  </conditionalFormatting>
  <conditionalFormatting sqref="D30">
    <cfRule type="cellIs" dxfId="234" priority="16" stopIfTrue="1" operator="greaterThan">
      <formula>$D$32</formula>
    </cfRule>
  </conditionalFormatting>
  <conditionalFormatting sqref="C30">
    <cfRule type="cellIs" dxfId="233" priority="17" stopIfTrue="1" operator="greaterThan">
      <formula>$C$32</formula>
    </cfRule>
  </conditionalFormatting>
  <conditionalFormatting sqref="C63">
    <cfRule type="cellIs" dxfId="232" priority="18" stopIfTrue="1" operator="greaterThan">
      <formula>$C$65</formula>
    </cfRule>
  </conditionalFormatting>
  <conditionalFormatting sqref="D63">
    <cfRule type="cellIs" dxfId="231" priority="19" stopIfTrue="1" operator="greaterThan">
      <formula>$D$65</formula>
    </cfRule>
  </conditionalFormatting>
  <conditionalFormatting sqref="D64 D31">
    <cfRule type="cellIs" dxfId="230" priority="2" stopIfTrue="1" operator="lessThan">
      <formula>0</formula>
    </cfRule>
  </conditionalFormatting>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69"/>
  <sheetViews>
    <sheetView topLeftCell="A48" workbookViewId="0">
      <selection activeCell="B52" sqref="B52"/>
    </sheetView>
  </sheetViews>
  <sheetFormatPr defaultColWidth="8.9140625" defaultRowHeight="15.6" x14ac:dyDescent="0.25"/>
  <cols>
    <col min="1" max="1" width="2.4140625" style="63" customWidth="1"/>
    <col min="2" max="2" width="31.08203125" style="63" customWidth="1"/>
    <col min="3" max="4" width="15.75" style="63" customWidth="1"/>
    <col min="5" max="5" width="16.6640625" style="63" customWidth="1"/>
    <col min="6" max="16384" width="8.9140625" style="63"/>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inputPrYr!B33</f>
        <v>Spec. Rev. Economic Development</v>
      </c>
      <c r="C5" s="427" t="str">
        <f>CONCATENATE("Actual for ",E1-2,"")</f>
        <v>Actual for 2011</v>
      </c>
      <c r="D5" s="427" t="str">
        <f>CONCATENATE("Estimate for ",E1-1,"")</f>
        <v>Estimate for 2012</v>
      </c>
      <c r="E5" s="251" t="str">
        <f>CONCATENATE("Year for ",E1,"")</f>
        <v>Year for 2013</v>
      </c>
    </row>
    <row r="6" spans="2:5" x14ac:dyDescent="0.25">
      <c r="B6" s="343" t="s">
        <v>56</v>
      </c>
      <c r="C6" s="89">
        <v>22714</v>
      </c>
      <c r="D6" s="329">
        <f>C31</f>
        <v>11147</v>
      </c>
      <c r="E6" s="329">
        <f>D31</f>
        <v>11727</v>
      </c>
    </row>
    <row r="7" spans="2:5" x14ac:dyDescent="0.25">
      <c r="B7" s="344" t="s">
        <v>58</v>
      </c>
      <c r="C7" s="107"/>
      <c r="D7" s="107"/>
      <c r="E7" s="107"/>
    </row>
    <row r="8" spans="2:5" x14ac:dyDescent="0.25">
      <c r="B8" s="331" t="s">
        <v>1109</v>
      </c>
      <c r="C8" s="89">
        <v>6700</v>
      </c>
      <c r="D8" s="89">
        <v>10000</v>
      </c>
      <c r="E8" s="89">
        <v>0</v>
      </c>
    </row>
    <row r="9" spans="2:5" x14ac:dyDescent="0.25">
      <c r="B9" s="331" t="s">
        <v>333</v>
      </c>
      <c r="C9" s="89">
        <v>52</v>
      </c>
      <c r="D9" s="89">
        <v>30</v>
      </c>
      <c r="E9" s="89">
        <v>0</v>
      </c>
    </row>
    <row r="10" spans="2:5" x14ac:dyDescent="0.25">
      <c r="B10" s="331" t="s">
        <v>261</v>
      </c>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6752</v>
      </c>
      <c r="D16" s="339">
        <f>SUM(D8:D14)</f>
        <v>10030</v>
      </c>
      <c r="E16" s="339">
        <f>SUM(E8:E14)</f>
        <v>0</v>
      </c>
    </row>
    <row r="17" spans="2:5" x14ac:dyDescent="0.25">
      <c r="B17" s="337" t="s">
        <v>290</v>
      </c>
      <c r="C17" s="339">
        <f>C6+C16</f>
        <v>29466</v>
      </c>
      <c r="D17" s="339">
        <f>D6+D16</f>
        <v>21177</v>
      </c>
      <c r="E17" s="339">
        <f>E6+E16</f>
        <v>11727</v>
      </c>
    </row>
    <row r="18" spans="2:5" x14ac:dyDescent="0.25">
      <c r="B18" s="148" t="s">
        <v>292</v>
      </c>
      <c r="C18" s="329"/>
      <c r="D18" s="329"/>
      <c r="E18" s="329"/>
    </row>
    <row r="19" spans="2:5" x14ac:dyDescent="0.25">
      <c r="B19" s="331" t="s">
        <v>1106</v>
      </c>
      <c r="C19" s="89">
        <v>17337</v>
      </c>
      <c r="D19" s="89">
        <v>8700</v>
      </c>
      <c r="E19" s="89">
        <v>10517</v>
      </c>
    </row>
    <row r="20" spans="2:5" x14ac:dyDescent="0.25">
      <c r="B20" s="331" t="s">
        <v>1107</v>
      </c>
      <c r="C20" s="89">
        <v>982</v>
      </c>
      <c r="D20" s="89">
        <v>750</v>
      </c>
      <c r="E20" s="89">
        <v>900</v>
      </c>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18319</v>
      </c>
      <c r="D30" s="339">
        <f>SUM(D19:D28)</f>
        <v>9450</v>
      </c>
      <c r="E30" s="339">
        <f>SUM(E19:E28)</f>
        <v>11417</v>
      </c>
    </row>
    <row r="31" spans="2:5" x14ac:dyDescent="0.25">
      <c r="B31" s="148" t="s">
        <v>57</v>
      </c>
      <c r="C31" s="102">
        <f>C17-C30</f>
        <v>11147</v>
      </c>
      <c r="D31" s="102">
        <f>D17-D30</f>
        <v>11727</v>
      </c>
      <c r="E31" s="102">
        <f>E17-E30</f>
        <v>310</v>
      </c>
    </row>
    <row r="32" spans="2:5" x14ac:dyDescent="0.25">
      <c r="B32" s="178" t="str">
        <f>CONCATENATE("",E1-2,"/",E1-1," Budget Authority Amount:")</f>
        <v>2011/2012 Budget Authority Amount:</v>
      </c>
      <c r="C32" s="286">
        <f>inputOth!B78</f>
        <v>19650</v>
      </c>
      <c r="D32" s="286">
        <f>inputPrYr!D33</f>
        <v>9450</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inputPrYr!B34</f>
        <v>Spec. Rev. Emergency Services Capital</v>
      </c>
      <c r="C38" s="342" t="str">
        <f>C5</f>
        <v>Actual for 2011</v>
      </c>
      <c r="D38" s="342" t="str">
        <f>D5</f>
        <v>Estimate for 2012</v>
      </c>
      <c r="E38" s="342" t="str">
        <f>E5</f>
        <v>Year for 2013</v>
      </c>
    </row>
    <row r="39" spans="2:5" x14ac:dyDescent="0.25">
      <c r="B39" s="343" t="s">
        <v>56</v>
      </c>
      <c r="C39" s="89">
        <v>522827</v>
      </c>
      <c r="D39" s="329">
        <f>C64</f>
        <v>333251</v>
      </c>
      <c r="E39" s="329">
        <f>D64</f>
        <v>286618</v>
      </c>
    </row>
    <row r="40" spans="2:5" x14ac:dyDescent="0.25">
      <c r="B40" s="344" t="s">
        <v>58</v>
      </c>
      <c r="C40" s="107"/>
      <c r="D40" s="107"/>
      <c r="E40" s="107"/>
    </row>
    <row r="41" spans="2:5" x14ac:dyDescent="0.25">
      <c r="B41" s="331" t="s">
        <v>1032</v>
      </c>
      <c r="C41" s="89">
        <v>443502</v>
      </c>
      <c r="D41" s="89">
        <v>433750</v>
      </c>
      <c r="E41" s="89">
        <v>426500</v>
      </c>
    </row>
    <row r="42" spans="2:5" x14ac:dyDescent="0.25">
      <c r="B42" s="331" t="s">
        <v>333</v>
      </c>
      <c r="C42" s="89">
        <v>1536</v>
      </c>
      <c r="D42" s="89">
        <v>1000</v>
      </c>
      <c r="E42" s="89">
        <v>1000</v>
      </c>
    </row>
    <row r="43" spans="2:5" x14ac:dyDescent="0.25">
      <c r="B43" s="331" t="s">
        <v>1115</v>
      </c>
      <c r="C43" s="89">
        <v>7002</v>
      </c>
      <c r="D43" s="89">
        <v>0</v>
      </c>
      <c r="E43" s="89">
        <v>0</v>
      </c>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6" x14ac:dyDescent="0.25">
      <c r="B49" s="337" t="s">
        <v>289</v>
      </c>
      <c r="C49" s="339">
        <f>SUM(C41:C47)</f>
        <v>452040</v>
      </c>
      <c r="D49" s="339">
        <f>SUM(D41:D47)</f>
        <v>434750</v>
      </c>
      <c r="E49" s="339">
        <f>SUM(E41:E47)</f>
        <v>427500</v>
      </c>
    </row>
    <row r="50" spans="2:6" x14ac:dyDescent="0.25">
      <c r="B50" s="337" t="s">
        <v>290</v>
      </c>
      <c r="C50" s="339">
        <f>C39+C49</f>
        <v>974867</v>
      </c>
      <c r="D50" s="339">
        <f>D39+D49</f>
        <v>768001</v>
      </c>
      <c r="E50" s="339">
        <f>E39+E49</f>
        <v>714118</v>
      </c>
    </row>
    <row r="51" spans="2:6" x14ac:dyDescent="0.25">
      <c r="B51" s="148" t="s">
        <v>292</v>
      </c>
      <c r="C51" s="329"/>
      <c r="D51" s="329"/>
      <c r="E51" s="329"/>
    </row>
    <row r="52" spans="2:6" x14ac:dyDescent="0.25">
      <c r="B52" s="331" t="s">
        <v>1116</v>
      </c>
      <c r="C52" s="89">
        <v>380328</v>
      </c>
      <c r="D52" s="89">
        <v>405944</v>
      </c>
      <c r="E52" s="89">
        <v>446074</v>
      </c>
    </row>
    <row r="53" spans="2:6" x14ac:dyDescent="0.25">
      <c r="B53" s="331" t="s">
        <v>1103</v>
      </c>
      <c r="C53" s="89">
        <v>261288</v>
      </c>
      <c r="D53" s="89">
        <v>75439</v>
      </c>
      <c r="E53" s="89">
        <v>268044</v>
      </c>
      <c r="F53" s="63" t="s">
        <v>261</v>
      </c>
    </row>
    <row r="54" spans="2:6" x14ac:dyDescent="0.25">
      <c r="B54" s="331" t="s">
        <v>261</v>
      </c>
      <c r="C54" s="89"/>
      <c r="D54" s="89"/>
      <c r="E54" s="89"/>
    </row>
    <row r="55" spans="2:6" x14ac:dyDescent="0.25">
      <c r="B55" s="331" t="s">
        <v>261</v>
      </c>
      <c r="C55" s="89"/>
      <c r="D55" s="89"/>
      <c r="E55" s="89"/>
    </row>
    <row r="56" spans="2:6" x14ac:dyDescent="0.25">
      <c r="B56" s="331"/>
      <c r="C56" s="89"/>
      <c r="D56" s="89"/>
      <c r="E56" s="89"/>
    </row>
    <row r="57" spans="2:6" x14ac:dyDescent="0.25">
      <c r="B57" s="331"/>
      <c r="C57" s="89"/>
      <c r="D57" s="89"/>
      <c r="E57" s="89"/>
    </row>
    <row r="58" spans="2:6" x14ac:dyDescent="0.25">
      <c r="B58" s="331"/>
      <c r="C58" s="89"/>
      <c r="D58" s="89"/>
      <c r="E58" s="89"/>
    </row>
    <row r="59" spans="2:6" x14ac:dyDescent="0.25">
      <c r="B59" s="331"/>
      <c r="C59" s="89"/>
      <c r="D59" s="89"/>
      <c r="E59" s="89"/>
    </row>
    <row r="60" spans="2:6" x14ac:dyDescent="0.25">
      <c r="B60" s="331"/>
      <c r="C60" s="89"/>
      <c r="D60" s="89"/>
      <c r="E60" s="89"/>
    </row>
    <row r="61" spans="2:6" x14ac:dyDescent="0.25">
      <c r="B61" s="335" t="s">
        <v>183</v>
      </c>
      <c r="C61" s="89"/>
      <c r="D61" s="328"/>
      <c r="E61" s="328"/>
    </row>
    <row r="62" spans="2:6" x14ac:dyDescent="0.25">
      <c r="B62" s="335" t="s">
        <v>671</v>
      </c>
      <c r="C62" s="533" t="str">
        <f>IF(C63*0.1&lt;C61,"Exceed 10% Rule","")</f>
        <v/>
      </c>
      <c r="D62" s="336" t="str">
        <f>IF(D63*0.1&lt;D61,"Exceed 10% Rule","")</f>
        <v/>
      </c>
      <c r="E62" s="336" t="str">
        <f>IF(E63*0.1&lt;E61,"Exceed 10% Rule","")</f>
        <v/>
      </c>
    </row>
    <row r="63" spans="2:6" x14ac:dyDescent="0.25">
      <c r="B63" s="145" t="s">
        <v>296</v>
      </c>
      <c r="C63" s="339">
        <f>SUM(C52:C61)</f>
        <v>641616</v>
      </c>
      <c r="D63" s="339">
        <f>SUM(D52:D61)</f>
        <v>481383</v>
      </c>
      <c r="E63" s="339">
        <f>SUM(E52:E61)</f>
        <v>714118</v>
      </c>
    </row>
    <row r="64" spans="2:6" x14ac:dyDescent="0.25">
      <c r="B64" s="148" t="s">
        <v>57</v>
      </c>
      <c r="C64" s="102">
        <f>C50-C63</f>
        <v>333251</v>
      </c>
      <c r="D64" s="102">
        <f>D50-D63</f>
        <v>286618</v>
      </c>
      <c r="E64" s="102">
        <f>E50-E63</f>
        <v>0</v>
      </c>
    </row>
    <row r="65" spans="2:5" x14ac:dyDescent="0.25">
      <c r="B65" s="178" t="str">
        <f>CONCATENATE("",E1-2,"/",E1-1," Budget Authority Amount:")</f>
        <v>2011/2012 Budget Authority Amount:</v>
      </c>
      <c r="C65" s="286">
        <f>inputOth!B79</f>
        <v>764338</v>
      </c>
      <c r="D65" s="286">
        <f>inputPrYr!D34</f>
        <v>484383</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13</v>
      </c>
      <c r="D69" s="67"/>
      <c r="E69" s="67"/>
    </row>
  </sheetData>
  <phoneticPr fontId="0" type="noConversion"/>
  <conditionalFormatting sqref="C47">
    <cfRule type="cellIs" dxfId="229" priority="3" stopIfTrue="1" operator="greaterThan">
      <formula>$C$49*0.1</formula>
    </cfRule>
  </conditionalFormatting>
  <conditionalFormatting sqref="D47">
    <cfRule type="cellIs" dxfId="228" priority="4" stopIfTrue="1" operator="greaterThan">
      <formula>$D$49*0.1</formula>
    </cfRule>
  </conditionalFormatting>
  <conditionalFormatting sqref="E47">
    <cfRule type="cellIs" dxfId="227" priority="5" stopIfTrue="1" operator="greaterThan">
      <formula>$E$49*0.1</formula>
    </cfRule>
  </conditionalFormatting>
  <conditionalFormatting sqref="C61">
    <cfRule type="cellIs" dxfId="226" priority="6" stopIfTrue="1" operator="greaterThan">
      <formula>$C$63*0.1</formula>
    </cfRule>
  </conditionalFormatting>
  <conditionalFormatting sqref="D61">
    <cfRule type="cellIs" dxfId="225" priority="7" stopIfTrue="1" operator="greaterThan">
      <formula>$D$63*0.1</formula>
    </cfRule>
  </conditionalFormatting>
  <conditionalFormatting sqref="E61">
    <cfRule type="cellIs" dxfId="224" priority="8" stopIfTrue="1" operator="greaterThan">
      <formula>$E$63*0.1</formula>
    </cfRule>
  </conditionalFormatting>
  <conditionalFormatting sqref="C28">
    <cfRule type="cellIs" dxfId="223" priority="9" stopIfTrue="1" operator="greaterThan">
      <formula>$C$30*0.1</formula>
    </cfRule>
  </conditionalFormatting>
  <conditionalFormatting sqref="D28">
    <cfRule type="cellIs" dxfId="222" priority="10" stopIfTrue="1" operator="greaterThan">
      <formula>$D$30*0.1</formula>
    </cfRule>
  </conditionalFormatting>
  <conditionalFormatting sqref="E28">
    <cfRule type="cellIs" dxfId="221" priority="11" stopIfTrue="1" operator="greaterThan">
      <formula>$E$30*0.1</formula>
    </cfRule>
  </conditionalFormatting>
  <conditionalFormatting sqref="C14">
    <cfRule type="cellIs" dxfId="220" priority="12" stopIfTrue="1" operator="greaterThan">
      <formula>$C$16*0.1</formula>
    </cfRule>
  </conditionalFormatting>
  <conditionalFormatting sqref="D14">
    <cfRule type="cellIs" dxfId="219" priority="13" stopIfTrue="1" operator="greaterThan">
      <formula>$D$16*0.1</formula>
    </cfRule>
  </conditionalFormatting>
  <conditionalFormatting sqref="E14">
    <cfRule type="cellIs" dxfId="218" priority="14" stopIfTrue="1" operator="greaterThan">
      <formula>$E$16*0.1</formula>
    </cfRule>
  </conditionalFormatting>
  <conditionalFormatting sqref="E31 C31 E64 C64">
    <cfRule type="cellIs" dxfId="217" priority="15" stopIfTrue="1" operator="lessThan">
      <formula>0</formula>
    </cfRule>
  </conditionalFormatting>
  <conditionalFormatting sqref="C30">
    <cfRule type="cellIs" dxfId="216" priority="16" stopIfTrue="1" operator="greaterThan">
      <formula>$C$32</formula>
    </cfRule>
  </conditionalFormatting>
  <conditionalFormatting sqref="D30">
    <cfRule type="cellIs" dxfId="215" priority="17" stopIfTrue="1" operator="greaterThan">
      <formula>$D$32</formula>
    </cfRule>
  </conditionalFormatting>
  <conditionalFormatting sqref="C63">
    <cfRule type="cellIs" dxfId="214" priority="18" stopIfTrue="1" operator="greaterThan">
      <formula>$C$65</formula>
    </cfRule>
  </conditionalFormatting>
  <conditionalFormatting sqref="D63">
    <cfRule type="cellIs" dxfId="213" priority="19" stopIfTrue="1" operator="greaterThan">
      <formula>$D$65</formula>
    </cfRule>
  </conditionalFormatting>
  <conditionalFormatting sqref="D64">
    <cfRule type="cellIs" dxfId="212" priority="2" stopIfTrue="1" operator="lessThan">
      <formula>0</formula>
    </cfRule>
  </conditionalFormatting>
  <conditionalFormatting sqref="D31">
    <cfRule type="cellIs" dxfId="211" priority="1" stopIfTrue="1" operator="lessThan">
      <formula>0</formula>
    </cfRule>
  </conditionalFormatting>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3"/>
  <sheetViews>
    <sheetView topLeftCell="A90" workbookViewId="0">
      <selection activeCell="D24" sqref="D24"/>
    </sheetView>
  </sheetViews>
  <sheetFormatPr defaultColWidth="8.9140625" defaultRowHeight="15.6" x14ac:dyDescent="0.25"/>
  <cols>
    <col min="1" max="1" width="15.75" style="63" customWidth="1"/>
    <col min="2" max="2" width="20.75" style="63" customWidth="1"/>
    <col min="3" max="3" width="9.75" style="63" customWidth="1"/>
    <col min="4" max="4" width="15.08203125" style="63" customWidth="1"/>
    <col min="5" max="5" width="15.75" style="63" customWidth="1"/>
    <col min="6" max="6" width="1.9140625" style="63" customWidth="1"/>
    <col min="7" max="7" width="18.6640625" style="63" customWidth="1"/>
    <col min="8" max="16384" width="8.9140625" style="63"/>
  </cols>
  <sheetData>
    <row r="1" spans="1:8" x14ac:dyDescent="0.25">
      <c r="A1" s="807" t="s">
        <v>178</v>
      </c>
      <c r="B1" s="808"/>
      <c r="C1" s="808"/>
      <c r="D1" s="808"/>
      <c r="E1" s="808"/>
    </row>
    <row r="2" spans="1:8" x14ac:dyDescent="0.25">
      <c r="A2" s="64"/>
      <c r="B2" s="65"/>
      <c r="C2" s="65"/>
      <c r="D2" s="65"/>
      <c r="E2" s="65"/>
    </row>
    <row r="3" spans="1:8" x14ac:dyDescent="0.25">
      <c r="A3" s="66" t="s">
        <v>161</v>
      </c>
      <c r="B3" s="67"/>
      <c r="C3" s="67"/>
      <c r="D3" s="68" t="s">
        <v>981</v>
      </c>
      <c r="E3" s="69"/>
    </row>
    <row r="4" spans="1:8" x14ac:dyDescent="0.25">
      <c r="A4" s="66" t="s">
        <v>189</v>
      </c>
      <c r="B4" s="67"/>
      <c r="C4" s="67"/>
      <c r="D4" s="70" t="s">
        <v>982</v>
      </c>
      <c r="E4" s="71"/>
    </row>
    <row r="5" spans="1:8" x14ac:dyDescent="0.25">
      <c r="A5" s="64" t="s">
        <v>165</v>
      </c>
      <c r="B5" s="72"/>
      <c r="C5" s="67"/>
      <c r="D5" s="73"/>
      <c r="E5" s="67"/>
    </row>
    <row r="6" spans="1:8" x14ac:dyDescent="0.25">
      <c r="A6" s="66" t="s">
        <v>162</v>
      </c>
      <c r="B6" s="67"/>
      <c r="C6" s="67"/>
      <c r="D6" s="68" t="s">
        <v>983</v>
      </c>
      <c r="E6" s="69"/>
    </row>
    <row r="7" spans="1:8" x14ac:dyDescent="0.25">
      <c r="A7" s="66" t="s">
        <v>163</v>
      </c>
      <c r="B7" s="67"/>
      <c r="C7" s="67"/>
      <c r="D7" s="70" t="s">
        <v>984</v>
      </c>
      <c r="E7" s="71"/>
    </row>
    <row r="8" spans="1:8" x14ac:dyDescent="0.25">
      <c r="A8" s="66" t="s">
        <v>164</v>
      </c>
      <c r="B8" s="67"/>
      <c r="C8" s="67"/>
      <c r="D8" s="70"/>
      <c r="E8" s="71"/>
    </row>
    <row r="9" spans="1:8" x14ac:dyDescent="0.25">
      <c r="A9" s="74"/>
      <c r="B9" s="67"/>
      <c r="C9" s="67"/>
      <c r="D9" s="73"/>
      <c r="E9" s="67"/>
    </row>
    <row r="10" spans="1:8" x14ac:dyDescent="0.25">
      <c r="A10" s="66" t="s">
        <v>91</v>
      </c>
      <c r="B10" s="67"/>
      <c r="C10" s="75">
        <v>2013</v>
      </c>
      <c r="D10" s="73"/>
      <c r="E10" s="67"/>
    </row>
    <row r="11" spans="1:8" x14ac:dyDescent="0.25">
      <c r="A11" s="67"/>
      <c r="B11" s="67"/>
      <c r="C11" s="67"/>
      <c r="D11" s="67"/>
      <c r="E11" s="67"/>
    </row>
    <row r="12" spans="1:8" x14ac:dyDescent="0.25">
      <c r="A12" s="76" t="s">
        <v>350</v>
      </c>
      <c r="B12" s="77"/>
      <c r="C12" s="77"/>
      <c r="D12" s="77"/>
      <c r="E12" s="77"/>
    </row>
    <row r="13" spans="1:8" x14ac:dyDescent="0.25">
      <c r="A13" s="76" t="s">
        <v>349</v>
      </c>
      <c r="B13" s="77"/>
      <c r="C13" s="77"/>
      <c r="D13" s="77"/>
      <c r="E13" s="77"/>
      <c r="F13" s="741"/>
      <c r="G13" s="809" t="s">
        <v>898</v>
      </c>
      <c r="H13" s="810"/>
    </row>
    <row r="14" spans="1:8" x14ac:dyDescent="0.25">
      <c r="A14" s="76"/>
      <c r="B14" s="77"/>
      <c r="C14" s="77"/>
      <c r="D14" s="77"/>
      <c r="E14" s="77"/>
      <c r="F14" s="741"/>
      <c r="G14" s="811"/>
      <c r="H14" s="810"/>
    </row>
    <row r="15" spans="1:8" x14ac:dyDescent="0.25">
      <c r="A15" s="805" t="s">
        <v>147</v>
      </c>
      <c r="B15" s="806"/>
      <c r="C15" s="806"/>
      <c r="D15" s="806"/>
      <c r="E15" s="806"/>
      <c r="F15" s="741"/>
      <c r="G15" s="811"/>
      <c r="H15" s="810"/>
    </row>
    <row r="16" spans="1:8" x14ac:dyDescent="0.25">
      <c r="A16" s="67"/>
      <c r="B16" s="67"/>
      <c r="C16" s="67"/>
      <c r="D16" s="67"/>
      <c r="E16" s="67"/>
      <c r="F16" s="741"/>
      <c r="G16" s="811"/>
      <c r="H16" s="810"/>
    </row>
    <row r="17" spans="1:8" x14ac:dyDescent="0.25">
      <c r="A17" s="78" t="s">
        <v>148</v>
      </c>
      <c r="B17" s="79"/>
      <c r="C17" s="67"/>
      <c r="D17" s="67"/>
      <c r="E17" s="67"/>
      <c r="F17" s="741"/>
      <c r="G17" s="811"/>
      <c r="H17" s="810"/>
    </row>
    <row r="18" spans="1:8" x14ac:dyDescent="0.25">
      <c r="A18" s="80" t="str">
        <f>CONCATENATE("the ",C10-1," Budget, Certificate Page:")</f>
        <v>the 2012 Budget, Certificate Page:</v>
      </c>
      <c r="B18" s="81"/>
      <c r="C18" s="67"/>
      <c r="D18" s="67"/>
      <c r="E18" s="96"/>
      <c r="F18" s="741"/>
      <c r="G18" s="811"/>
      <c r="H18" s="810"/>
    </row>
    <row r="19" spans="1:8" x14ac:dyDescent="0.25">
      <c r="A19" s="80" t="s">
        <v>352</v>
      </c>
      <c r="B19" s="81"/>
      <c r="C19" s="67"/>
      <c r="D19" s="67" t="s">
        <v>1083</v>
      </c>
      <c r="E19" s="96"/>
      <c r="F19" s="741"/>
      <c r="G19" s="741"/>
      <c r="H19" s="67"/>
    </row>
    <row r="20" spans="1:8" x14ac:dyDescent="0.25">
      <c r="A20" s="67"/>
      <c r="B20" s="67"/>
      <c r="C20" s="67"/>
      <c r="D20" s="83">
        <f>C10-1</f>
        <v>2012</v>
      </c>
      <c r="E20" s="84">
        <f>C10-2</f>
        <v>2011</v>
      </c>
      <c r="G20" s="742" t="s">
        <v>899</v>
      </c>
      <c r="H20" s="196" t="s">
        <v>298</v>
      </c>
    </row>
    <row r="21" spans="1:8" x14ac:dyDescent="0.25">
      <c r="A21" s="74" t="s">
        <v>256</v>
      </c>
      <c r="B21" s="67"/>
      <c r="C21" s="85" t="s">
        <v>257</v>
      </c>
      <c r="D21" s="86" t="s">
        <v>351</v>
      </c>
      <c r="E21" s="86" t="s">
        <v>195</v>
      </c>
      <c r="G21" s="743" t="str">
        <f>CONCATENATE("",E20," Ad Valorem Tax")</f>
        <v>2011 Ad Valorem Tax</v>
      </c>
      <c r="H21" s="744">
        <v>0</v>
      </c>
    </row>
    <row r="22" spans="1:8" x14ac:dyDescent="0.25">
      <c r="A22" s="67"/>
      <c r="B22" s="87" t="s">
        <v>258</v>
      </c>
      <c r="C22" s="196" t="s">
        <v>60</v>
      </c>
      <c r="D22" s="786">
        <v>6803931</v>
      </c>
      <c r="E22" s="89">
        <v>1253388</v>
      </c>
      <c r="G22" s="745">
        <f>IF(H21&gt;0,ROUND(E22-(E22*H$21),0),0)</f>
        <v>0</v>
      </c>
    </row>
    <row r="23" spans="1:8" x14ac:dyDescent="0.25">
      <c r="A23" s="67"/>
      <c r="B23" s="87" t="s">
        <v>218</v>
      </c>
      <c r="C23" s="196" t="s">
        <v>92</v>
      </c>
      <c r="D23" s="89">
        <v>2741016</v>
      </c>
      <c r="E23" s="89">
        <v>462668</v>
      </c>
      <c r="G23" s="745">
        <f>IF(H21&gt;0,ROUND(E23-(E23*H21),0),0)</f>
        <v>0</v>
      </c>
    </row>
    <row r="24" spans="1:8" x14ac:dyDescent="0.25">
      <c r="A24" s="67"/>
      <c r="B24" s="87" t="s">
        <v>871</v>
      </c>
      <c r="C24" s="196" t="s">
        <v>870</v>
      </c>
      <c r="D24" s="89">
        <v>339257</v>
      </c>
      <c r="E24" s="89">
        <v>318381</v>
      </c>
      <c r="G24" s="745">
        <f>IF(H$21&gt;0,ROUND(E24-(E24*H$21),0),0)</f>
        <v>0</v>
      </c>
    </row>
    <row r="25" spans="1:8" x14ac:dyDescent="0.25">
      <c r="A25" s="74" t="s">
        <v>259</v>
      </c>
      <c r="B25" s="67"/>
      <c r="C25" s="67"/>
      <c r="D25" s="67"/>
      <c r="E25" s="90"/>
    </row>
    <row r="26" spans="1:8" x14ac:dyDescent="0.25">
      <c r="A26" s="92" t="str">
        <f>CONCATENATE("Total Tax Levy Funds for ",C10-1," Budgeted Year")</f>
        <v>Total Tax Levy Funds for 2012 Budgeted Year</v>
      </c>
      <c r="B26" s="82"/>
      <c r="C26" s="82"/>
      <c r="D26" s="93"/>
      <c r="E26" s="94">
        <f>SUM(E22:E25)</f>
        <v>2034437</v>
      </c>
      <c r="G26" s="63" t="s">
        <v>1080</v>
      </c>
    </row>
    <row r="27" spans="1:8" x14ac:dyDescent="0.25">
      <c r="A27" s="95"/>
      <c r="B27" s="96"/>
      <c r="C27" s="96"/>
      <c r="D27" s="97"/>
      <c r="E27" s="90"/>
      <c r="G27" s="63" t="s">
        <v>1080</v>
      </c>
    </row>
    <row r="28" spans="1:8" x14ac:dyDescent="0.25">
      <c r="A28" s="74" t="s">
        <v>97</v>
      </c>
      <c r="B28" s="67"/>
      <c r="C28" s="67"/>
      <c r="D28" s="67"/>
      <c r="E28" s="67"/>
    </row>
    <row r="29" spans="1:8" x14ac:dyDescent="0.25">
      <c r="A29" s="67"/>
      <c r="B29" s="88" t="s">
        <v>985</v>
      </c>
      <c r="C29" s="67"/>
      <c r="D29" s="98">
        <v>442169</v>
      </c>
      <c r="E29" s="67"/>
      <c r="G29" s="63" t="s">
        <v>1080</v>
      </c>
    </row>
    <row r="30" spans="1:8" x14ac:dyDescent="0.25">
      <c r="A30" s="67"/>
      <c r="B30" s="91" t="s">
        <v>986</v>
      </c>
      <c r="C30" s="67"/>
      <c r="D30" s="89">
        <v>26134</v>
      </c>
      <c r="E30" s="67" t="s">
        <v>261</v>
      </c>
      <c r="G30" s="63" t="s">
        <v>1081</v>
      </c>
    </row>
    <row r="31" spans="1:8" x14ac:dyDescent="0.25">
      <c r="A31" s="67"/>
      <c r="B31" s="91" t="s">
        <v>987</v>
      </c>
      <c r="C31" s="67"/>
      <c r="D31" s="89">
        <v>76127</v>
      </c>
      <c r="E31" s="67"/>
      <c r="G31" s="63" t="s">
        <v>1082</v>
      </c>
    </row>
    <row r="32" spans="1:8" x14ac:dyDescent="0.25">
      <c r="A32" s="67"/>
      <c r="B32" s="91" t="s">
        <v>988</v>
      </c>
      <c r="C32" s="67"/>
      <c r="D32" s="89">
        <v>75800</v>
      </c>
      <c r="E32" s="67"/>
    </row>
    <row r="33" spans="1:5" x14ac:dyDescent="0.25">
      <c r="A33" s="67"/>
      <c r="B33" s="91" t="s">
        <v>989</v>
      </c>
      <c r="C33" s="67"/>
      <c r="D33" s="89">
        <v>9450</v>
      </c>
      <c r="E33" s="67"/>
    </row>
    <row r="34" spans="1:5" x14ac:dyDescent="0.25">
      <c r="A34" s="67"/>
      <c r="B34" s="91" t="s">
        <v>990</v>
      </c>
      <c r="C34" s="67"/>
      <c r="D34" s="786">
        <v>484383</v>
      </c>
      <c r="E34" s="67" t="s">
        <v>1015</v>
      </c>
    </row>
    <row r="35" spans="1:5" x14ac:dyDescent="0.25">
      <c r="A35" s="67"/>
      <c r="B35" s="91" t="s">
        <v>991</v>
      </c>
      <c r="C35" s="67"/>
      <c r="D35" s="89">
        <v>531378</v>
      </c>
      <c r="E35" s="67"/>
    </row>
    <row r="36" spans="1:5" x14ac:dyDescent="0.25">
      <c r="A36" s="67"/>
      <c r="B36" s="91" t="s">
        <v>992</v>
      </c>
      <c r="C36" s="67"/>
      <c r="D36" s="89">
        <v>429840</v>
      </c>
      <c r="E36" s="67"/>
    </row>
    <row r="37" spans="1:5" x14ac:dyDescent="0.25">
      <c r="A37" s="67"/>
      <c r="B37" s="91" t="s">
        <v>993</v>
      </c>
      <c r="C37" s="67"/>
      <c r="D37" s="89">
        <v>0</v>
      </c>
      <c r="E37" s="67"/>
    </row>
    <row r="38" spans="1:5" x14ac:dyDescent="0.25">
      <c r="A38" s="67"/>
      <c r="B38" s="91" t="s">
        <v>994</v>
      </c>
      <c r="C38" s="67"/>
      <c r="D38" s="786">
        <v>63469</v>
      </c>
      <c r="E38" s="67" t="s">
        <v>1015</v>
      </c>
    </row>
    <row r="39" spans="1:5" x14ac:dyDescent="0.25">
      <c r="A39" s="67"/>
      <c r="B39" s="99" t="s">
        <v>995</v>
      </c>
      <c r="C39" s="67"/>
      <c r="D39" s="89">
        <v>98386</v>
      </c>
      <c r="E39" s="67"/>
    </row>
    <row r="40" spans="1:5" x14ac:dyDescent="0.25">
      <c r="A40" s="67"/>
      <c r="B40" s="99" t="s">
        <v>996</v>
      </c>
      <c r="C40" s="67"/>
      <c r="D40" s="89">
        <v>50574</v>
      </c>
      <c r="E40" s="67"/>
    </row>
    <row r="41" spans="1:5" x14ac:dyDescent="0.25">
      <c r="A41" s="67"/>
      <c r="B41" s="99" t="s">
        <v>997</v>
      </c>
      <c r="C41" s="67"/>
      <c r="D41" s="89">
        <v>34296</v>
      </c>
      <c r="E41" s="67"/>
    </row>
    <row r="42" spans="1:5" x14ac:dyDescent="0.25">
      <c r="A42" s="67"/>
      <c r="B42" s="99" t="s">
        <v>998</v>
      </c>
      <c r="C42" s="67"/>
      <c r="D42" s="89">
        <v>9000</v>
      </c>
      <c r="E42" s="67"/>
    </row>
    <row r="43" spans="1:5" x14ac:dyDescent="0.25">
      <c r="A43" s="67"/>
      <c r="B43" s="99" t="s">
        <v>999</v>
      </c>
      <c r="C43" s="67"/>
      <c r="D43" s="89">
        <v>65100</v>
      </c>
      <c r="E43" s="67"/>
    </row>
    <row r="44" spans="1:5" x14ac:dyDescent="0.25">
      <c r="A44" s="67"/>
      <c r="B44" s="99" t="s">
        <v>1000</v>
      </c>
      <c r="C44" s="67"/>
      <c r="D44" s="786">
        <v>622600</v>
      </c>
      <c r="E44" s="67" t="s">
        <v>1015</v>
      </c>
    </row>
    <row r="45" spans="1:5" x14ac:dyDescent="0.25">
      <c r="A45" s="67"/>
      <c r="B45" s="99" t="s">
        <v>1001</v>
      </c>
      <c r="C45" s="67"/>
      <c r="D45" s="89">
        <v>31855</v>
      </c>
      <c r="E45" s="67"/>
    </row>
    <row r="46" spans="1:5" x14ac:dyDescent="0.25">
      <c r="A46" s="67"/>
      <c r="B46" s="99" t="s">
        <v>1002</v>
      </c>
      <c r="C46" s="67"/>
      <c r="D46" s="89">
        <v>233917</v>
      </c>
      <c r="E46" s="67"/>
    </row>
    <row r="47" spans="1:5" x14ac:dyDescent="0.25">
      <c r="A47" s="67"/>
      <c r="B47" s="99" t="s">
        <v>1003</v>
      </c>
      <c r="C47" s="67"/>
      <c r="D47" s="786">
        <v>79409</v>
      </c>
      <c r="E47" s="67" t="s">
        <v>1015</v>
      </c>
    </row>
    <row r="48" spans="1:5" x14ac:dyDescent="0.25">
      <c r="A48" s="67"/>
      <c r="B48" s="99" t="s">
        <v>1004</v>
      </c>
      <c r="C48" s="67"/>
      <c r="D48" s="89">
        <v>0</v>
      </c>
      <c r="E48" s="67"/>
    </row>
    <row r="49" spans="1:5" x14ac:dyDescent="0.25">
      <c r="A49" s="67"/>
      <c r="B49" s="99" t="s">
        <v>1012</v>
      </c>
      <c r="C49" s="67"/>
      <c r="D49" s="89">
        <v>139500</v>
      </c>
      <c r="E49" s="67"/>
    </row>
    <row r="50" spans="1:5" x14ac:dyDescent="0.25">
      <c r="A50" s="67"/>
      <c r="B50" s="99" t="s">
        <v>1005</v>
      </c>
      <c r="C50" s="67"/>
      <c r="D50" s="786">
        <v>10000</v>
      </c>
      <c r="E50" s="67" t="s">
        <v>1015</v>
      </c>
    </row>
    <row r="51" spans="1:5" x14ac:dyDescent="0.25">
      <c r="A51" s="67"/>
      <c r="B51" s="63" t="s">
        <v>1013</v>
      </c>
      <c r="C51" s="67"/>
      <c r="D51" s="89">
        <v>160000</v>
      </c>
      <c r="E51" s="67"/>
    </row>
    <row r="52" spans="1:5" x14ac:dyDescent="0.25">
      <c r="A52" s="67"/>
      <c r="B52" s="99" t="s">
        <v>1006</v>
      </c>
      <c r="C52" s="67"/>
      <c r="D52" s="89">
        <v>60000</v>
      </c>
      <c r="E52" s="67"/>
    </row>
    <row r="53" spans="1:5" x14ac:dyDescent="0.25">
      <c r="A53" s="67"/>
      <c r="B53" s="99" t="s">
        <v>1007</v>
      </c>
      <c r="C53" s="67"/>
      <c r="D53" s="89">
        <v>361964</v>
      </c>
      <c r="E53" s="67"/>
    </row>
    <row r="54" spans="1:5" x14ac:dyDescent="0.25">
      <c r="A54" s="67"/>
      <c r="B54" s="99" t="s">
        <v>1008</v>
      </c>
      <c r="C54" s="67"/>
      <c r="D54" s="89">
        <v>124976</v>
      </c>
      <c r="E54" s="67"/>
    </row>
    <row r="55" spans="1:5" x14ac:dyDescent="0.25">
      <c r="A55" s="67"/>
      <c r="B55" s="99" t="s">
        <v>1009</v>
      </c>
      <c r="C55" s="67"/>
      <c r="D55" s="786">
        <v>1575843</v>
      </c>
      <c r="E55" s="67" t="s">
        <v>1015</v>
      </c>
    </row>
    <row r="56" spans="1:5" x14ac:dyDescent="0.25">
      <c r="A56" s="67"/>
      <c r="B56" s="99" t="s">
        <v>1010</v>
      </c>
      <c r="C56" s="67"/>
      <c r="D56" s="89">
        <v>1827409</v>
      </c>
      <c r="E56" s="67"/>
    </row>
    <row r="57" spans="1:5" x14ac:dyDescent="0.25">
      <c r="A57" s="67"/>
      <c r="B57" s="99" t="s">
        <v>1011</v>
      </c>
      <c r="C57" s="67"/>
      <c r="D57" s="89">
        <v>0</v>
      </c>
      <c r="E57" s="67"/>
    </row>
    <row r="58" spans="1:5" x14ac:dyDescent="0.25">
      <c r="A58" s="67" t="s">
        <v>120</v>
      </c>
      <c r="B58" s="100"/>
      <c r="C58" s="67"/>
      <c r="D58" s="67"/>
      <c r="E58" s="67"/>
    </row>
    <row r="59" spans="1:5" x14ac:dyDescent="0.25">
      <c r="A59" s="67">
        <v>1</v>
      </c>
      <c r="B59" s="99"/>
      <c r="C59" s="67"/>
      <c r="D59" s="89"/>
      <c r="E59" s="67"/>
    </row>
    <row r="60" spans="1:5" x14ac:dyDescent="0.25">
      <c r="A60" s="67">
        <v>2</v>
      </c>
      <c r="B60" s="99"/>
      <c r="C60" s="67"/>
      <c r="D60" s="89"/>
      <c r="E60" s="67"/>
    </row>
    <row r="61" spans="1:5" x14ac:dyDescent="0.25">
      <c r="A61" s="67">
        <v>3</v>
      </c>
      <c r="B61" s="99"/>
      <c r="C61" s="67"/>
      <c r="D61" s="89"/>
      <c r="E61" s="67"/>
    </row>
    <row r="62" spans="1:5" x14ac:dyDescent="0.25">
      <c r="A62" s="67">
        <v>4</v>
      </c>
      <c r="B62" s="99"/>
      <c r="C62" s="67"/>
      <c r="D62" s="89"/>
      <c r="E62" s="67"/>
    </row>
    <row r="63" spans="1:5" x14ac:dyDescent="0.25">
      <c r="A63" s="92" t="str">
        <f>CONCATENATE("Total Expenditures for ",C16-1," Budgeted Year")</f>
        <v>Total Expenditures for -1 Budgeted Year</v>
      </c>
      <c r="B63" s="101"/>
      <c r="C63" s="82"/>
      <c r="D63" s="102">
        <f>SUM(D22:D57)</f>
        <v>17507783</v>
      </c>
      <c r="E63" s="67"/>
    </row>
    <row r="64" spans="1:5" x14ac:dyDescent="0.25">
      <c r="A64" s="67" t="s">
        <v>121</v>
      </c>
      <c r="B64" s="100"/>
      <c r="C64" s="67"/>
      <c r="D64" s="67"/>
      <c r="E64" s="67"/>
    </row>
    <row r="65" spans="1:5" x14ac:dyDescent="0.25">
      <c r="A65" s="67">
        <v>1</v>
      </c>
      <c r="B65" s="99"/>
      <c r="C65" s="67"/>
      <c r="D65" s="103"/>
      <c r="E65" s="67"/>
    </row>
    <row r="66" spans="1:5" x14ac:dyDescent="0.25">
      <c r="A66" s="67">
        <v>2</v>
      </c>
      <c r="B66" s="99"/>
      <c r="C66" s="67"/>
      <c r="D66" s="103"/>
      <c r="E66" s="67"/>
    </row>
    <row r="67" spans="1:5" x14ac:dyDescent="0.25">
      <c r="A67" s="67">
        <v>3</v>
      </c>
      <c r="B67" s="99"/>
      <c r="C67" s="67"/>
      <c r="D67" s="103"/>
      <c r="E67" s="67"/>
    </row>
    <row r="68" spans="1:5" x14ac:dyDescent="0.25">
      <c r="A68" s="67">
        <v>4</v>
      </c>
      <c r="B68" s="99"/>
      <c r="C68" s="67"/>
      <c r="D68" s="103"/>
      <c r="E68" s="67"/>
    </row>
    <row r="69" spans="1:5" x14ac:dyDescent="0.25">
      <c r="A69" s="67">
        <v>5</v>
      </c>
      <c r="B69" s="99"/>
      <c r="C69" s="67"/>
      <c r="D69" s="103"/>
      <c r="E69" s="67"/>
    </row>
    <row r="70" spans="1:5" x14ac:dyDescent="0.25">
      <c r="A70" s="67" t="s">
        <v>122</v>
      </c>
      <c r="B70" s="100"/>
      <c r="C70" s="67"/>
      <c r="D70" s="67"/>
      <c r="E70" s="67"/>
    </row>
    <row r="71" spans="1:5" x14ac:dyDescent="0.25">
      <c r="A71" s="67">
        <v>1</v>
      </c>
      <c r="B71" s="99"/>
      <c r="C71" s="67"/>
      <c r="D71" s="67"/>
      <c r="E71" s="67"/>
    </row>
    <row r="72" spans="1:5" x14ac:dyDescent="0.25">
      <c r="A72" s="67">
        <v>2</v>
      </c>
      <c r="B72" s="99"/>
      <c r="C72" s="67"/>
      <c r="D72" s="67"/>
      <c r="E72" s="67"/>
    </row>
    <row r="73" spans="1:5" x14ac:dyDescent="0.25">
      <c r="A73" s="67">
        <v>3</v>
      </c>
      <c r="B73" s="99"/>
      <c r="C73" s="67"/>
      <c r="D73" s="67"/>
      <c r="E73" s="67"/>
    </row>
    <row r="74" spans="1:5" x14ac:dyDescent="0.25">
      <c r="A74" s="67">
        <v>4</v>
      </c>
      <c r="B74" s="99"/>
      <c r="C74" s="67"/>
      <c r="D74" s="67"/>
      <c r="E74" s="67"/>
    </row>
    <row r="75" spans="1:5" x14ac:dyDescent="0.25">
      <c r="A75" s="67">
        <v>5</v>
      </c>
      <c r="B75" s="99"/>
      <c r="C75" s="67"/>
      <c r="D75" s="67"/>
      <c r="E75" s="67"/>
    </row>
    <row r="76" spans="1:5" x14ac:dyDescent="0.25">
      <c r="A76" s="67" t="s">
        <v>123</v>
      </c>
      <c r="B76" s="100"/>
      <c r="C76" s="67"/>
      <c r="D76" s="67"/>
      <c r="E76" s="67"/>
    </row>
    <row r="77" spans="1:5" x14ac:dyDescent="0.25">
      <c r="A77" s="67">
        <v>1</v>
      </c>
      <c r="B77" s="99"/>
      <c r="C77" s="67"/>
      <c r="D77" s="67"/>
      <c r="E77" s="67"/>
    </row>
    <row r="78" spans="1:5" x14ac:dyDescent="0.25">
      <c r="A78" s="67">
        <v>2</v>
      </c>
      <c r="B78" s="99"/>
      <c r="C78" s="67"/>
      <c r="D78" s="67"/>
      <c r="E78" s="67"/>
    </row>
    <row r="79" spans="1:5" x14ac:dyDescent="0.25">
      <c r="A79" s="67">
        <v>3</v>
      </c>
      <c r="B79" s="99"/>
      <c r="C79" s="67"/>
      <c r="D79" s="67"/>
      <c r="E79" s="67"/>
    </row>
    <row r="80" spans="1:5" x14ac:dyDescent="0.25">
      <c r="A80" s="67">
        <v>4</v>
      </c>
      <c r="B80" s="99"/>
      <c r="C80" s="67"/>
      <c r="D80" s="67"/>
      <c r="E80" s="67"/>
    </row>
    <row r="81" spans="1:5" x14ac:dyDescent="0.25">
      <c r="A81" s="67">
        <v>5</v>
      </c>
      <c r="B81" s="99"/>
      <c r="C81" s="67"/>
      <c r="D81" s="67"/>
      <c r="E81" s="67"/>
    </row>
    <row r="82" spans="1:5" x14ac:dyDescent="0.25">
      <c r="A82" s="67" t="s">
        <v>124</v>
      </c>
      <c r="B82" s="100"/>
      <c r="C82" s="67"/>
      <c r="D82" s="67"/>
      <c r="E82" s="67"/>
    </row>
    <row r="83" spans="1:5" x14ac:dyDescent="0.25">
      <c r="A83" s="67">
        <v>1</v>
      </c>
      <c r="B83" s="99"/>
      <c r="C83" s="67"/>
      <c r="D83" s="67"/>
      <c r="E83" s="67"/>
    </row>
    <row r="84" spans="1:5" x14ac:dyDescent="0.25">
      <c r="A84" s="67">
        <v>2</v>
      </c>
      <c r="B84" s="99"/>
      <c r="C84" s="67"/>
      <c r="D84" s="67"/>
      <c r="E84" s="67"/>
    </row>
    <row r="85" spans="1:5" x14ac:dyDescent="0.25">
      <c r="A85" s="67">
        <v>3</v>
      </c>
      <c r="B85" s="99"/>
      <c r="C85" s="67"/>
      <c r="D85" s="67"/>
      <c r="E85" s="67"/>
    </row>
    <row r="86" spans="1:5" x14ac:dyDescent="0.25">
      <c r="A86" s="67">
        <v>4</v>
      </c>
      <c r="B86" s="99"/>
      <c r="C86" s="67"/>
      <c r="D86" s="67"/>
      <c r="E86" s="67"/>
    </row>
    <row r="87" spans="1:5" x14ac:dyDescent="0.25">
      <c r="A87" s="67">
        <v>5</v>
      </c>
      <c r="B87" s="99"/>
      <c r="C87" s="67"/>
      <c r="D87" s="67"/>
      <c r="E87" s="67"/>
    </row>
    <row r="88" spans="1:5" x14ac:dyDescent="0.25">
      <c r="A88" s="95"/>
      <c r="B88" s="96"/>
      <c r="C88" s="96"/>
      <c r="D88" s="96"/>
      <c r="E88" s="104"/>
    </row>
    <row r="89" spans="1:5" x14ac:dyDescent="0.25">
      <c r="A89" s="67"/>
      <c r="B89" s="67"/>
      <c r="C89" s="67"/>
      <c r="D89" s="67"/>
      <c r="E89" s="67"/>
    </row>
    <row r="90" spans="1:5" x14ac:dyDescent="0.25">
      <c r="A90" s="67"/>
      <c r="B90" s="67"/>
      <c r="C90" s="67"/>
      <c r="D90" s="105" t="str">
        <f>CONCATENATE("",C10-3," Tax Rate")</f>
        <v>2010 Tax Rate</v>
      </c>
      <c r="E90" s="67"/>
    </row>
    <row r="91" spans="1:5" x14ac:dyDescent="0.25">
      <c r="A91" s="80" t="str">
        <f>CONCATENATE("From the ",C10-1," Budget, Budget Summary Page")</f>
        <v>From the 2012 Budget, Budget Summary Page</v>
      </c>
      <c r="B91" s="81"/>
      <c r="C91" s="67"/>
      <c r="D91" s="106" t="str">
        <f>CONCATENATE("(",C10-2," Column)")</f>
        <v>(2011 Column)</v>
      </c>
      <c r="E91" s="67"/>
    </row>
    <row r="92" spans="1:5" x14ac:dyDescent="0.25">
      <c r="A92" s="67"/>
      <c r="B92" s="107" t="str">
        <f>B22</f>
        <v>General</v>
      </c>
      <c r="C92" s="67"/>
      <c r="D92" s="99">
        <v>18.98</v>
      </c>
      <c r="E92" s="67"/>
    </row>
    <row r="93" spans="1:5" x14ac:dyDescent="0.25">
      <c r="A93" s="67"/>
      <c r="B93" s="107" t="str">
        <f>B23</f>
        <v>Debt Service</v>
      </c>
      <c r="C93" s="67"/>
      <c r="D93" s="99">
        <v>6.5759999999999996</v>
      </c>
      <c r="E93" s="67"/>
    </row>
    <row r="94" spans="1:5" x14ac:dyDescent="0.25">
      <c r="A94" s="67"/>
      <c r="B94" s="107" t="str">
        <f>B24</f>
        <v>Library</v>
      </c>
      <c r="C94" s="67"/>
      <c r="D94" s="99">
        <v>4.5449999999999999</v>
      </c>
      <c r="E94" s="67"/>
    </row>
    <row r="95" spans="1:5" x14ac:dyDescent="0.25">
      <c r="A95" s="92" t="s">
        <v>260</v>
      </c>
      <c r="B95" s="82"/>
      <c r="C95" s="108"/>
      <c r="D95" s="109">
        <f>SUM(D92:D94)</f>
        <v>30.100999999999999</v>
      </c>
      <c r="E95" s="67" t="s">
        <v>1014</v>
      </c>
    </row>
    <row r="96" spans="1:5" x14ac:dyDescent="0.25">
      <c r="A96" s="67"/>
      <c r="B96" s="67"/>
      <c r="C96" s="67"/>
      <c r="D96" s="67"/>
      <c r="E96" s="67"/>
    </row>
    <row r="97" spans="1:7" x14ac:dyDescent="0.25">
      <c r="A97" s="110" t="str">
        <f>CONCATENATE("Total Tax Levied (",C10-2," budget column)")</f>
        <v>Total Tax Levied (2011 budget column)</v>
      </c>
      <c r="B97" s="111"/>
      <c r="C97" s="82"/>
      <c r="D97" s="108"/>
      <c r="E97" s="89">
        <v>2048716</v>
      </c>
    </row>
    <row r="98" spans="1:7" x14ac:dyDescent="0.25">
      <c r="A98" s="112" t="str">
        <f>CONCATENATE("Assessed Valuation  (",C10-2," budget column)")</f>
        <v>Assessed Valuation  (2011 budget column)</v>
      </c>
      <c r="B98" s="113"/>
      <c r="C98" s="114"/>
      <c r="D98" s="115"/>
      <c r="E98" s="89">
        <v>68062608</v>
      </c>
      <c r="G98" s="63" t="s">
        <v>1014</v>
      </c>
    </row>
    <row r="99" spans="1:7" x14ac:dyDescent="0.25">
      <c r="A99" s="95"/>
      <c r="B99" s="96"/>
      <c r="C99" s="96"/>
      <c r="D99" s="96"/>
      <c r="E99" s="104"/>
    </row>
    <row r="100" spans="1:7" x14ac:dyDescent="0.25">
      <c r="A100" s="116" t="str">
        <f>CONCATENATE("From the ",C10-1," Budget, Budget Summary Page")</f>
        <v>From the 2012 Budget, Budget Summary Page</v>
      </c>
      <c r="B100" s="117"/>
      <c r="C100" s="67"/>
      <c r="D100" s="118"/>
      <c r="E100" s="119"/>
    </row>
    <row r="101" spans="1:7" x14ac:dyDescent="0.25">
      <c r="A101" s="79" t="s">
        <v>159</v>
      </c>
      <c r="B101" s="79"/>
      <c r="C101" s="120"/>
      <c r="D101" s="121">
        <f>C10-3</f>
        <v>2010</v>
      </c>
      <c r="E101" s="122">
        <f>C10-2</f>
        <v>2011</v>
      </c>
    </row>
    <row r="102" spans="1:7" x14ac:dyDescent="0.25">
      <c r="A102" s="123" t="s">
        <v>93</v>
      </c>
      <c r="B102" s="123"/>
      <c r="C102" s="124"/>
      <c r="D102" s="98">
        <v>21165000</v>
      </c>
      <c r="E102" s="98">
        <v>19585000</v>
      </c>
    </row>
    <row r="103" spans="1:7" x14ac:dyDescent="0.25">
      <c r="A103" s="125" t="s">
        <v>94</v>
      </c>
      <c r="B103" s="125"/>
      <c r="C103" s="126"/>
      <c r="D103" s="98">
        <v>0</v>
      </c>
      <c r="E103" s="98">
        <v>0</v>
      </c>
    </row>
    <row r="104" spans="1:7" x14ac:dyDescent="0.25">
      <c r="A104" s="125" t="s">
        <v>95</v>
      </c>
      <c r="B104" s="125"/>
      <c r="C104" s="126"/>
      <c r="D104" s="98">
        <v>4890000</v>
      </c>
      <c r="E104" s="98">
        <v>4890000</v>
      </c>
    </row>
    <row r="105" spans="1:7" x14ac:dyDescent="0.25">
      <c r="A105" s="125" t="s">
        <v>96</v>
      </c>
      <c r="B105" s="125"/>
      <c r="C105" s="126"/>
      <c r="D105" s="98">
        <v>643562</v>
      </c>
      <c r="E105" s="98">
        <v>435560</v>
      </c>
    </row>
    <row r="106" spans="1:7" x14ac:dyDescent="0.25">
      <c r="A106" s="127"/>
      <c r="B106" s="127"/>
      <c r="C106" s="127"/>
      <c r="D106" s="127"/>
      <c r="E106" s="127"/>
    </row>
    <row r="107" spans="1:7" x14ac:dyDescent="0.25">
      <c r="A107" s="127"/>
      <c r="B107" s="127"/>
      <c r="C107" s="127"/>
      <c r="D107" s="127"/>
      <c r="E107" s="127"/>
    </row>
    <row r="108" spans="1:7" x14ac:dyDescent="0.25">
      <c r="A108" s="127"/>
      <c r="B108" s="127"/>
      <c r="C108" s="127"/>
      <c r="D108" s="127"/>
      <c r="E108" s="127"/>
    </row>
    <row r="109" spans="1:7" x14ac:dyDescent="0.25">
      <c r="A109" s="127"/>
      <c r="B109" s="127"/>
      <c r="C109" s="127"/>
      <c r="D109" s="127"/>
      <c r="E109" s="127"/>
    </row>
    <row r="110" spans="1:7" x14ac:dyDescent="0.25">
      <c r="A110" s="127"/>
      <c r="B110" s="127"/>
      <c r="C110" s="127"/>
      <c r="D110" s="127"/>
      <c r="E110" s="127"/>
    </row>
    <row r="111" spans="1:7" x14ac:dyDescent="0.25">
      <c r="A111" s="127"/>
      <c r="B111" s="127"/>
      <c r="C111" s="127"/>
      <c r="D111" s="127"/>
      <c r="E111" s="127"/>
    </row>
    <row r="112" spans="1:7" s="127" customFormat="1" ht="15" x14ac:dyDescent="0.25"/>
    <row r="113" spans="1:5" x14ac:dyDescent="0.25">
      <c r="A113" s="127"/>
      <c r="B113" s="127"/>
      <c r="C113" s="127"/>
      <c r="D113" s="127"/>
      <c r="E113" s="127"/>
    </row>
    <row r="114" spans="1:5" x14ac:dyDescent="0.25">
      <c r="A114" s="127"/>
      <c r="B114" s="127"/>
      <c r="C114" s="127"/>
      <c r="D114" s="127"/>
      <c r="E114" s="127"/>
    </row>
    <row r="115" spans="1:5" x14ac:dyDescent="0.25">
      <c r="A115" s="127"/>
      <c r="B115" s="127"/>
      <c r="C115" s="127"/>
      <c r="D115" s="127"/>
      <c r="E115" s="127"/>
    </row>
    <row r="116" spans="1:5" x14ac:dyDescent="0.25">
      <c r="A116" s="127"/>
      <c r="B116" s="127"/>
      <c r="C116" s="127"/>
      <c r="D116" s="127"/>
      <c r="E116" s="127"/>
    </row>
    <row r="117" spans="1:5" x14ac:dyDescent="0.25">
      <c r="A117" s="127"/>
      <c r="B117" s="127"/>
      <c r="C117" s="127"/>
      <c r="D117" s="127"/>
      <c r="E117" s="127"/>
    </row>
    <row r="118" spans="1:5" x14ac:dyDescent="0.25">
      <c r="A118" s="127"/>
      <c r="B118" s="127"/>
      <c r="C118" s="127"/>
      <c r="D118" s="127"/>
      <c r="E118" s="127"/>
    </row>
    <row r="119" spans="1:5" x14ac:dyDescent="0.25">
      <c r="A119" s="127"/>
      <c r="B119" s="127"/>
      <c r="C119" s="127"/>
      <c r="D119" s="127"/>
      <c r="E119" s="127"/>
    </row>
    <row r="120" spans="1:5" x14ac:dyDescent="0.25">
      <c r="A120" s="127"/>
      <c r="B120" s="127"/>
      <c r="C120" s="127"/>
      <c r="D120" s="127"/>
      <c r="E120" s="127"/>
    </row>
    <row r="121" spans="1:5" x14ac:dyDescent="0.25">
      <c r="A121" s="127"/>
      <c r="B121" s="127"/>
      <c r="C121" s="127"/>
      <c r="D121" s="127"/>
      <c r="E121" s="127"/>
    </row>
    <row r="122" spans="1:5" x14ac:dyDescent="0.25">
      <c r="A122" s="127"/>
      <c r="B122" s="127"/>
      <c r="C122" s="127"/>
      <c r="D122" s="127"/>
      <c r="E122" s="127"/>
    </row>
    <row r="123" spans="1:5" x14ac:dyDescent="0.25">
      <c r="A123" s="127"/>
      <c r="B123" s="127"/>
      <c r="C123" s="127"/>
      <c r="D123" s="127"/>
      <c r="E123" s="127"/>
    </row>
  </sheetData>
  <mergeCells count="3">
    <mergeCell ref="A15:E15"/>
    <mergeCell ref="A1:E1"/>
    <mergeCell ref="G13:H18"/>
  </mergeCells>
  <phoneticPr fontId="0" type="noConversion"/>
  <pageMargins left="0.5" right="0.5" top="1" bottom="0.5" header="0.5" footer="0.25"/>
  <pageSetup scale="67"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51" workbookViewId="0">
      <selection activeCell="B62" sqref="B62"/>
    </sheetView>
  </sheetViews>
  <sheetFormatPr defaultColWidth="8.9140625" defaultRowHeight="15.6" x14ac:dyDescent="0.25"/>
  <cols>
    <col min="1" max="1" width="2.4140625" style="63" customWidth="1"/>
    <col min="2" max="2" width="31.08203125" style="63" customWidth="1"/>
    <col min="3" max="4" width="15.75" style="63" customWidth="1"/>
    <col min="5" max="5" width="16.25" style="63" customWidth="1"/>
    <col min="6" max="16384" width="8.9140625" style="63"/>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inputPrYr!B35</f>
        <v>Spec. Rev. Emergency Medical Services</v>
      </c>
      <c r="C5" s="427" t="str">
        <f>CONCATENATE("Actual for ",E1-2,"")</f>
        <v>Actual for 2011</v>
      </c>
      <c r="D5" s="427" t="str">
        <f>CONCATENATE("Estimate for ",E1-1,"")</f>
        <v>Estimate for 2012</v>
      </c>
      <c r="E5" s="251" t="str">
        <f>CONCATENATE("Year for ",E1,"")</f>
        <v>Year for 2013</v>
      </c>
    </row>
    <row r="6" spans="2:5" x14ac:dyDescent="0.25">
      <c r="B6" s="343" t="s">
        <v>56</v>
      </c>
      <c r="C6" s="89">
        <v>0</v>
      </c>
      <c r="D6" s="329">
        <f>C31</f>
        <v>0</v>
      </c>
      <c r="E6" s="329">
        <f>D31</f>
        <v>0</v>
      </c>
    </row>
    <row r="7" spans="2:5" x14ac:dyDescent="0.25">
      <c r="B7" s="344" t="s">
        <v>58</v>
      </c>
      <c r="C7" s="107"/>
      <c r="D7" s="107"/>
      <c r="E7" s="107"/>
    </row>
    <row r="8" spans="2:5" x14ac:dyDescent="0.25">
      <c r="B8" s="331" t="s">
        <v>1110</v>
      </c>
      <c r="C8" s="89">
        <v>196016</v>
      </c>
      <c r="D8" s="89">
        <v>160000</v>
      </c>
      <c r="E8" s="89">
        <v>160000</v>
      </c>
    </row>
    <row r="9" spans="2:5" x14ac:dyDescent="0.25">
      <c r="B9" s="331" t="s">
        <v>1111</v>
      </c>
      <c r="C9" s="89">
        <v>297404</v>
      </c>
      <c r="D9" s="89">
        <v>371378</v>
      </c>
      <c r="E9" s="89">
        <v>394947</v>
      </c>
    </row>
    <row r="10" spans="2:5" x14ac:dyDescent="0.25">
      <c r="B10" s="331" t="s">
        <v>1112</v>
      </c>
      <c r="C10" s="89">
        <v>28</v>
      </c>
      <c r="D10" s="89">
        <v>0</v>
      </c>
      <c r="E10" s="89">
        <v>0</v>
      </c>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493448</v>
      </c>
      <c r="D16" s="339">
        <f>SUM(D8:D14)</f>
        <v>531378</v>
      </c>
      <c r="E16" s="339">
        <f>SUM(E8:E14)</f>
        <v>554947</v>
      </c>
    </row>
    <row r="17" spans="2:5" x14ac:dyDescent="0.25">
      <c r="B17" s="337" t="s">
        <v>290</v>
      </c>
      <c r="C17" s="339">
        <f>C6+C16</f>
        <v>493448</v>
      </c>
      <c r="D17" s="339">
        <f>D6+D16</f>
        <v>531378</v>
      </c>
      <c r="E17" s="339">
        <f>E6+E16</f>
        <v>554947</v>
      </c>
    </row>
    <row r="18" spans="2:5" x14ac:dyDescent="0.25">
      <c r="B18" s="148" t="s">
        <v>292</v>
      </c>
      <c r="C18" s="329"/>
      <c r="D18" s="329"/>
      <c r="E18" s="329"/>
    </row>
    <row r="19" spans="2:5" x14ac:dyDescent="0.25">
      <c r="B19" s="331" t="s">
        <v>1113</v>
      </c>
      <c r="C19" s="89">
        <v>370654</v>
      </c>
      <c r="D19" s="89">
        <v>399881</v>
      </c>
      <c r="E19" s="89">
        <v>419688</v>
      </c>
    </row>
    <row r="20" spans="2:5" x14ac:dyDescent="0.25">
      <c r="B20" s="331" t="s">
        <v>1106</v>
      </c>
      <c r="C20" s="89">
        <v>75105</v>
      </c>
      <c r="D20" s="89">
        <v>79472</v>
      </c>
      <c r="E20" s="89">
        <v>83209</v>
      </c>
    </row>
    <row r="21" spans="2:5" x14ac:dyDescent="0.25">
      <c r="B21" s="331" t="s">
        <v>1107</v>
      </c>
      <c r="C21" s="89">
        <v>46528</v>
      </c>
      <c r="D21" s="89">
        <v>48250</v>
      </c>
      <c r="E21" s="89">
        <v>50550</v>
      </c>
    </row>
    <row r="22" spans="2:5" x14ac:dyDescent="0.25">
      <c r="B22" s="331" t="s">
        <v>1114</v>
      </c>
      <c r="C22" s="89">
        <v>1161</v>
      </c>
      <c r="D22" s="89">
        <v>3775</v>
      </c>
      <c r="E22" s="89">
        <v>1500</v>
      </c>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493448</v>
      </c>
      <c r="D30" s="339">
        <f>SUM(D19:D28)</f>
        <v>531378</v>
      </c>
      <c r="E30" s="339">
        <f>SUM(E19:E28)</f>
        <v>554947</v>
      </c>
    </row>
    <row r="31" spans="2:5" x14ac:dyDescent="0.25">
      <c r="B31" s="148" t="s">
        <v>57</v>
      </c>
      <c r="C31" s="102">
        <f>C17-C30</f>
        <v>0</v>
      </c>
      <c r="D31" s="102">
        <f>D17-D30</f>
        <v>0</v>
      </c>
      <c r="E31" s="102">
        <f>E17-E30</f>
        <v>0</v>
      </c>
    </row>
    <row r="32" spans="2:5" x14ac:dyDescent="0.25">
      <c r="B32" s="178" t="str">
        <f>CONCATENATE("",E1-2,"/",E1-1," Budget Authority Amount:")</f>
        <v>2011/2012 Budget Authority Amount:</v>
      </c>
      <c r="C32" s="286">
        <f>inputOth!B80</f>
        <v>512407</v>
      </c>
      <c r="D32" s="286">
        <f>inputPrYr!D35</f>
        <v>531378</v>
      </c>
      <c r="E32" s="532" t="str">
        <f>IF(E31&lt;0,"See Tab E","")</f>
        <v/>
      </c>
    </row>
    <row r="33" spans="2:5" x14ac:dyDescent="0.25">
      <c r="B33" s="178"/>
      <c r="C33" s="341" t="str">
        <f>IF(C30&gt;C32,"See Tab A","")</f>
        <v/>
      </c>
      <c r="D33"/>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inputPrYr!B36</f>
        <v>Spec. Rev. Library Sales Tax</v>
      </c>
      <c r="C38" s="342" t="str">
        <f>C5</f>
        <v>Actual for 2011</v>
      </c>
      <c r="D38" s="342" t="str">
        <f>D5</f>
        <v>Estimate for 2012</v>
      </c>
      <c r="E38" s="342" t="str">
        <f>E5</f>
        <v>Year for 2013</v>
      </c>
    </row>
    <row r="39" spans="2:5" x14ac:dyDescent="0.25">
      <c r="B39" s="343" t="s">
        <v>56</v>
      </c>
      <c r="C39" s="89">
        <v>597119</v>
      </c>
      <c r="D39" s="329">
        <f>C64</f>
        <v>613553</v>
      </c>
      <c r="E39" s="329">
        <f>D64</f>
        <v>618563</v>
      </c>
    </row>
    <row r="40" spans="2:5" x14ac:dyDescent="0.25">
      <c r="B40" s="344" t="s">
        <v>58</v>
      </c>
      <c r="C40" s="107"/>
      <c r="D40" s="107"/>
      <c r="E40" s="107"/>
    </row>
    <row r="41" spans="2:5" x14ac:dyDescent="0.25">
      <c r="B41" s="331" t="s">
        <v>1032</v>
      </c>
      <c r="C41" s="89">
        <v>443502</v>
      </c>
      <c r="D41" s="89">
        <v>433750</v>
      </c>
      <c r="E41" s="89">
        <v>426500</v>
      </c>
    </row>
    <row r="42" spans="2:5" x14ac:dyDescent="0.25">
      <c r="B42" s="331" t="s">
        <v>333</v>
      </c>
      <c r="C42" s="89">
        <v>1541</v>
      </c>
      <c r="D42" s="89">
        <v>1100</v>
      </c>
      <c r="E42" s="89">
        <v>1000</v>
      </c>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445043</v>
      </c>
      <c r="D49" s="339">
        <f>SUM(D41:D47)</f>
        <v>434850</v>
      </c>
      <c r="E49" s="339">
        <f>SUM(E41:E47)</f>
        <v>427500</v>
      </c>
    </row>
    <row r="50" spans="2:5" x14ac:dyDescent="0.25">
      <c r="B50" s="337" t="s">
        <v>290</v>
      </c>
      <c r="C50" s="339">
        <f>C39+C49</f>
        <v>1042162</v>
      </c>
      <c r="D50" s="339">
        <f>D39+D49</f>
        <v>1048403</v>
      </c>
      <c r="E50" s="339">
        <f>E39+E49</f>
        <v>1046063</v>
      </c>
    </row>
    <row r="51" spans="2:5" x14ac:dyDescent="0.25">
      <c r="B51" s="148" t="s">
        <v>292</v>
      </c>
      <c r="C51" s="329"/>
      <c r="D51" s="329"/>
      <c r="E51" s="329"/>
    </row>
    <row r="52" spans="2:5" x14ac:dyDescent="0.25">
      <c r="B52" s="331" t="s">
        <v>1103</v>
      </c>
      <c r="C52" s="89">
        <v>428609</v>
      </c>
      <c r="D52" s="89">
        <v>429840</v>
      </c>
      <c r="E52" s="89">
        <v>436530</v>
      </c>
    </row>
    <row r="53" spans="2:5" x14ac:dyDescent="0.25">
      <c r="B53" s="331"/>
      <c r="C53" s="89"/>
      <c r="D53" s="89"/>
      <c r="E53" s="89"/>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428609</v>
      </c>
      <c r="D63" s="339">
        <f>SUM(D52:D61)</f>
        <v>429840</v>
      </c>
      <c r="E63" s="339">
        <f>SUM(E52:E61)</f>
        <v>436530</v>
      </c>
    </row>
    <row r="64" spans="2:5" x14ac:dyDescent="0.25">
      <c r="B64" s="148" t="s">
        <v>57</v>
      </c>
      <c r="C64" s="102">
        <f>C50-C63</f>
        <v>613553</v>
      </c>
      <c r="D64" s="102">
        <f>D50-D63</f>
        <v>618563</v>
      </c>
      <c r="E64" s="102">
        <f>E50-E63</f>
        <v>609533</v>
      </c>
    </row>
    <row r="65" spans="2:5" x14ac:dyDescent="0.25">
      <c r="B65" s="178" t="str">
        <f>CONCATENATE("",E1-2," Budget Authority Limited Amount:")</f>
        <v>2011 Budget Authority Limited Amount:</v>
      </c>
      <c r="C65" s="286">
        <f>inputOth!B81</f>
        <v>428609</v>
      </c>
      <c r="D65" s="286">
        <f>inputPrYr!D36</f>
        <v>429840</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14</v>
      </c>
      <c r="D69" s="67"/>
      <c r="E69" s="67"/>
    </row>
  </sheetData>
  <phoneticPr fontId="0" type="noConversion"/>
  <conditionalFormatting sqref="C47">
    <cfRule type="cellIs" dxfId="210" priority="3" stopIfTrue="1" operator="greaterThan">
      <formula>$C$49*0.1</formula>
    </cfRule>
  </conditionalFormatting>
  <conditionalFormatting sqref="D47">
    <cfRule type="cellIs" dxfId="209" priority="4" stopIfTrue="1" operator="greaterThan">
      <formula>$D$49*0.1</formula>
    </cfRule>
  </conditionalFormatting>
  <conditionalFormatting sqref="E47">
    <cfRule type="cellIs" dxfId="208" priority="5" stopIfTrue="1" operator="greaterThan">
      <formula>$E$49*0.1</formula>
    </cfRule>
  </conditionalFormatting>
  <conditionalFormatting sqref="C61">
    <cfRule type="cellIs" dxfId="207" priority="6" stopIfTrue="1" operator="greaterThan">
      <formula>$C$63*0.1</formula>
    </cfRule>
  </conditionalFormatting>
  <conditionalFormatting sqref="D61">
    <cfRule type="cellIs" dxfId="206" priority="7" stopIfTrue="1" operator="greaterThan">
      <formula>$D$63*0.1</formula>
    </cfRule>
  </conditionalFormatting>
  <conditionalFormatting sqref="E61">
    <cfRule type="cellIs" dxfId="205" priority="8" stopIfTrue="1" operator="greaterThan">
      <formula>$E$63*0.1</formula>
    </cfRule>
  </conditionalFormatting>
  <conditionalFormatting sqref="C28">
    <cfRule type="cellIs" dxfId="204" priority="9" stopIfTrue="1" operator="greaterThan">
      <formula>$C$30*0.1</formula>
    </cfRule>
  </conditionalFormatting>
  <conditionalFormatting sqref="D28">
    <cfRule type="cellIs" dxfId="203" priority="10" stopIfTrue="1" operator="greaterThan">
      <formula>$D$30*0.1</formula>
    </cfRule>
  </conditionalFormatting>
  <conditionalFormatting sqref="E28">
    <cfRule type="cellIs" dxfId="202" priority="11" stopIfTrue="1" operator="greaterThan">
      <formula>$E$30*0.1</formula>
    </cfRule>
  </conditionalFormatting>
  <conditionalFormatting sqref="C14">
    <cfRule type="cellIs" dxfId="201" priority="12" stopIfTrue="1" operator="greaterThan">
      <formula>$C$16*0.1</formula>
    </cfRule>
  </conditionalFormatting>
  <conditionalFormatting sqref="D14">
    <cfRule type="cellIs" dxfId="200" priority="13" stopIfTrue="1" operator="greaterThan">
      <formula>$D$16*0.1</formula>
    </cfRule>
  </conditionalFormatting>
  <conditionalFormatting sqref="E14">
    <cfRule type="cellIs" dxfId="199" priority="14" stopIfTrue="1" operator="greaterThan">
      <formula>$E$16*0.1</formula>
    </cfRule>
  </conditionalFormatting>
  <conditionalFormatting sqref="E31 C31 E64 C64">
    <cfRule type="cellIs" dxfId="198" priority="15" stopIfTrue="1" operator="lessThan">
      <formula>0</formula>
    </cfRule>
  </conditionalFormatting>
  <conditionalFormatting sqref="C30">
    <cfRule type="cellIs" dxfId="197" priority="16" stopIfTrue="1" operator="greaterThan">
      <formula>$C$32</formula>
    </cfRule>
  </conditionalFormatting>
  <conditionalFormatting sqref="D30">
    <cfRule type="cellIs" dxfId="196" priority="17" stopIfTrue="1" operator="greaterThan">
      <formula>$D$32</formula>
    </cfRule>
  </conditionalFormatting>
  <conditionalFormatting sqref="C63">
    <cfRule type="cellIs" dxfId="195" priority="18" stopIfTrue="1" operator="greaterThan">
      <formula>$C$65</formula>
    </cfRule>
  </conditionalFormatting>
  <conditionalFormatting sqref="D63">
    <cfRule type="cellIs" dxfId="194" priority="19" stopIfTrue="1" operator="greaterThan">
      <formula>$D$65</formula>
    </cfRule>
  </conditionalFormatting>
  <conditionalFormatting sqref="D64">
    <cfRule type="cellIs" dxfId="193" priority="2" stopIfTrue="1" operator="lessThan">
      <formula>0</formula>
    </cfRule>
  </conditionalFormatting>
  <conditionalFormatting sqref="D31">
    <cfRule type="cellIs" dxfId="192" priority="1" stopIfTrue="1" operator="lessThan">
      <formula>0</formula>
    </cfRule>
  </conditionalFormatting>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48" workbookViewId="0">
      <selection activeCell="B29" sqref="B29"/>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inputPrYr!B37</f>
        <v>Spec. Rev. Park Dedication</v>
      </c>
      <c r="C5" s="427" t="str">
        <f>CONCATENATE("Actual for ",E1-2,"")</f>
        <v>Actual for 2011</v>
      </c>
      <c r="D5" s="427" t="str">
        <f>CONCATENATE("Estimate for ",E1-1,"")</f>
        <v>Estimate for 2012</v>
      </c>
      <c r="E5" s="251" t="str">
        <f>CONCATENATE("Year for ",E1,"")</f>
        <v>Year for 2013</v>
      </c>
    </row>
    <row r="6" spans="2:5" x14ac:dyDescent="0.25">
      <c r="B6" s="343" t="s">
        <v>56</v>
      </c>
      <c r="C6" s="89">
        <v>7030</v>
      </c>
      <c r="D6" s="329">
        <f>C31</f>
        <v>15070</v>
      </c>
      <c r="E6" s="329">
        <f>D31</f>
        <v>20110</v>
      </c>
    </row>
    <row r="7" spans="2:5" s="63" customFormat="1" x14ac:dyDescent="0.25">
      <c r="B7" s="344" t="s">
        <v>58</v>
      </c>
      <c r="C7" s="107"/>
      <c r="D7" s="107"/>
      <c r="E7" s="107"/>
    </row>
    <row r="8" spans="2:5" x14ac:dyDescent="0.25">
      <c r="B8" s="331" t="s">
        <v>1140</v>
      </c>
      <c r="C8" s="89">
        <v>8000</v>
      </c>
      <c r="D8" s="89">
        <v>5000</v>
      </c>
      <c r="E8" s="89">
        <v>5000</v>
      </c>
    </row>
    <row r="9" spans="2:5" x14ac:dyDescent="0.25">
      <c r="B9" s="331" t="s">
        <v>333</v>
      </c>
      <c r="C9" s="89">
        <v>40</v>
      </c>
      <c r="D9" s="89">
        <v>40</v>
      </c>
      <c r="E9" s="89">
        <v>40</v>
      </c>
    </row>
    <row r="10" spans="2:5" x14ac:dyDescent="0.25">
      <c r="B10" s="331"/>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8040</v>
      </c>
      <c r="D16" s="339">
        <f>SUM(D8:D14)</f>
        <v>5040</v>
      </c>
      <c r="E16" s="339">
        <f>SUM(E8:E14)</f>
        <v>5040</v>
      </c>
    </row>
    <row r="17" spans="2:5" x14ac:dyDescent="0.25">
      <c r="B17" s="337" t="s">
        <v>290</v>
      </c>
      <c r="C17" s="339">
        <f>C6+C16</f>
        <v>15070</v>
      </c>
      <c r="D17" s="339">
        <f>D6+D16</f>
        <v>20110</v>
      </c>
      <c r="E17" s="339">
        <f>E6+E16</f>
        <v>25150</v>
      </c>
    </row>
    <row r="18" spans="2:5" x14ac:dyDescent="0.25">
      <c r="B18" s="148" t="s">
        <v>292</v>
      </c>
      <c r="C18" s="329"/>
      <c r="D18" s="329"/>
      <c r="E18" s="329"/>
    </row>
    <row r="19" spans="2:5" x14ac:dyDescent="0.25">
      <c r="B19" s="331" t="s">
        <v>261</v>
      </c>
      <c r="C19" s="89"/>
      <c r="D19" s="89"/>
      <c r="E19" s="89"/>
    </row>
    <row r="20" spans="2:5" x14ac:dyDescent="0.25">
      <c r="B20" s="331"/>
      <c r="C20" s="89"/>
      <c r="D20" s="89"/>
      <c r="E20" s="89"/>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0</v>
      </c>
      <c r="D30" s="339">
        <f>SUM(D19:D28)</f>
        <v>0</v>
      </c>
      <c r="E30" s="339">
        <f>SUM(E19:E28)</f>
        <v>0</v>
      </c>
    </row>
    <row r="31" spans="2:5" x14ac:dyDescent="0.25">
      <c r="B31" s="148" t="s">
        <v>57</v>
      </c>
      <c r="C31" s="102">
        <f>C17-C30</f>
        <v>15070</v>
      </c>
      <c r="D31" s="102">
        <f>D17-D30</f>
        <v>20110</v>
      </c>
      <c r="E31" s="102">
        <f>E17-E30</f>
        <v>25150</v>
      </c>
    </row>
    <row r="32" spans="2:5" x14ac:dyDescent="0.25">
      <c r="B32" s="178" t="str">
        <f>CONCATENATE("",E1-2,"/",E1-1," Budget Authority Amount:")</f>
        <v>2011/2012 Budget Authority Amount:</v>
      </c>
      <c r="C32" s="286">
        <f>inputOth!B82</f>
        <v>0</v>
      </c>
      <c r="D32" s="286">
        <f>inputPrYr!D37</f>
        <v>0</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inputPrYr!B38</f>
        <v>Spec. Rev. Recreation Programs</v>
      </c>
      <c r="C38" s="342" t="str">
        <f>C5</f>
        <v>Actual for 2011</v>
      </c>
      <c r="D38" s="342" t="str">
        <f>D5</f>
        <v>Estimate for 2012</v>
      </c>
      <c r="E38" s="342" t="str">
        <f>E5</f>
        <v>Year for 2013</v>
      </c>
    </row>
    <row r="39" spans="2:5" x14ac:dyDescent="0.25">
      <c r="B39" s="343" t="s">
        <v>56</v>
      </c>
      <c r="C39" s="89">
        <v>7392</v>
      </c>
      <c r="D39" s="329">
        <f>C64</f>
        <v>14350</v>
      </c>
      <c r="E39" s="329">
        <f>D64</f>
        <v>21181</v>
      </c>
    </row>
    <row r="40" spans="2:5" s="63" customFormat="1" x14ac:dyDescent="0.25">
      <c r="B40" s="344" t="s">
        <v>58</v>
      </c>
      <c r="C40" s="107"/>
      <c r="D40" s="107"/>
      <c r="E40" s="107"/>
    </row>
    <row r="41" spans="2:5" x14ac:dyDescent="0.25">
      <c r="B41" s="331" t="s">
        <v>1121</v>
      </c>
      <c r="C41" s="89">
        <v>64271</v>
      </c>
      <c r="D41" s="89">
        <v>70300</v>
      </c>
      <c r="E41" s="89">
        <v>67775</v>
      </c>
    </row>
    <row r="42" spans="2:5" x14ac:dyDescent="0.25">
      <c r="B42" s="331"/>
      <c r="C42" s="89"/>
      <c r="D42" s="89"/>
      <c r="E42" s="89"/>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64271</v>
      </c>
      <c r="D49" s="339">
        <f>SUM(D41:D47)</f>
        <v>70300</v>
      </c>
      <c r="E49" s="339">
        <f>SUM(E41:E47)</f>
        <v>67775</v>
      </c>
    </row>
    <row r="50" spans="2:5" x14ac:dyDescent="0.25">
      <c r="B50" s="337" t="s">
        <v>290</v>
      </c>
      <c r="C50" s="339">
        <f>C39+C49</f>
        <v>71663</v>
      </c>
      <c r="D50" s="339">
        <f>D39+D49</f>
        <v>84650</v>
      </c>
      <c r="E50" s="339">
        <f>E39+E49</f>
        <v>88956</v>
      </c>
    </row>
    <row r="51" spans="2:5" x14ac:dyDescent="0.25">
      <c r="B51" s="148" t="s">
        <v>292</v>
      </c>
      <c r="C51" s="329"/>
      <c r="D51" s="329"/>
      <c r="E51" s="329"/>
    </row>
    <row r="52" spans="2:5" x14ac:dyDescent="0.25">
      <c r="B52" s="331" t="s">
        <v>1113</v>
      </c>
      <c r="C52" s="89">
        <v>42199</v>
      </c>
      <c r="D52" s="89">
        <v>47669</v>
      </c>
      <c r="E52" s="89">
        <v>46910</v>
      </c>
    </row>
    <row r="53" spans="2:5" x14ac:dyDescent="0.25">
      <c r="B53" s="331" t="s">
        <v>1106</v>
      </c>
      <c r="C53" s="89">
        <v>7597</v>
      </c>
      <c r="D53" s="89">
        <v>8700</v>
      </c>
      <c r="E53" s="89">
        <v>8650</v>
      </c>
    </row>
    <row r="54" spans="2:5" x14ac:dyDescent="0.25">
      <c r="B54" s="331" t="s">
        <v>1107</v>
      </c>
      <c r="C54" s="89">
        <v>3447</v>
      </c>
      <c r="D54" s="89">
        <v>3400</v>
      </c>
      <c r="E54" s="89">
        <v>4700</v>
      </c>
    </row>
    <row r="55" spans="2:5" x14ac:dyDescent="0.25">
      <c r="B55" s="331" t="s">
        <v>1116</v>
      </c>
      <c r="C55" s="89">
        <v>0</v>
      </c>
      <c r="D55" s="89">
        <v>0</v>
      </c>
      <c r="E55" s="89">
        <v>8500</v>
      </c>
    </row>
    <row r="56" spans="2:5" x14ac:dyDescent="0.25">
      <c r="B56" s="331" t="s">
        <v>261</v>
      </c>
      <c r="C56" s="89">
        <v>4070</v>
      </c>
      <c r="D56" s="89">
        <v>3700</v>
      </c>
      <c r="E56" s="89">
        <v>4700</v>
      </c>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57313</v>
      </c>
      <c r="D63" s="339">
        <f>SUM(D52:D61)</f>
        <v>63469</v>
      </c>
      <c r="E63" s="339">
        <f>SUM(E52:E61)</f>
        <v>73460</v>
      </c>
    </row>
    <row r="64" spans="2:5" x14ac:dyDescent="0.25">
      <c r="B64" s="148" t="s">
        <v>57</v>
      </c>
      <c r="C64" s="102">
        <f>C50-C63</f>
        <v>14350</v>
      </c>
      <c r="D64" s="102">
        <f>D50-D63</f>
        <v>21181</v>
      </c>
      <c r="E64" s="102">
        <f>E50-E63</f>
        <v>15496</v>
      </c>
    </row>
    <row r="65" spans="2:5" x14ac:dyDescent="0.25">
      <c r="B65" s="178" t="str">
        <f>CONCATENATE("",E1-2,"/",E1-1," Budget Authority Amount:")</f>
        <v>2011/2012 Budget Authority Amount:</v>
      </c>
      <c r="C65" s="286">
        <f>inputOth!B83</f>
        <v>72065</v>
      </c>
      <c r="D65" s="286">
        <f>inputPrYr!D38</f>
        <v>63469</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15</v>
      </c>
      <c r="D69" s="67"/>
      <c r="E69" s="67"/>
    </row>
  </sheetData>
  <phoneticPr fontId="0" type="noConversion"/>
  <conditionalFormatting sqref="C47">
    <cfRule type="cellIs" dxfId="191" priority="3" stopIfTrue="1" operator="greaterThan">
      <formula>$C$49*0.1</formula>
    </cfRule>
  </conditionalFormatting>
  <conditionalFormatting sqref="D47">
    <cfRule type="cellIs" dxfId="190" priority="4" stopIfTrue="1" operator="greaterThan">
      <formula>$D$49*0.1</formula>
    </cfRule>
  </conditionalFormatting>
  <conditionalFormatting sqref="E47">
    <cfRule type="cellIs" dxfId="189" priority="5" stopIfTrue="1" operator="greaterThan">
      <formula>$E$49*0.1</formula>
    </cfRule>
  </conditionalFormatting>
  <conditionalFormatting sqref="C61">
    <cfRule type="cellIs" dxfId="188" priority="6" stopIfTrue="1" operator="greaterThan">
      <formula>$C$63*0.1</formula>
    </cfRule>
  </conditionalFormatting>
  <conditionalFormatting sqref="D61">
    <cfRule type="cellIs" dxfId="187" priority="7" stopIfTrue="1" operator="greaterThan">
      <formula>$D$63*0.1</formula>
    </cfRule>
  </conditionalFormatting>
  <conditionalFormatting sqref="E61">
    <cfRule type="cellIs" dxfId="186" priority="8" stopIfTrue="1" operator="greaterThan">
      <formula>$E$63*0.1</formula>
    </cfRule>
  </conditionalFormatting>
  <conditionalFormatting sqref="C28">
    <cfRule type="cellIs" dxfId="185" priority="9" stopIfTrue="1" operator="greaterThan">
      <formula>$C$30*0.1</formula>
    </cfRule>
  </conditionalFormatting>
  <conditionalFormatting sqref="D28">
    <cfRule type="cellIs" dxfId="184" priority="10" stopIfTrue="1" operator="greaterThan">
      <formula>$D$30*0.1</formula>
    </cfRule>
  </conditionalFormatting>
  <conditionalFormatting sqref="E28">
    <cfRule type="cellIs" dxfId="183" priority="11" stopIfTrue="1" operator="greaterThan">
      <formula>$E$30*0.1</formula>
    </cfRule>
  </conditionalFormatting>
  <conditionalFormatting sqref="C14">
    <cfRule type="cellIs" dxfId="182" priority="12" stopIfTrue="1" operator="greaterThan">
      <formula>$C$16*0.1</formula>
    </cfRule>
  </conditionalFormatting>
  <conditionalFormatting sqref="D14">
    <cfRule type="cellIs" dxfId="181" priority="13" stopIfTrue="1" operator="greaterThan">
      <formula>$D$16*0.1</formula>
    </cfRule>
  </conditionalFormatting>
  <conditionalFormatting sqref="E14">
    <cfRule type="cellIs" dxfId="180" priority="14" stopIfTrue="1" operator="greaterThan">
      <formula>$E$16*0.1</formula>
    </cfRule>
  </conditionalFormatting>
  <conditionalFormatting sqref="E31 C31 E64 C64">
    <cfRule type="cellIs" dxfId="179" priority="15" stopIfTrue="1" operator="lessThan">
      <formula>0</formula>
    </cfRule>
  </conditionalFormatting>
  <conditionalFormatting sqref="C30">
    <cfRule type="cellIs" dxfId="178" priority="16" stopIfTrue="1" operator="greaterThan">
      <formula>$C$32</formula>
    </cfRule>
  </conditionalFormatting>
  <conditionalFormatting sqref="D30">
    <cfRule type="cellIs" dxfId="177" priority="17" stopIfTrue="1" operator="greaterThan">
      <formula>$D$32</formula>
    </cfRule>
  </conditionalFormatting>
  <conditionalFormatting sqref="C63">
    <cfRule type="cellIs" dxfId="176" priority="18" stopIfTrue="1" operator="greaterThan">
      <formula>$C$65</formula>
    </cfRule>
  </conditionalFormatting>
  <conditionalFormatting sqref="D63">
    <cfRule type="cellIs" dxfId="175" priority="19" stopIfTrue="1" operator="greaterThan">
      <formula>$D$65</formula>
    </cfRule>
  </conditionalFormatting>
  <conditionalFormatting sqref="D64">
    <cfRule type="cellIs" dxfId="174" priority="2" stopIfTrue="1" operator="lessThan">
      <formula>0</formula>
    </cfRule>
  </conditionalFormatting>
  <conditionalFormatting sqref="D31">
    <cfRule type="cellIs" dxfId="173" priority="1" stopIfTrue="1" operator="lessThan">
      <formula>0</formula>
    </cfRule>
  </conditionalFormatting>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15" workbookViewId="0">
      <selection activeCell="E31" sqref="E31"/>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inputPrYr!B39</f>
        <v>Spec. Rev. Risk Management</v>
      </c>
      <c r="C5" s="427" t="str">
        <f>CONCATENATE("Actual for ",E1-2,"")</f>
        <v>Actual for 2011</v>
      </c>
      <c r="D5" s="427" t="str">
        <f>CONCATENATE("Estimate for ",E1-1,"")</f>
        <v>Estimate for 2012</v>
      </c>
      <c r="E5" s="251" t="str">
        <f>CONCATENATE("Year for ",E1,"")</f>
        <v>Year for 2013</v>
      </c>
    </row>
    <row r="6" spans="2:5" x14ac:dyDescent="0.25">
      <c r="B6" s="343" t="s">
        <v>56</v>
      </c>
      <c r="C6" s="89">
        <v>102658</v>
      </c>
      <c r="D6" s="329">
        <f>C31</f>
        <v>140714</v>
      </c>
      <c r="E6" s="329">
        <f>D31</f>
        <v>134089</v>
      </c>
    </row>
    <row r="7" spans="2:5" s="63" customFormat="1" x14ac:dyDescent="0.25">
      <c r="B7" s="344" t="s">
        <v>58</v>
      </c>
      <c r="C7" s="107"/>
      <c r="D7" s="107"/>
      <c r="E7" s="107"/>
    </row>
    <row r="8" spans="2:5" x14ac:dyDescent="0.25">
      <c r="B8" s="331" t="s">
        <v>1112</v>
      </c>
      <c r="C8" s="89">
        <v>46680</v>
      </c>
      <c r="D8" s="89">
        <v>13175</v>
      </c>
      <c r="E8" s="89">
        <v>0</v>
      </c>
    </row>
    <row r="9" spans="2:5" x14ac:dyDescent="0.25">
      <c r="B9" s="331" t="s">
        <v>1046</v>
      </c>
      <c r="C9" s="89">
        <v>3128</v>
      </c>
      <c r="D9" s="89">
        <v>0</v>
      </c>
      <c r="E9" s="89">
        <v>0</v>
      </c>
    </row>
    <row r="10" spans="2:5" x14ac:dyDescent="0.25">
      <c r="B10" s="331" t="s">
        <v>333</v>
      </c>
      <c r="C10" s="89">
        <v>492</v>
      </c>
      <c r="D10" s="89">
        <v>200</v>
      </c>
      <c r="E10" s="89">
        <v>200</v>
      </c>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50300</v>
      </c>
      <c r="D16" s="339">
        <f>SUM(D8:D14)</f>
        <v>13375</v>
      </c>
      <c r="E16" s="339">
        <f>SUM(E8:E14)</f>
        <v>200</v>
      </c>
    </row>
    <row r="17" spans="2:5" x14ac:dyDescent="0.25">
      <c r="B17" s="337" t="s">
        <v>290</v>
      </c>
      <c r="C17" s="339">
        <f>C6+C16</f>
        <v>152958</v>
      </c>
      <c r="D17" s="339">
        <f>D6+D16</f>
        <v>154089</v>
      </c>
      <c r="E17" s="339">
        <f>E6+E16</f>
        <v>134289</v>
      </c>
    </row>
    <row r="18" spans="2:5" x14ac:dyDescent="0.25">
      <c r="B18" s="148" t="s">
        <v>292</v>
      </c>
      <c r="C18" s="329"/>
      <c r="D18" s="329"/>
      <c r="E18" s="329"/>
    </row>
    <row r="19" spans="2:5" x14ac:dyDescent="0.25">
      <c r="B19" s="331" t="s">
        <v>1106</v>
      </c>
      <c r="C19" s="89">
        <v>7009</v>
      </c>
      <c r="D19" s="89">
        <v>20000</v>
      </c>
      <c r="E19" s="89">
        <v>134289</v>
      </c>
    </row>
    <row r="20" spans="2:5" x14ac:dyDescent="0.25">
      <c r="B20" s="331" t="s">
        <v>1107</v>
      </c>
      <c r="C20" s="89">
        <v>1832</v>
      </c>
      <c r="D20" s="89">
        <v>0</v>
      </c>
      <c r="E20" s="89">
        <v>0</v>
      </c>
    </row>
    <row r="21" spans="2:5" x14ac:dyDescent="0.25">
      <c r="B21" s="331" t="s">
        <v>1116</v>
      </c>
      <c r="C21" s="89">
        <v>3403</v>
      </c>
      <c r="D21" s="89">
        <v>0</v>
      </c>
      <c r="E21" s="89">
        <v>0</v>
      </c>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12244</v>
      </c>
      <c r="D30" s="339">
        <f>SUM(D19:D28)</f>
        <v>20000</v>
      </c>
      <c r="E30" s="339">
        <f>SUM(E19:E28)</f>
        <v>134289</v>
      </c>
    </row>
    <row r="31" spans="2:5" x14ac:dyDescent="0.25">
      <c r="B31" s="148" t="s">
        <v>57</v>
      </c>
      <c r="C31" s="102">
        <f>C17-C30</f>
        <v>140714</v>
      </c>
      <c r="D31" s="102">
        <f>D17-D30</f>
        <v>134089</v>
      </c>
      <c r="E31" s="102">
        <f>E17-E30</f>
        <v>0</v>
      </c>
    </row>
    <row r="32" spans="2:5" x14ac:dyDescent="0.25">
      <c r="B32" s="178" t="str">
        <f>CONCATENATE("",E1-2,"/",E1-1," Budget Authority Amount:")</f>
        <v>2011/2012 Budget Authority Amount:</v>
      </c>
      <c r="C32" s="286">
        <f>inputOth!B84</f>
        <v>92419</v>
      </c>
      <c r="D32" s="286">
        <f>inputPrYr!D39</f>
        <v>98386</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inputPrYr!B40</f>
        <v>Spec. Rev. Senior Center</v>
      </c>
      <c r="C38" s="342" t="str">
        <f>C5</f>
        <v>Actual for 2011</v>
      </c>
      <c r="D38" s="342" t="str">
        <f>D5</f>
        <v>Estimate for 2012</v>
      </c>
      <c r="E38" s="342" t="str">
        <f>E5</f>
        <v>Year for 2013</v>
      </c>
    </row>
    <row r="39" spans="2:5" x14ac:dyDescent="0.25">
      <c r="B39" s="343" t="s">
        <v>56</v>
      </c>
      <c r="C39" s="89">
        <v>0</v>
      </c>
      <c r="D39" s="329">
        <f>C64</f>
        <v>0</v>
      </c>
      <c r="E39" s="329">
        <f>D64</f>
        <v>0</v>
      </c>
    </row>
    <row r="40" spans="2:5" s="63" customFormat="1" x14ac:dyDescent="0.25">
      <c r="B40" s="344" t="s">
        <v>58</v>
      </c>
      <c r="C40" s="107"/>
      <c r="D40" s="107"/>
      <c r="E40" s="107"/>
    </row>
    <row r="41" spans="2:5" x14ac:dyDescent="0.25">
      <c r="B41" s="331" t="s">
        <v>1141</v>
      </c>
      <c r="C41" s="89">
        <v>6450</v>
      </c>
      <c r="D41" s="89">
        <v>6450</v>
      </c>
      <c r="E41" s="89">
        <v>6450</v>
      </c>
    </row>
    <row r="42" spans="2:5" x14ac:dyDescent="0.25">
      <c r="B42" s="331" t="s">
        <v>1112</v>
      </c>
      <c r="C42" s="89">
        <v>12</v>
      </c>
      <c r="D42" s="89">
        <v>0</v>
      </c>
      <c r="E42" s="89">
        <v>0</v>
      </c>
    </row>
    <row r="43" spans="2:5" x14ac:dyDescent="0.25">
      <c r="B43" s="331" t="s">
        <v>1111</v>
      </c>
      <c r="C43" s="89">
        <v>40696</v>
      </c>
      <c r="D43" s="89">
        <v>44124</v>
      </c>
      <c r="E43" s="89">
        <v>41000</v>
      </c>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47158</v>
      </c>
      <c r="D49" s="339">
        <f>SUM(D41:D47)</f>
        <v>50574</v>
      </c>
      <c r="E49" s="339">
        <f>SUM(E41:E47)</f>
        <v>47450</v>
      </c>
    </row>
    <row r="50" spans="2:5" x14ac:dyDescent="0.25">
      <c r="B50" s="337" t="s">
        <v>290</v>
      </c>
      <c r="C50" s="339">
        <f>C39+C49</f>
        <v>47158</v>
      </c>
      <c r="D50" s="339">
        <f>D39+D49</f>
        <v>50574</v>
      </c>
      <c r="E50" s="339">
        <f>E39+E49</f>
        <v>47450</v>
      </c>
    </row>
    <row r="51" spans="2:5" x14ac:dyDescent="0.25">
      <c r="B51" s="148" t="s">
        <v>292</v>
      </c>
      <c r="C51" s="329"/>
      <c r="D51" s="329"/>
      <c r="E51" s="329"/>
    </row>
    <row r="52" spans="2:5" x14ac:dyDescent="0.25">
      <c r="B52" s="331" t="s">
        <v>1113</v>
      </c>
      <c r="C52" s="89">
        <v>36646</v>
      </c>
      <c r="D52" s="89">
        <v>38174</v>
      </c>
      <c r="E52" s="89">
        <v>38370</v>
      </c>
    </row>
    <row r="53" spans="2:5" x14ac:dyDescent="0.25">
      <c r="B53" s="331" t="s">
        <v>1106</v>
      </c>
      <c r="C53" s="89">
        <v>6262</v>
      </c>
      <c r="D53" s="89">
        <v>7804</v>
      </c>
      <c r="E53" s="89">
        <v>5830</v>
      </c>
    </row>
    <row r="54" spans="2:5" x14ac:dyDescent="0.25">
      <c r="B54" s="331" t="s">
        <v>1107</v>
      </c>
      <c r="C54" s="89">
        <v>4060</v>
      </c>
      <c r="D54" s="89">
        <v>4445</v>
      </c>
      <c r="E54" s="89">
        <v>3250</v>
      </c>
    </row>
    <row r="55" spans="2:5" x14ac:dyDescent="0.25">
      <c r="B55" s="331" t="s">
        <v>1142</v>
      </c>
      <c r="C55" s="89">
        <v>190</v>
      </c>
      <c r="D55" s="89">
        <v>151</v>
      </c>
      <c r="E55" s="89">
        <v>0</v>
      </c>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47158</v>
      </c>
      <c r="D63" s="339">
        <f>SUM(D52:D61)</f>
        <v>50574</v>
      </c>
      <c r="E63" s="339">
        <f>SUM(E52:E61)</f>
        <v>47450</v>
      </c>
    </row>
    <row r="64" spans="2:5" x14ac:dyDescent="0.25">
      <c r="B64" s="148" t="s">
        <v>57</v>
      </c>
      <c r="C64" s="102">
        <f>C50-C63</f>
        <v>0</v>
      </c>
      <c r="D64" s="102">
        <f>D50-D63</f>
        <v>0</v>
      </c>
      <c r="E64" s="102">
        <f>E50-E63</f>
        <v>0</v>
      </c>
    </row>
    <row r="65" spans="2:5" x14ac:dyDescent="0.25">
      <c r="B65" s="178" t="str">
        <f>CONCATENATE("",E1-2,"/",E1-1," Budget Authority Amount:")</f>
        <v>2011/2012 Budget Authority Amount:</v>
      </c>
      <c r="C65" s="286">
        <f>inputOth!B85</f>
        <v>53788</v>
      </c>
      <c r="D65" s="286">
        <f>inputPrYr!D40</f>
        <v>50574</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16</v>
      </c>
      <c r="D69" s="67"/>
      <c r="E69" s="67"/>
    </row>
  </sheetData>
  <conditionalFormatting sqref="C47">
    <cfRule type="cellIs" dxfId="172" priority="19" stopIfTrue="1" operator="greaterThan">
      <formula>$C$49*0.1</formula>
    </cfRule>
  </conditionalFormatting>
  <conditionalFormatting sqref="D47">
    <cfRule type="cellIs" dxfId="171" priority="18" stopIfTrue="1" operator="greaterThan">
      <formula>$D$49*0.1</formula>
    </cfRule>
  </conditionalFormatting>
  <conditionalFormatting sqref="E47">
    <cfRule type="cellIs" dxfId="170" priority="17" stopIfTrue="1" operator="greaterThan">
      <formula>$E$49*0.1</formula>
    </cfRule>
  </conditionalFormatting>
  <conditionalFormatting sqref="C61">
    <cfRule type="cellIs" dxfId="169" priority="16" stopIfTrue="1" operator="greaterThan">
      <formula>$C$63*0.1</formula>
    </cfRule>
  </conditionalFormatting>
  <conditionalFormatting sqref="D61">
    <cfRule type="cellIs" dxfId="168" priority="15" stopIfTrue="1" operator="greaterThan">
      <formula>$D$63*0.1</formula>
    </cfRule>
  </conditionalFormatting>
  <conditionalFormatting sqref="E61">
    <cfRule type="cellIs" dxfId="167" priority="14" stopIfTrue="1" operator="greaterThan">
      <formula>$E$63*0.1</formula>
    </cfRule>
  </conditionalFormatting>
  <conditionalFormatting sqref="C28">
    <cfRule type="cellIs" dxfId="166" priority="13" stopIfTrue="1" operator="greaterThan">
      <formula>$C$30*0.1</formula>
    </cfRule>
  </conditionalFormatting>
  <conditionalFormatting sqref="D28">
    <cfRule type="cellIs" dxfId="165" priority="12" stopIfTrue="1" operator="greaterThan">
      <formula>$D$30*0.1</formula>
    </cfRule>
  </conditionalFormatting>
  <conditionalFormatting sqref="E28">
    <cfRule type="cellIs" dxfId="164" priority="11" stopIfTrue="1" operator="greaterThan">
      <formula>$E$30*0.1</formula>
    </cfRule>
  </conditionalFormatting>
  <conditionalFormatting sqref="C14">
    <cfRule type="cellIs" dxfId="163" priority="10" stopIfTrue="1" operator="greaterThan">
      <formula>$C$16*0.1</formula>
    </cfRule>
  </conditionalFormatting>
  <conditionalFormatting sqref="D14">
    <cfRule type="cellIs" dxfId="162" priority="9" stopIfTrue="1" operator="greaterThan">
      <formula>$D$16*0.1</formula>
    </cfRule>
  </conditionalFormatting>
  <conditionalFormatting sqref="E14">
    <cfRule type="cellIs" dxfId="161" priority="8" stopIfTrue="1" operator="greaterThan">
      <formula>$E$16*0.1</formula>
    </cfRule>
  </conditionalFormatting>
  <conditionalFormatting sqref="E31 C31 E64 C64">
    <cfRule type="cellIs" dxfId="160" priority="7" stopIfTrue="1" operator="lessThan">
      <formula>0</formula>
    </cfRule>
  </conditionalFormatting>
  <conditionalFormatting sqref="C30">
    <cfRule type="cellIs" dxfId="159" priority="6" stopIfTrue="1" operator="greaterThan">
      <formula>$C$32</formula>
    </cfRule>
  </conditionalFormatting>
  <conditionalFormatting sqref="D30">
    <cfRule type="cellIs" dxfId="158" priority="5" stopIfTrue="1" operator="greaterThan">
      <formula>$D$32</formula>
    </cfRule>
  </conditionalFormatting>
  <conditionalFormatting sqref="C63">
    <cfRule type="cellIs" dxfId="157" priority="4" stopIfTrue="1" operator="greaterThan">
      <formula>$C$65</formula>
    </cfRule>
  </conditionalFormatting>
  <conditionalFormatting sqref="D63">
    <cfRule type="cellIs" dxfId="156" priority="3" stopIfTrue="1" operator="greaterThan">
      <formula>$D$65</formula>
    </cfRule>
  </conditionalFormatting>
  <conditionalFormatting sqref="D64">
    <cfRule type="cellIs" dxfId="155" priority="2" stopIfTrue="1" operator="lessThan">
      <formula>0</formula>
    </cfRule>
  </conditionalFormatting>
  <conditionalFormatting sqref="D31">
    <cfRule type="cellIs" dxfId="154" priority="1" stopIfTrue="1" operator="lessThan">
      <formula>0</formula>
    </cfRule>
  </conditionalFormatting>
  <pageMargins left="0.7" right="0.7" top="0.75" bottom="0.75" header="0.3" footer="0.3"/>
  <pageSetup scale="61"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9"/>
  <sheetViews>
    <sheetView topLeftCell="A51" workbookViewId="0">
      <selection activeCell="B62" sqref="B62"/>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inputPrYr!B41</f>
        <v>Spec. Rev. Sidewalk Escrow</v>
      </c>
      <c r="C5" s="427" t="str">
        <f>CONCATENATE("Actual for ",E1-2,"")</f>
        <v>Actual for 2011</v>
      </c>
      <c r="D5" s="427" t="str">
        <f>CONCATENATE("Estimate for ",E1-1,"")</f>
        <v>Estimate for 2012</v>
      </c>
      <c r="E5" s="251" t="str">
        <f>CONCATENATE("Year for ",E1,"")</f>
        <v>Year for 2013</v>
      </c>
    </row>
    <row r="6" spans="2:5" x14ac:dyDescent="0.25">
      <c r="B6" s="343" t="s">
        <v>56</v>
      </c>
      <c r="C6" s="89">
        <v>34076</v>
      </c>
      <c r="D6" s="329">
        <f>C31</f>
        <v>34193</v>
      </c>
      <c r="E6" s="329">
        <f>D31</f>
        <v>34288</v>
      </c>
    </row>
    <row r="7" spans="2:5" s="63" customFormat="1" x14ac:dyDescent="0.25">
      <c r="B7" s="344" t="s">
        <v>58</v>
      </c>
      <c r="C7" s="107"/>
      <c r="D7" s="107"/>
      <c r="E7" s="107"/>
    </row>
    <row r="8" spans="2:5" x14ac:dyDescent="0.25">
      <c r="B8" s="331" t="s">
        <v>1143</v>
      </c>
      <c r="C8" s="89">
        <v>0</v>
      </c>
      <c r="D8" s="89">
        <v>0</v>
      </c>
      <c r="E8" s="89">
        <v>0</v>
      </c>
    </row>
    <row r="9" spans="2:5" x14ac:dyDescent="0.25">
      <c r="B9" s="331" t="s">
        <v>333</v>
      </c>
      <c r="C9" s="89">
        <v>117</v>
      </c>
      <c r="D9" s="89">
        <v>95</v>
      </c>
      <c r="E9" s="89">
        <v>95</v>
      </c>
    </row>
    <row r="10" spans="2:5" x14ac:dyDescent="0.25">
      <c r="B10" s="331"/>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117</v>
      </c>
      <c r="D16" s="339">
        <f>SUM(D8:D14)</f>
        <v>95</v>
      </c>
      <c r="E16" s="339">
        <f>SUM(E8:E14)</f>
        <v>95</v>
      </c>
    </row>
    <row r="17" spans="2:5" x14ac:dyDescent="0.25">
      <c r="B17" s="337" t="s">
        <v>290</v>
      </c>
      <c r="C17" s="339">
        <f>C6+C16</f>
        <v>34193</v>
      </c>
      <c r="D17" s="339">
        <f>D6+D16</f>
        <v>34288</v>
      </c>
      <c r="E17" s="339">
        <f>E6+E16</f>
        <v>34383</v>
      </c>
    </row>
    <row r="18" spans="2:5" x14ac:dyDescent="0.25">
      <c r="B18" s="148" t="s">
        <v>292</v>
      </c>
      <c r="C18" s="329"/>
      <c r="D18" s="329"/>
      <c r="E18" s="329"/>
    </row>
    <row r="19" spans="2:5" x14ac:dyDescent="0.25">
      <c r="B19" s="331" t="s">
        <v>1144</v>
      </c>
      <c r="C19" s="89">
        <v>0</v>
      </c>
      <c r="D19" s="89">
        <v>0</v>
      </c>
      <c r="E19" s="89">
        <v>34383</v>
      </c>
    </row>
    <row r="20" spans="2:5" x14ac:dyDescent="0.25">
      <c r="B20" s="331"/>
      <c r="C20" s="89"/>
      <c r="D20" s="89"/>
      <c r="E20" s="89"/>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0</v>
      </c>
      <c r="D30" s="339">
        <f>SUM(D19:D28)</f>
        <v>0</v>
      </c>
      <c r="E30" s="339">
        <f>SUM(E19:E28)</f>
        <v>34383</v>
      </c>
    </row>
    <row r="31" spans="2:5" x14ac:dyDescent="0.25">
      <c r="B31" s="148" t="s">
        <v>57</v>
      </c>
      <c r="C31" s="102">
        <f>C17-C30</f>
        <v>34193</v>
      </c>
      <c r="D31" s="102">
        <f>D17-D30</f>
        <v>34288</v>
      </c>
      <c r="E31" s="102">
        <f>E17-E30</f>
        <v>0</v>
      </c>
    </row>
    <row r="32" spans="2:5" x14ac:dyDescent="0.25">
      <c r="B32" s="765" t="str">
        <f>CONCATENATE("",E1-2,"/",E1-1," Budget Authority Amount:")</f>
        <v>2011/2012 Budget Authority Amount:</v>
      </c>
      <c r="C32" s="286">
        <f>inputOth!B86</f>
        <v>34321</v>
      </c>
      <c r="D32" s="286">
        <f>inputPrYr!D41</f>
        <v>34296</v>
      </c>
      <c r="E32" s="532" t="str">
        <f>IF(E31&lt;0,"See Tab E","")</f>
        <v/>
      </c>
    </row>
    <row r="33" spans="2:5" x14ac:dyDescent="0.25">
      <c r="B33" s="765"/>
      <c r="C33" s="341" t="str">
        <f>IF(C30&gt;C32,"See Tab A","")</f>
        <v/>
      </c>
      <c r="D33" s="341" t="str">
        <f>IF(D30&gt;D32,"See Tab C","")</f>
        <v/>
      </c>
      <c r="E33" s="119"/>
    </row>
    <row r="34" spans="2:5" x14ac:dyDescent="0.25">
      <c r="B34" s="765"/>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inputPrYr!B42</f>
        <v>Spec. Rev. Soccer</v>
      </c>
      <c r="C38" s="342" t="str">
        <f>C5</f>
        <v>Actual for 2011</v>
      </c>
      <c r="D38" s="342" t="str">
        <f>D5</f>
        <v>Estimate for 2012</v>
      </c>
      <c r="E38" s="342" t="str">
        <f>E5</f>
        <v>Year for 2013</v>
      </c>
    </row>
    <row r="39" spans="2:5" x14ac:dyDescent="0.25">
      <c r="B39" s="343" t="s">
        <v>56</v>
      </c>
      <c r="C39" s="89">
        <v>0</v>
      </c>
      <c r="D39" s="329">
        <f>C64</f>
        <v>0</v>
      </c>
      <c r="E39" s="329">
        <f>D64</f>
        <v>0</v>
      </c>
    </row>
    <row r="40" spans="2:5" s="63" customFormat="1" x14ac:dyDescent="0.25">
      <c r="B40" s="344" t="s">
        <v>58</v>
      </c>
      <c r="C40" s="107"/>
      <c r="D40" s="107"/>
      <c r="E40" s="107"/>
    </row>
    <row r="41" spans="2:5" x14ac:dyDescent="0.25">
      <c r="B41" s="331" t="s">
        <v>1125</v>
      </c>
      <c r="C41" s="89">
        <v>465</v>
      </c>
      <c r="D41" s="89">
        <v>0</v>
      </c>
      <c r="E41" s="89">
        <v>0</v>
      </c>
    </row>
    <row r="42" spans="2:5" x14ac:dyDescent="0.25">
      <c r="B42" s="331" t="s">
        <v>1126</v>
      </c>
      <c r="C42" s="89">
        <v>8660</v>
      </c>
      <c r="D42" s="89">
        <v>9000</v>
      </c>
      <c r="E42" s="89">
        <v>9000</v>
      </c>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9125</v>
      </c>
      <c r="D49" s="339">
        <f>SUM(D41:D47)</f>
        <v>9000</v>
      </c>
      <c r="E49" s="339">
        <f>SUM(E41:E47)</f>
        <v>9000</v>
      </c>
    </row>
    <row r="50" spans="2:5" x14ac:dyDescent="0.25">
      <c r="B50" s="337" t="s">
        <v>290</v>
      </c>
      <c r="C50" s="339">
        <f>C39+C49</f>
        <v>9125</v>
      </c>
      <c r="D50" s="339">
        <f>D39+D49</f>
        <v>9000</v>
      </c>
      <c r="E50" s="339">
        <f>E39+E49</f>
        <v>9000</v>
      </c>
    </row>
    <row r="51" spans="2:5" x14ac:dyDescent="0.25">
      <c r="B51" s="148" t="s">
        <v>292</v>
      </c>
      <c r="C51" s="329"/>
      <c r="D51" s="329"/>
      <c r="E51" s="329"/>
    </row>
    <row r="52" spans="2:5" x14ac:dyDescent="0.25">
      <c r="B52" s="331" t="s">
        <v>1113</v>
      </c>
      <c r="C52" s="89">
        <v>555</v>
      </c>
      <c r="D52" s="89">
        <v>1120</v>
      </c>
      <c r="E52" s="89">
        <v>560</v>
      </c>
    </row>
    <row r="53" spans="2:5" x14ac:dyDescent="0.25">
      <c r="B53" s="331" t="s">
        <v>1106</v>
      </c>
      <c r="C53" s="89">
        <v>5640</v>
      </c>
      <c r="D53" s="89">
        <v>4600</v>
      </c>
      <c r="E53" s="89">
        <v>4200</v>
      </c>
    </row>
    <row r="54" spans="2:5" x14ac:dyDescent="0.25">
      <c r="B54" s="331" t="s">
        <v>1107</v>
      </c>
      <c r="C54" s="89">
        <v>2930</v>
      </c>
      <c r="D54" s="89">
        <v>3280</v>
      </c>
      <c r="E54" s="89">
        <v>4150</v>
      </c>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9125</v>
      </c>
      <c r="D63" s="339">
        <f>SUM(D52:D61)</f>
        <v>9000</v>
      </c>
      <c r="E63" s="339">
        <f>SUM(E52:E61)</f>
        <v>8910</v>
      </c>
    </row>
    <row r="64" spans="2:5" x14ac:dyDescent="0.25">
      <c r="B64" s="148" t="s">
        <v>57</v>
      </c>
      <c r="C64" s="102">
        <f>C50-C63</f>
        <v>0</v>
      </c>
      <c r="D64" s="102">
        <f>D50-D63</f>
        <v>0</v>
      </c>
      <c r="E64" s="102">
        <f>E50-E63</f>
        <v>90</v>
      </c>
    </row>
    <row r="65" spans="2:5" x14ac:dyDescent="0.25">
      <c r="B65" s="765" t="str">
        <f>CONCATENATE("",E1-2,"/",E1-1," Budget Authority Amount:")</f>
        <v>2011/2012 Budget Authority Amount:</v>
      </c>
      <c r="C65" s="286">
        <f>inputOth!B87</f>
        <v>10000</v>
      </c>
      <c r="D65" s="286">
        <f>inputPrYr!D42</f>
        <v>9000</v>
      </c>
      <c r="E65" s="532" t="str">
        <f>IF(E64&lt;0,"See Tab E","")</f>
        <v/>
      </c>
    </row>
    <row r="66" spans="2:5" x14ac:dyDescent="0.25">
      <c r="B66" s="765"/>
      <c r="C66" s="341" t="str">
        <f>IF(C63&gt;C65,"See Tab A","")</f>
        <v/>
      </c>
      <c r="D66" s="341" t="str">
        <f>IF(D63&gt;D65,"See Tab C","")</f>
        <v/>
      </c>
      <c r="E66" s="67"/>
    </row>
    <row r="67" spans="2:5" x14ac:dyDescent="0.25">
      <c r="B67" s="765"/>
      <c r="C67" s="341" t="str">
        <f>IF(C64&lt;0,"See Tab B","")</f>
        <v/>
      </c>
      <c r="D67" s="341" t="str">
        <f>IF(D64&lt;0,"See Tab D","")</f>
        <v/>
      </c>
      <c r="E67" s="67"/>
    </row>
    <row r="68" spans="2:5" x14ac:dyDescent="0.25">
      <c r="B68" s="67"/>
      <c r="C68" s="67"/>
      <c r="D68" s="67"/>
      <c r="E68" s="67"/>
    </row>
    <row r="69" spans="2:5" x14ac:dyDescent="0.25">
      <c r="B69" s="765" t="s">
        <v>299</v>
      </c>
      <c r="C69" s="280">
        <v>17</v>
      </c>
      <c r="D69" s="67"/>
      <c r="E69" s="67"/>
    </row>
  </sheetData>
  <conditionalFormatting sqref="C47">
    <cfRule type="cellIs" dxfId="153" priority="19" stopIfTrue="1" operator="greaterThan">
      <formula>$C$49*0.1</formula>
    </cfRule>
  </conditionalFormatting>
  <conditionalFormatting sqref="D47">
    <cfRule type="cellIs" dxfId="152" priority="18" stopIfTrue="1" operator="greaterThan">
      <formula>$D$49*0.1</formula>
    </cfRule>
  </conditionalFormatting>
  <conditionalFormatting sqref="E47">
    <cfRule type="cellIs" dxfId="151" priority="17" stopIfTrue="1" operator="greaterThan">
      <formula>$E$49*0.1</formula>
    </cfRule>
  </conditionalFormatting>
  <conditionalFormatting sqref="C61">
    <cfRule type="cellIs" dxfId="150" priority="16" stopIfTrue="1" operator="greaterThan">
      <formula>$C$63*0.1</formula>
    </cfRule>
  </conditionalFormatting>
  <conditionalFormatting sqref="D61">
    <cfRule type="cellIs" dxfId="149" priority="15" stopIfTrue="1" operator="greaterThan">
      <formula>$D$63*0.1</formula>
    </cfRule>
  </conditionalFormatting>
  <conditionalFormatting sqref="E61">
    <cfRule type="cellIs" dxfId="148" priority="14" stopIfTrue="1" operator="greaterThan">
      <formula>$E$63*0.1</formula>
    </cfRule>
  </conditionalFormatting>
  <conditionalFormatting sqref="C28">
    <cfRule type="cellIs" dxfId="147" priority="13" stopIfTrue="1" operator="greaterThan">
      <formula>$C$30*0.1</formula>
    </cfRule>
  </conditionalFormatting>
  <conditionalFormatting sqref="D28">
    <cfRule type="cellIs" dxfId="146" priority="12" stopIfTrue="1" operator="greaterThan">
      <formula>$D$30*0.1</formula>
    </cfRule>
  </conditionalFormatting>
  <conditionalFormatting sqref="E28">
    <cfRule type="cellIs" dxfId="145" priority="11" stopIfTrue="1" operator="greaterThan">
      <formula>$E$30*0.1</formula>
    </cfRule>
  </conditionalFormatting>
  <conditionalFormatting sqref="C14">
    <cfRule type="cellIs" dxfId="144" priority="10" stopIfTrue="1" operator="greaterThan">
      <formula>$C$16*0.1</formula>
    </cfRule>
  </conditionalFormatting>
  <conditionalFormatting sqref="D14">
    <cfRule type="cellIs" dxfId="143" priority="9" stopIfTrue="1" operator="greaterThan">
      <formula>$D$16*0.1</formula>
    </cfRule>
  </conditionalFormatting>
  <conditionalFormatting sqref="E14">
    <cfRule type="cellIs" dxfId="142" priority="8" stopIfTrue="1" operator="greaterThan">
      <formula>$E$16*0.1</formula>
    </cfRule>
  </conditionalFormatting>
  <conditionalFormatting sqref="E31 C31 E64 C64">
    <cfRule type="cellIs" dxfId="141" priority="7" stopIfTrue="1" operator="lessThan">
      <formula>0</formula>
    </cfRule>
  </conditionalFormatting>
  <conditionalFormatting sqref="C30">
    <cfRule type="cellIs" dxfId="140" priority="6" stopIfTrue="1" operator="greaterThan">
      <formula>$C$32</formula>
    </cfRule>
  </conditionalFormatting>
  <conditionalFormatting sqref="D30">
    <cfRule type="cellIs" dxfId="139" priority="5" stopIfTrue="1" operator="greaterThan">
      <formula>$D$32</formula>
    </cfRule>
  </conditionalFormatting>
  <conditionalFormatting sqref="C63">
    <cfRule type="cellIs" dxfId="138" priority="4" stopIfTrue="1" operator="greaterThan">
      <formula>$C$65</formula>
    </cfRule>
  </conditionalFormatting>
  <conditionalFormatting sqref="D63">
    <cfRule type="cellIs" dxfId="137" priority="3" stopIfTrue="1" operator="greaterThan">
      <formula>$D$65</formula>
    </cfRule>
  </conditionalFormatting>
  <conditionalFormatting sqref="D64">
    <cfRule type="cellIs" dxfId="136" priority="2" stopIfTrue="1" operator="lessThan">
      <formula>0</formula>
    </cfRule>
  </conditionalFormatting>
  <conditionalFormatting sqref="D31">
    <cfRule type="cellIs" dxfId="135" priority="1" stopIfTrue="1" operator="lessThan">
      <formula>0</formula>
    </cfRule>
  </conditionalFormatting>
  <pageMargins left="0.7" right="0.7" top="0.75" bottom="0.75" header="0.3" footer="0.3"/>
  <pageSetup scale="61"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topLeftCell="A47" workbookViewId="0">
      <selection activeCell="B61" sqref="B61"/>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inputPrYr!B43</f>
        <v>Spec. Rev. Special Parks &amp; Recreation</v>
      </c>
      <c r="C5" s="427" t="str">
        <f>CONCATENATE("Actual for ",E1-2,"")</f>
        <v>Actual for 2011</v>
      </c>
      <c r="D5" s="427" t="str">
        <f>CONCATENATE("Estimate for ",E1-1,"")</f>
        <v>Estimate for 2012</v>
      </c>
      <c r="E5" s="251" t="str">
        <f>CONCATENATE("Year for ",E1,"")</f>
        <v>Year for 2013</v>
      </c>
    </row>
    <row r="6" spans="2:5" x14ac:dyDescent="0.25">
      <c r="B6" s="343" t="s">
        <v>56</v>
      </c>
      <c r="C6" s="89">
        <v>114861</v>
      </c>
      <c r="D6" s="329">
        <f>C31</f>
        <v>126673</v>
      </c>
      <c r="E6" s="329">
        <f>D31</f>
        <v>112873</v>
      </c>
    </row>
    <row r="7" spans="2:5" s="63" customFormat="1" x14ac:dyDescent="0.25">
      <c r="B7" s="344" t="s">
        <v>58</v>
      </c>
      <c r="C7" s="107"/>
      <c r="D7" s="107"/>
      <c r="E7" s="107"/>
    </row>
    <row r="8" spans="2:5" x14ac:dyDescent="0.25">
      <c r="B8" s="331" t="s">
        <v>1039</v>
      </c>
      <c r="C8" s="89">
        <v>50608</v>
      </c>
      <c r="D8" s="89">
        <v>45000</v>
      </c>
      <c r="E8" s="89">
        <v>45000</v>
      </c>
    </row>
    <row r="9" spans="2:5" x14ac:dyDescent="0.25">
      <c r="B9" s="331" t="s">
        <v>333</v>
      </c>
      <c r="C9" s="89">
        <v>416</v>
      </c>
      <c r="D9" s="89">
        <v>300</v>
      </c>
      <c r="E9" s="89">
        <v>300</v>
      </c>
    </row>
    <row r="10" spans="2:5" x14ac:dyDescent="0.25">
      <c r="B10" s="331"/>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51024</v>
      </c>
      <c r="D16" s="339">
        <f>SUM(D8:D14)</f>
        <v>45300</v>
      </c>
      <c r="E16" s="339">
        <f>SUM(E8:E14)</f>
        <v>45300</v>
      </c>
    </row>
    <row r="17" spans="2:5" x14ac:dyDescent="0.25">
      <c r="B17" s="337" t="s">
        <v>290</v>
      </c>
      <c r="C17" s="339">
        <f>C6+C16</f>
        <v>165885</v>
      </c>
      <c r="D17" s="339">
        <f>D6+D16</f>
        <v>171973</v>
      </c>
      <c r="E17" s="339">
        <f>E6+E16</f>
        <v>158173</v>
      </c>
    </row>
    <row r="18" spans="2:5" x14ac:dyDescent="0.25">
      <c r="B18" s="148" t="s">
        <v>292</v>
      </c>
      <c r="C18" s="329"/>
      <c r="D18" s="329"/>
      <c r="E18" s="329"/>
    </row>
    <row r="19" spans="2:5" x14ac:dyDescent="0.25">
      <c r="B19" s="331" t="s">
        <v>1118</v>
      </c>
      <c r="C19" s="89">
        <v>9823</v>
      </c>
      <c r="D19" s="89">
        <v>0</v>
      </c>
      <c r="E19" s="89">
        <v>0</v>
      </c>
    </row>
    <row r="20" spans="2:5" x14ac:dyDescent="0.25">
      <c r="B20" s="331" t="s">
        <v>1114</v>
      </c>
      <c r="C20" s="89">
        <v>22338</v>
      </c>
      <c r="D20" s="89">
        <v>47500</v>
      </c>
      <c r="E20" s="89">
        <v>84000</v>
      </c>
    </row>
    <row r="21" spans="2:5" x14ac:dyDescent="0.25">
      <c r="B21" s="331" t="s">
        <v>1119</v>
      </c>
      <c r="C21" s="89">
        <v>6586</v>
      </c>
      <c r="D21" s="89">
        <v>11600</v>
      </c>
      <c r="E21" s="89">
        <v>18900</v>
      </c>
    </row>
    <row r="22" spans="2:5" x14ac:dyDescent="0.25">
      <c r="B22" s="331" t="s">
        <v>1120</v>
      </c>
      <c r="C22" s="89">
        <v>465</v>
      </c>
      <c r="D22" s="89">
        <v>0</v>
      </c>
      <c r="E22" s="89">
        <v>0</v>
      </c>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39212</v>
      </c>
      <c r="D30" s="339">
        <f>SUM(D19:D28)</f>
        <v>59100</v>
      </c>
      <c r="E30" s="339">
        <f>SUM(E19:E28)</f>
        <v>102900</v>
      </c>
    </row>
    <row r="31" spans="2:5" x14ac:dyDescent="0.25">
      <c r="B31" s="148" t="s">
        <v>57</v>
      </c>
      <c r="C31" s="102">
        <f>C17-C30</f>
        <v>126673</v>
      </c>
      <c r="D31" s="102">
        <f>D17-D30</f>
        <v>112873</v>
      </c>
      <c r="E31" s="102">
        <f>E17-E30</f>
        <v>55273</v>
      </c>
    </row>
    <row r="32" spans="2:5" x14ac:dyDescent="0.25">
      <c r="B32" s="765" t="str">
        <f>CONCATENATE("",E1-2,"/",E1-1," Budget Authority Amount:")</f>
        <v>2011/2012 Budget Authority Amount:</v>
      </c>
      <c r="C32" s="286">
        <f>inputOth!B88</f>
        <v>83863</v>
      </c>
      <c r="D32" s="286">
        <f>inputPrYr!D43</f>
        <v>65100</v>
      </c>
      <c r="E32" s="532" t="str">
        <f>IF(E31&lt;0,"See Tab E","")</f>
        <v/>
      </c>
    </row>
    <row r="33" spans="2:5" x14ac:dyDescent="0.25">
      <c r="B33" s="765"/>
      <c r="C33" s="341" t="str">
        <f>IF(C30&gt;C32,"See Tab A","")</f>
        <v/>
      </c>
      <c r="D33" s="341" t="str">
        <f>IF(D30&gt;D32,"See Tab C","")</f>
        <v/>
      </c>
      <c r="E33" s="119"/>
    </row>
    <row r="34" spans="2:5" x14ac:dyDescent="0.25">
      <c r="B34" s="765"/>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inputPrYr!B44</f>
        <v>Spec. Rev. Street Projects</v>
      </c>
      <c r="C38" s="342" t="str">
        <f>C5</f>
        <v>Actual for 2011</v>
      </c>
      <c r="D38" s="342" t="str">
        <f>D5</f>
        <v>Estimate for 2012</v>
      </c>
      <c r="E38" s="342" t="str">
        <f>E5</f>
        <v>Year for 2013</v>
      </c>
    </row>
    <row r="39" spans="2:5" x14ac:dyDescent="0.25">
      <c r="B39" s="343" t="s">
        <v>56</v>
      </c>
      <c r="C39" s="89">
        <v>196843</v>
      </c>
      <c r="D39" s="329">
        <f>C63</f>
        <v>171868</v>
      </c>
      <c r="E39" s="329">
        <f>D63</f>
        <v>154652</v>
      </c>
    </row>
    <row r="40" spans="2:5" s="63" customFormat="1" x14ac:dyDescent="0.25">
      <c r="B40" s="344" t="s">
        <v>58</v>
      </c>
      <c r="C40" s="107"/>
      <c r="D40" s="107"/>
      <c r="E40" s="107"/>
    </row>
    <row r="41" spans="2:5" x14ac:dyDescent="0.25">
      <c r="B41" s="331" t="s">
        <v>1145</v>
      </c>
      <c r="C41" s="89">
        <v>190007</v>
      </c>
      <c r="D41" s="89">
        <v>189000</v>
      </c>
      <c r="E41" s="89">
        <v>189000</v>
      </c>
    </row>
    <row r="42" spans="2:5" x14ac:dyDescent="0.25">
      <c r="B42" s="331" t="s">
        <v>1146</v>
      </c>
      <c r="C42" s="89">
        <v>153634</v>
      </c>
      <c r="D42" s="89">
        <v>120000</v>
      </c>
      <c r="E42" s="89">
        <v>120000</v>
      </c>
    </row>
    <row r="43" spans="2:5" x14ac:dyDescent="0.25">
      <c r="B43" s="331" t="s">
        <v>1147</v>
      </c>
      <c r="C43" s="89">
        <v>14862</v>
      </c>
      <c r="D43" s="89">
        <v>14862</v>
      </c>
      <c r="E43" s="89">
        <v>14862</v>
      </c>
    </row>
    <row r="44" spans="2:5" x14ac:dyDescent="0.25">
      <c r="B44" s="331" t="s">
        <v>333</v>
      </c>
      <c r="C44" s="89">
        <v>1017</v>
      </c>
      <c r="D44" s="89">
        <v>600</v>
      </c>
      <c r="E44" s="89">
        <v>400</v>
      </c>
    </row>
    <row r="45" spans="2:5" x14ac:dyDescent="0.25">
      <c r="B45" s="331" t="s">
        <v>1111</v>
      </c>
      <c r="C45" s="89">
        <v>80922</v>
      </c>
      <c r="D45" s="89">
        <v>280922</v>
      </c>
      <c r="E45" s="89">
        <v>208928</v>
      </c>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440442</v>
      </c>
      <c r="D49" s="339">
        <f>SUM(D41:D47)</f>
        <v>605384</v>
      </c>
      <c r="E49" s="339">
        <f>SUM(E41:E47)</f>
        <v>533190</v>
      </c>
    </row>
    <row r="50" spans="2:5" x14ac:dyDescent="0.25">
      <c r="B50" s="337" t="s">
        <v>290</v>
      </c>
      <c r="C50" s="339">
        <f>C39+C49</f>
        <v>637285</v>
      </c>
      <c r="D50" s="339">
        <f>D39+D49</f>
        <v>777252</v>
      </c>
      <c r="E50" s="339">
        <f>E39+E49</f>
        <v>687842</v>
      </c>
    </row>
    <row r="51" spans="2:5" x14ac:dyDescent="0.25">
      <c r="B51" s="148" t="s">
        <v>292</v>
      </c>
      <c r="C51" s="329"/>
      <c r="D51" s="329"/>
      <c r="E51" s="329"/>
    </row>
    <row r="52" spans="2:5" x14ac:dyDescent="0.25">
      <c r="B52" s="331" t="s">
        <v>1106</v>
      </c>
      <c r="C52" s="89">
        <v>447624</v>
      </c>
      <c r="D52" s="89">
        <v>622600</v>
      </c>
      <c r="E52" s="89">
        <v>537412</v>
      </c>
    </row>
    <row r="53" spans="2:5" x14ac:dyDescent="0.25">
      <c r="B53" s="331" t="s">
        <v>1148</v>
      </c>
      <c r="C53" s="89">
        <v>17793</v>
      </c>
      <c r="D53" s="89">
        <v>0</v>
      </c>
      <c r="E53" s="89">
        <v>0</v>
      </c>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5" t="s">
        <v>183</v>
      </c>
      <c r="C60" s="89"/>
      <c r="D60" s="328"/>
      <c r="E60" s="328"/>
    </row>
    <row r="61" spans="2:5" x14ac:dyDescent="0.25">
      <c r="B61" s="335" t="s">
        <v>671</v>
      </c>
      <c r="C61" s="533" t="str">
        <f>IF(C62*0.1&lt;C60,"Exceed 10% Rule","")</f>
        <v/>
      </c>
      <c r="D61" s="336" t="str">
        <f>IF(D62*0.1&lt;D60,"Exceed 10% Rule","")</f>
        <v/>
      </c>
      <c r="E61" s="336" t="str">
        <f>IF(E62*0.1&lt;E60,"Exceed 10% Rule","")</f>
        <v/>
      </c>
    </row>
    <row r="62" spans="2:5" x14ac:dyDescent="0.25">
      <c r="B62" s="337" t="s">
        <v>296</v>
      </c>
      <c r="C62" s="339">
        <f>SUM(C52:C60)</f>
        <v>465417</v>
      </c>
      <c r="D62" s="339">
        <f>SUM(D52:D60)</f>
        <v>622600</v>
      </c>
      <c r="E62" s="339">
        <f>SUM(E52:E60)</f>
        <v>537412</v>
      </c>
    </row>
    <row r="63" spans="2:5" x14ac:dyDescent="0.25">
      <c r="B63" s="148" t="s">
        <v>57</v>
      </c>
      <c r="C63" s="102">
        <f>C50-C62</f>
        <v>171868</v>
      </c>
      <c r="D63" s="102">
        <f>D50-D62</f>
        <v>154652</v>
      </c>
      <c r="E63" s="102">
        <f>E50-E62</f>
        <v>150430</v>
      </c>
    </row>
    <row r="64" spans="2:5" x14ac:dyDescent="0.25">
      <c r="B64" s="765" t="str">
        <f>CONCATENATE("",E1-2,"/",E1-1," Budget Authority Amount:")</f>
        <v>2011/2012 Budget Authority Amount:</v>
      </c>
      <c r="C64" s="286">
        <f>inputOth!B89</f>
        <v>475901</v>
      </c>
      <c r="D64" s="286">
        <f>inputPrYr!D44</f>
        <v>622600</v>
      </c>
      <c r="E64" s="532" t="str">
        <f>IF(E63&lt;0,"See Tab E","")</f>
        <v/>
      </c>
    </row>
    <row r="65" spans="2:5" x14ac:dyDescent="0.25">
      <c r="B65" s="765"/>
      <c r="C65" s="341" t="str">
        <f>IF(C62&gt;C64,"See Tab A","")</f>
        <v/>
      </c>
      <c r="D65" s="341" t="str">
        <f>IF(D62&gt;D64,"See Tab C","")</f>
        <v/>
      </c>
      <c r="E65" s="67"/>
    </row>
    <row r="66" spans="2:5" x14ac:dyDescent="0.25">
      <c r="B66" s="765"/>
      <c r="C66" s="341" t="str">
        <f>IF(C63&lt;0,"See Tab B","")</f>
        <v/>
      </c>
      <c r="D66" s="341" t="str">
        <f>IF(D63&lt;0,"See Tab D","")</f>
        <v/>
      </c>
      <c r="E66" s="67"/>
    </row>
    <row r="67" spans="2:5" x14ac:dyDescent="0.25">
      <c r="B67" s="67"/>
      <c r="C67" s="67"/>
      <c r="D67" s="67"/>
      <c r="E67" s="67"/>
    </row>
    <row r="68" spans="2:5" x14ac:dyDescent="0.25">
      <c r="B68" s="765" t="s">
        <v>299</v>
      </c>
      <c r="C68" s="280">
        <v>18</v>
      </c>
      <c r="D68" s="67"/>
      <c r="E68" s="67"/>
    </row>
  </sheetData>
  <conditionalFormatting sqref="C47">
    <cfRule type="cellIs" dxfId="134" priority="19" stopIfTrue="1" operator="greaterThan">
      <formula>$C$49*0.1</formula>
    </cfRule>
  </conditionalFormatting>
  <conditionalFormatting sqref="D47">
    <cfRule type="cellIs" dxfId="133" priority="18" stopIfTrue="1" operator="greaterThan">
      <formula>$D$49*0.1</formula>
    </cfRule>
  </conditionalFormatting>
  <conditionalFormatting sqref="E47">
    <cfRule type="cellIs" dxfId="132" priority="17" stopIfTrue="1" operator="greaterThan">
      <formula>$E$49*0.1</formula>
    </cfRule>
  </conditionalFormatting>
  <conditionalFormatting sqref="C60">
    <cfRule type="cellIs" dxfId="131" priority="16" stopIfTrue="1" operator="greaterThan">
      <formula>$C$62*0.1</formula>
    </cfRule>
  </conditionalFormatting>
  <conditionalFormatting sqref="D60">
    <cfRule type="cellIs" dxfId="130" priority="15" stopIfTrue="1" operator="greaterThan">
      <formula>$D$62*0.1</formula>
    </cfRule>
  </conditionalFormatting>
  <conditionalFormatting sqref="E60">
    <cfRule type="cellIs" dxfId="129" priority="14" stopIfTrue="1" operator="greaterThan">
      <formula>$E$62*0.1</formula>
    </cfRule>
  </conditionalFormatting>
  <conditionalFormatting sqref="C28">
    <cfRule type="cellIs" dxfId="128" priority="13" stopIfTrue="1" operator="greaterThan">
      <formula>$C$30*0.1</formula>
    </cfRule>
  </conditionalFormatting>
  <conditionalFormatting sqref="D28">
    <cfRule type="cellIs" dxfId="127" priority="12" stopIfTrue="1" operator="greaterThan">
      <formula>$D$30*0.1</formula>
    </cfRule>
  </conditionalFormatting>
  <conditionalFormatting sqref="E28">
    <cfRule type="cellIs" dxfId="126" priority="11" stopIfTrue="1" operator="greaterThan">
      <formula>$E$30*0.1</formula>
    </cfRule>
  </conditionalFormatting>
  <conditionalFormatting sqref="C14">
    <cfRule type="cellIs" dxfId="125" priority="10" stopIfTrue="1" operator="greaterThan">
      <formula>$C$16*0.1</formula>
    </cfRule>
  </conditionalFormatting>
  <conditionalFormatting sqref="D14">
    <cfRule type="cellIs" dxfId="124" priority="9" stopIfTrue="1" operator="greaterThan">
      <formula>$D$16*0.1</formula>
    </cfRule>
  </conditionalFormatting>
  <conditionalFormatting sqref="E14">
    <cfRule type="cellIs" dxfId="123" priority="8" stopIfTrue="1" operator="greaterThan">
      <formula>$E$16*0.1</formula>
    </cfRule>
  </conditionalFormatting>
  <conditionalFormatting sqref="E31 C31 E63 C63">
    <cfRule type="cellIs" dxfId="122" priority="7" stopIfTrue="1" operator="lessThan">
      <formula>0</formula>
    </cfRule>
  </conditionalFormatting>
  <conditionalFormatting sqref="C30">
    <cfRule type="cellIs" dxfId="121" priority="6" stopIfTrue="1" operator="greaterThan">
      <formula>$C$32</formula>
    </cfRule>
  </conditionalFormatting>
  <conditionalFormatting sqref="D30">
    <cfRule type="cellIs" dxfId="120" priority="5" stopIfTrue="1" operator="greaterThan">
      <formula>$D$32</formula>
    </cfRule>
  </conditionalFormatting>
  <conditionalFormatting sqref="C62">
    <cfRule type="cellIs" dxfId="119" priority="4" stopIfTrue="1" operator="greaterThan">
      <formula>$C$64</formula>
    </cfRule>
  </conditionalFormatting>
  <conditionalFormatting sqref="D62">
    <cfRule type="cellIs" dxfId="118" priority="3" stopIfTrue="1" operator="greaterThan">
      <formula>$D$64</formula>
    </cfRule>
  </conditionalFormatting>
  <conditionalFormatting sqref="D63">
    <cfRule type="cellIs" dxfId="117" priority="2" stopIfTrue="1" operator="lessThan">
      <formula>0</formula>
    </cfRule>
  </conditionalFormatting>
  <conditionalFormatting sqref="D31">
    <cfRule type="cellIs" dxfId="116" priority="1" stopIfTrue="1" operator="lessThan">
      <formula>0</formula>
    </cfRule>
  </conditionalFormatting>
  <pageMargins left="0.7" right="0.7" top="0.75" bottom="0.75" header="0.3" footer="0.3"/>
  <pageSetup scale="61"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7"/>
  <sheetViews>
    <sheetView topLeftCell="A44" workbookViewId="0">
      <selection activeCell="B60" sqref="B60"/>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325" t="s">
        <v>6</v>
      </c>
      <c r="C2" s="274"/>
      <c r="D2" s="274"/>
      <c r="E2" s="274"/>
    </row>
    <row r="3" spans="2:5" x14ac:dyDescent="0.25">
      <c r="B3" s="74" t="s">
        <v>283</v>
      </c>
      <c r="C3" s="598" t="s">
        <v>810</v>
      </c>
      <c r="D3" s="599" t="s">
        <v>811</v>
      </c>
      <c r="E3" s="185" t="s">
        <v>812</v>
      </c>
    </row>
    <row r="4" spans="2:5" x14ac:dyDescent="0.25">
      <c r="B4" s="545" t="str">
        <f>inputPrYr!B45</f>
        <v>Spec. Rev. Summer Ball</v>
      </c>
      <c r="C4" s="427" t="str">
        <f>CONCATENATE("Actual for ",E1-2,"")</f>
        <v>Actual for 2011</v>
      </c>
      <c r="D4" s="427" t="str">
        <f>CONCATENATE("Estimate for ",E1-1,"")</f>
        <v>Estimate for 2012</v>
      </c>
      <c r="E4" s="251" t="str">
        <f>CONCATENATE("Year for ",E1,"")</f>
        <v>Year for 2013</v>
      </c>
    </row>
    <row r="5" spans="2:5" x14ac:dyDescent="0.25">
      <c r="B5" s="343" t="s">
        <v>1089</v>
      </c>
      <c r="C5" s="89">
        <v>13233</v>
      </c>
      <c r="D5" s="329">
        <f>C26</f>
        <v>17346</v>
      </c>
      <c r="E5" s="329">
        <f>D26</f>
        <v>14791</v>
      </c>
    </row>
    <row r="6" spans="2:5" s="63" customFormat="1" x14ac:dyDescent="0.25">
      <c r="B6" s="344" t="s">
        <v>58</v>
      </c>
      <c r="C6" s="107"/>
      <c r="D6" s="107"/>
      <c r="E6" s="107"/>
    </row>
    <row r="7" spans="2:5" x14ac:dyDescent="0.25">
      <c r="B7" s="331" t="s">
        <v>1122</v>
      </c>
      <c r="C7" s="89">
        <v>20960</v>
      </c>
      <c r="D7" s="89">
        <v>20800</v>
      </c>
      <c r="E7" s="89">
        <v>20000</v>
      </c>
    </row>
    <row r="8" spans="2:5" x14ac:dyDescent="0.25">
      <c r="B8" s="331" t="s">
        <v>1123</v>
      </c>
      <c r="C8" s="89">
        <v>2650</v>
      </c>
      <c r="D8" s="89">
        <v>1500</v>
      </c>
      <c r="E8" s="89">
        <v>1500</v>
      </c>
    </row>
    <row r="9" spans="2:5" x14ac:dyDescent="0.25">
      <c r="B9" s="331" t="s">
        <v>1046</v>
      </c>
      <c r="C9" s="89">
        <v>10</v>
      </c>
      <c r="D9" s="89">
        <v>0</v>
      </c>
      <c r="E9" s="89">
        <v>0</v>
      </c>
    </row>
    <row r="10" spans="2:5" x14ac:dyDescent="0.25">
      <c r="B10" s="331" t="s">
        <v>1112</v>
      </c>
      <c r="C10" s="89">
        <v>28</v>
      </c>
      <c r="D10" s="89">
        <v>0</v>
      </c>
      <c r="E10" s="89">
        <v>0</v>
      </c>
    </row>
    <row r="11" spans="2:5" x14ac:dyDescent="0.25">
      <c r="B11" s="331" t="s">
        <v>1124</v>
      </c>
      <c r="C11" s="89">
        <v>4853</v>
      </c>
      <c r="D11" s="89">
        <v>7000</v>
      </c>
      <c r="E11" s="89">
        <v>6300</v>
      </c>
    </row>
    <row r="12" spans="2:5" x14ac:dyDescent="0.25">
      <c r="B12" s="345" t="s">
        <v>261</v>
      </c>
      <c r="C12" s="89"/>
      <c r="D12" s="89"/>
      <c r="E12" s="89"/>
    </row>
    <row r="13" spans="2:5" x14ac:dyDescent="0.25">
      <c r="B13" s="335" t="s">
        <v>183</v>
      </c>
      <c r="C13" s="89"/>
      <c r="D13" s="328"/>
      <c r="E13" s="328"/>
    </row>
    <row r="14" spans="2:5" x14ac:dyDescent="0.25">
      <c r="B14" s="335" t="s">
        <v>672</v>
      </c>
      <c r="C14" s="533" t="str">
        <f>IF(C15*0.1&lt;C13,"Exceed 10% Rule","")</f>
        <v/>
      </c>
      <c r="D14" s="336" t="str">
        <f>IF(D15*0.1&lt;D13,"Exceed 10% Rule","")</f>
        <v/>
      </c>
      <c r="E14" s="336" t="str">
        <f>IF(E15*0.1&lt;E13,"Exceed 10% Rule","")</f>
        <v/>
      </c>
    </row>
    <row r="15" spans="2:5" x14ac:dyDescent="0.25">
      <c r="B15" s="337" t="s">
        <v>289</v>
      </c>
      <c r="C15" s="339">
        <f>SUM(C7:C13)</f>
        <v>28501</v>
      </c>
      <c r="D15" s="339">
        <f>SUM(D7:D13)</f>
        <v>29300</v>
      </c>
      <c r="E15" s="339">
        <f>SUM(E7:E13)</f>
        <v>27800</v>
      </c>
    </row>
    <row r="16" spans="2:5" x14ac:dyDescent="0.25">
      <c r="B16" s="337" t="s">
        <v>290</v>
      </c>
      <c r="C16" s="339">
        <f>C5+C15</f>
        <v>41734</v>
      </c>
      <c r="D16" s="339">
        <f>D5+D15</f>
        <v>46646</v>
      </c>
      <c r="E16" s="339">
        <f>E5+E15</f>
        <v>42591</v>
      </c>
    </row>
    <row r="17" spans="2:5" x14ac:dyDescent="0.25">
      <c r="B17" s="148" t="s">
        <v>292</v>
      </c>
      <c r="C17" s="329"/>
      <c r="D17" s="329"/>
      <c r="E17" s="329"/>
    </row>
    <row r="18" spans="2:5" x14ac:dyDescent="0.25">
      <c r="B18" s="331" t="s">
        <v>1113</v>
      </c>
      <c r="C18" s="89">
        <v>6799</v>
      </c>
      <c r="D18" s="89">
        <v>5600</v>
      </c>
      <c r="E18" s="89">
        <v>6370</v>
      </c>
    </row>
    <row r="19" spans="2:5" x14ac:dyDescent="0.25">
      <c r="B19" s="331" t="s">
        <v>1106</v>
      </c>
      <c r="C19" s="89">
        <v>5529</v>
      </c>
      <c r="D19" s="89">
        <v>8855</v>
      </c>
      <c r="E19" s="89">
        <v>8750</v>
      </c>
    </row>
    <row r="20" spans="2:5" x14ac:dyDescent="0.25">
      <c r="B20" s="331" t="s">
        <v>1107</v>
      </c>
      <c r="C20" s="89">
        <v>9736</v>
      </c>
      <c r="D20" s="89">
        <v>11850</v>
      </c>
      <c r="E20" s="89">
        <v>12350</v>
      </c>
    </row>
    <row r="21" spans="2:5" x14ac:dyDescent="0.25">
      <c r="B21" s="331" t="s">
        <v>1116</v>
      </c>
      <c r="C21" s="89">
        <v>2324</v>
      </c>
      <c r="D21" s="89">
        <v>5550</v>
      </c>
      <c r="E21" s="89">
        <v>14800</v>
      </c>
    </row>
    <row r="22" spans="2:5" x14ac:dyDescent="0.25">
      <c r="B22" s="331"/>
      <c r="C22" s="89"/>
      <c r="D22" s="89"/>
      <c r="E22" s="89"/>
    </row>
    <row r="23" spans="2:5" x14ac:dyDescent="0.25">
      <c r="B23" s="335" t="s">
        <v>183</v>
      </c>
      <c r="C23" s="89"/>
      <c r="D23" s="328"/>
      <c r="E23" s="328"/>
    </row>
    <row r="24" spans="2:5" x14ac:dyDescent="0.25">
      <c r="B24" s="335" t="s">
        <v>671</v>
      </c>
      <c r="C24" s="533" t="str">
        <f>IF(C25*0.1&lt;C23,"Exceed 10% Rule","")</f>
        <v/>
      </c>
      <c r="D24" s="336" t="str">
        <f>IF(D25*0.1&lt;D23,"Exceed 10% Rule","")</f>
        <v/>
      </c>
      <c r="E24" s="336" t="str">
        <f>IF(E25*0.1&lt;E23,"Exceed 10% Rule","")</f>
        <v/>
      </c>
    </row>
    <row r="25" spans="2:5" x14ac:dyDescent="0.25">
      <c r="B25" s="337" t="s">
        <v>296</v>
      </c>
      <c r="C25" s="339">
        <f>SUM(C18:C23)</f>
        <v>24388</v>
      </c>
      <c r="D25" s="339">
        <f>SUM(D18:D23)</f>
        <v>31855</v>
      </c>
      <c r="E25" s="339">
        <f>SUM(E18:E23)</f>
        <v>42270</v>
      </c>
    </row>
    <row r="26" spans="2:5" x14ac:dyDescent="0.25">
      <c r="B26" s="148" t="s">
        <v>57</v>
      </c>
      <c r="C26" s="102">
        <f>C16-C25</f>
        <v>17346</v>
      </c>
      <c r="D26" s="102">
        <f>D16-D25</f>
        <v>14791</v>
      </c>
      <c r="E26" s="102">
        <f>E16-E25</f>
        <v>321</v>
      </c>
    </row>
    <row r="27" spans="2:5" x14ac:dyDescent="0.25">
      <c r="B27" s="765" t="str">
        <f>CONCATENATE("",E1-2,"/",E1-1," Budget Authority Amount:")</f>
        <v>2011/2012 Budget Authority Amount:</v>
      </c>
      <c r="C27" s="286">
        <f>inputOth!B90</f>
        <v>36940</v>
      </c>
      <c r="D27" s="286">
        <f>inputPrYr!D45</f>
        <v>31855</v>
      </c>
      <c r="E27" s="532" t="str">
        <f>IF(E26&lt;0,"See Tab E","")</f>
        <v/>
      </c>
    </row>
    <row r="28" spans="2:5" x14ac:dyDescent="0.25">
      <c r="B28" s="765"/>
      <c r="C28" s="341" t="str">
        <f>IF(C26&lt;0,"See Tab B","")</f>
        <v/>
      </c>
      <c r="D28" s="341" t="str">
        <f>IF(D26&lt;0,"See Tab D","")</f>
        <v/>
      </c>
      <c r="E28" s="119"/>
    </row>
    <row r="29" spans="2:5" x14ac:dyDescent="0.25">
      <c r="B29" s="74"/>
      <c r="C29" s="346"/>
      <c r="D29" s="346"/>
      <c r="E29" s="346"/>
    </row>
    <row r="30" spans="2:5" x14ac:dyDescent="0.25">
      <c r="B30" s="74" t="s">
        <v>283</v>
      </c>
      <c r="C30" s="276" t="s">
        <v>810</v>
      </c>
      <c r="D30" s="185" t="s">
        <v>813</v>
      </c>
      <c r="E30" s="185" t="s">
        <v>812</v>
      </c>
    </row>
    <row r="31" spans="2:5" x14ac:dyDescent="0.25">
      <c r="B31" s="545" t="str">
        <f>inputPrYr!B46</f>
        <v>Spec. Rev. Swimming Pool</v>
      </c>
      <c r="C31" s="342" t="str">
        <f>C4</f>
        <v>Actual for 2011</v>
      </c>
      <c r="D31" s="342" t="str">
        <f>D4</f>
        <v>Estimate for 2012</v>
      </c>
      <c r="E31" s="342" t="str">
        <f>E4</f>
        <v>Year for 2013</v>
      </c>
    </row>
    <row r="32" spans="2:5" x14ac:dyDescent="0.25">
      <c r="B32" s="343" t="s">
        <v>56</v>
      </c>
      <c r="C32" s="89">
        <v>0</v>
      </c>
      <c r="D32" s="329">
        <f>C64</f>
        <v>0</v>
      </c>
      <c r="E32" s="329">
        <f>D64</f>
        <v>0</v>
      </c>
    </row>
    <row r="33" spans="2:5" s="63" customFormat="1" x14ac:dyDescent="0.25">
      <c r="B33" s="344" t="s">
        <v>58</v>
      </c>
      <c r="C33" s="107"/>
      <c r="D33" s="107"/>
      <c r="E33" s="107"/>
    </row>
    <row r="34" spans="2:5" x14ac:dyDescent="0.25">
      <c r="B34" s="331" t="s">
        <v>1125</v>
      </c>
      <c r="C34" s="89">
        <v>6586</v>
      </c>
      <c r="D34" s="89">
        <v>11600</v>
      </c>
      <c r="E34" s="89">
        <v>18900</v>
      </c>
    </row>
    <row r="35" spans="2:5" x14ac:dyDescent="0.25">
      <c r="B35" s="331" t="s">
        <v>1111</v>
      </c>
      <c r="C35" s="89">
        <v>91462</v>
      </c>
      <c r="D35" s="89">
        <v>73817</v>
      </c>
      <c r="E35" s="89">
        <v>68345</v>
      </c>
    </row>
    <row r="36" spans="2:5" x14ac:dyDescent="0.25">
      <c r="B36" s="331" t="s">
        <v>1127</v>
      </c>
      <c r="C36" s="89">
        <v>53475</v>
      </c>
      <c r="D36" s="89">
        <v>66000</v>
      </c>
      <c r="E36" s="89">
        <v>60000</v>
      </c>
    </row>
    <row r="37" spans="2:5" x14ac:dyDescent="0.25">
      <c r="B37" s="331" t="s">
        <v>1128</v>
      </c>
      <c r="C37" s="89">
        <v>41206</v>
      </c>
      <c r="D37" s="89">
        <v>40000</v>
      </c>
      <c r="E37" s="89">
        <v>50000</v>
      </c>
    </row>
    <row r="38" spans="2:5" x14ac:dyDescent="0.25">
      <c r="B38" s="331" t="s">
        <v>1129</v>
      </c>
      <c r="C38" s="89">
        <v>2500</v>
      </c>
      <c r="D38" s="89">
        <v>3000</v>
      </c>
      <c r="E38" s="89">
        <v>3000</v>
      </c>
    </row>
    <row r="39" spans="2:5" x14ac:dyDescent="0.25">
      <c r="B39" s="331" t="s">
        <v>1130</v>
      </c>
      <c r="C39" s="89">
        <v>18</v>
      </c>
      <c r="D39" s="89">
        <v>0</v>
      </c>
      <c r="E39" s="89">
        <v>0</v>
      </c>
    </row>
    <row r="40" spans="2:5" x14ac:dyDescent="0.25">
      <c r="B40" s="331" t="s">
        <v>1131</v>
      </c>
      <c r="C40" s="89">
        <v>9447</v>
      </c>
      <c r="D40" s="89">
        <v>8000</v>
      </c>
      <c r="E40" s="89">
        <v>8200</v>
      </c>
    </row>
    <row r="41" spans="2:5" x14ac:dyDescent="0.25">
      <c r="B41" s="331" t="s">
        <v>1132</v>
      </c>
      <c r="C41" s="89">
        <v>375</v>
      </c>
      <c r="D41" s="89">
        <v>0</v>
      </c>
      <c r="E41" s="89">
        <v>500</v>
      </c>
    </row>
    <row r="42" spans="2:5" x14ac:dyDescent="0.25">
      <c r="B42" s="331" t="s">
        <v>1112</v>
      </c>
      <c r="C42" s="89">
        <v>351</v>
      </c>
      <c r="D42" s="89">
        <v>0</v>
      </c>
      <c r="E42" s="89">
        <v>0</v>
      </c>
    </row>
    <row r="43" spans="2:5" x14ac:dyDescent="0.25">
      <c r="B43" s="331" t="s">
        <v>1133</v>
      </c>
      <c r="C43" s="89">
        <v>3180</v>
      </c>
      <c r="D43" s="89">
        <v>2000</v>
      </c>
      <c r="E43" s="89">
        <v>2500</v>
      </c>
    </row>
    <row r="44" spans="2:5" x14ac:dyDescent="0.25">
      <c r="B44" s="331" t="s">
        <v>1134</v>
      </c>
      <c r="C44" s="89">
        <v>40</v>
      </c>
      <c r="D44" s="89">
        <v>0</v>
      </c>
      <c r="E44" s="89">
        <v>0</v>
      </c>
    </row>
    <row r="45" spans="2:5" x14ac:dyDescent="0.25">
      <c r="B45" s="331" t="s">
        <v>1135</v>
      </c>
      <c r="C45" s="89">
        <v>442</v>
      </c>
      <c r="D45" s="89">
        <v>0</v>
      </c>
      <c r="E45" s="89">
        <v>0</v>
      </c>
    </row>
    <row r="46" spans="2:5" x14ac:dyDescent="0.25">
      <c r="B46" s="331" t="s">
        <v>1136</v>
      </c>
      <c r="C46" s="89">
        <v>825</v>
      </c>
      <c r="D46" s="89">
        <v>0</v>
      </c>
      <c r="E46" s="89">
        <v>0</v>
      </c>
    </row>
    <row r="47" spans="2:5" x14ac:dyDescent="0.25">
      <c r="B47" s="331" t="s">
        <v>1137</v>
      </c>
      <c r="C47" s="89">
        <v>327</v>
      </c>
      <c r="D47" s="89">
        <v>500</v>
      </c>
      <c r="E47" s="89">
        <v>1200</v>
      </c>
    </row>
    <row r="48" spans="2:5" x14ac:dyDescent="0.25">
      <c r="B48" s="331" t="s">
        <v>1138</v>
      </c>
      <c r="C48" s="89">
        <v>-10</v>
      </c>
      <c r="D48" s="89">
        <v>0</v>
      </c>
      <c r="E48" s="89">
        <v>0</v>
      </c>
    </row>
    <row r="49" spans="2:5" x14ac:dyDescent="0.25">
      <c r="B49" s="331" t="s">
        <v>1139</v>
      </c>
      <c r="C49" s="89">
        <v>24224</v>
      </c>
      <c r="D49" s="89">
        <v>29000</v>
      </c>
      <c r="E49" s="89">
        <v>33000</v>
      </c>
    </row>
    <row r="50" spans="2:5" x14ac:dyDescent="0.25">
      <c r="B50" s="335" t="s">
        <v>183</v>
      </c>
      <c r="C50" s="89"/>
      <c r="D50" s="328"/>
      <c r="E50" s="328"/>
    </row>
    <row r="51" spans="2:5" x14ac:dyDescent="0.25">
      <c r="B51" s="335" t="s">
        <v>672</v>
      </c>
      <c r="C51" s="533" t="str">
        <f>IF(C52*0.1&lt;C50,"Exceed 10% Rule","")</f>
        <v/>
      </c>
      <c r="D51" s="336" t="str">
        <f>IF(D52*0.1&lt;D50,"Exceed 10% Rule","")</f>
        <v/>
      </c>
      <c r="E51" s="336" t="str">
        <f>IF(E52*0.1&lt;E50,"Exceed 10% Rule","")</f>
        <v/>
      </c>
    </row>
    <row r="52" spans="2:5" x14ac:dyDescent="0.25">
      <c r="B52" s="337" t="s">
        <v>289</v>
      </c>
      <c r="C52" s="339">
        <f>SUM(C34:C50)</f>
        <v>234448</v>
      </c>
      <c r="D52" s="339">
        <f>SUM(D34:D50)</f>
        <v>233917</v>
      </c>
      <c r="E52" s="339">
        <f>SUM(E34:E50)</f>
        <v>245645</v>
      </c>
    </row>
    <row r="53" spans="2:5" x14ac:dyDescent="0.25">
      <c r="B53" s="337" t="s">
        <v>290</v>
      </c>
      <c r="C53" s="339">
        <f>C32+C52</f>
        <v>234448</v>
      </c>
      <c r="D53" s="339">
        <f>D32+D52</f>
        <v>233917</v>
      </c>
      <c r="E53" s="339">
        <f>E32+E52</f>
        <v>245645</v>
      </c>
    </row>
    <row r="54" spans="2:5" x14ac:dyDescent="0.25">
      <c r="B54" s="148" t="s">
        <v>292</v>
      </c>
      <c r="C54" s="329"/>
      <c r="D54" s="329"/>
      <c r="E54" s="329"/>
    </row>
    <row r="55" spans="2:5" x14ac:dyDescent="0.25">
      <c r="B55" s="331" t="s">
        <v>1113</v>
      </c>
      <c r="C55" s="89">
        <v>148409</v>
      </c>
      <c r="D55" s="89">
        <v>148548</v>
      </c>
      <c r="E55" s="89">
        <v>148550</v>
      </c>
    </row>
    <row r="56" spans="2:5" x14ac:dyDescent="0.25">
      <c r="B56" s="331" t="s">
        <v>1106</v>
      </c>
      <c r="C56" s="89">
        <v>32192</v>
      </c>
      <c r="D56" s="89">
        <v>37574</v>
      </c>
      <c r="E56" s="89">
        <v>42420</v>
      </c>
    </row>
    <row r="57" spans="2:5" x14ac:dyDescent="0.25">
      <c r="B57" s="331" t="s">
        <v>1107</v>
      </c>
      <c r="C57" s="89">
        <v>39842</v>
      </c>
      <c r="D57" s="89">
        <v>36195</v>
      </c>
      <c r="E57" s="89">
        <v>35775</v>
      </c>
    </row>
    <row r="58" spans="2:5" x14ac:dyDescent="0.25">
      <c r="B58" s="331" t="s">
        <v>1114</v>
      </c>
      <c r="C58" s="89">
        <v>14005</v>
      </c>
      <c r="D58" s="89">
        <v>11600</v>
      </c>
      <c r="E58" s="89">
        <v>18900</v>
      </c>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SUM(C55:C61)</f>
        <v>234448</v>
      </c>
      <c r="D63" s="339">
        <f>SUM(D55:D61)</f>
        <v>233917</v>
      </c>
      <c r="E63" s="339">
        <f>SUM(E55:E61)</f>
        <v>245645</v>
      </c>
    </row>
    <row r="64" spans="2:5" x14ac:dyDescent="0.25">
      <c r="B64" s="148" t="s">
        <v>57</v>
      </c>
      <c r="C64" s="102">
        <f>C53-C63</f>
        <v>0</v>
      </c>
      <c r="D64" s="102">
        <f>D53-D63</f>
        <v>0</v>
      </c>
      <c r="E64" s="102">
        <f>E53-E63</f>
        <v>0</v>
      </c>
    </row>
    <row r="65" spans="2:5" x14ac:dyDescent="0.25">
      <c r="B65" s="765" t="str">
        <f>CONCATENATE("",E1-2,"/",E1-1," Budget Authority Amount:")</f>
        <v>2011/2012 Budget Authority Amount:</v>
      </c>
      <c r="C65" s="286">
        <f>inputOth!B91</f>
        <v>269017</v>
      </c>
      <c r="D65" s="286">
        <f>inputPrYr!D46</f>
        <v>233917</v>
      </c>
      <c r="E65" s="532" t="str">
        <f>IF(E64&lt;0,"See Tab E","")</f>
        <v/>
      </c>
    </row>
    <row r="66" spans="2:5" x14ac:dyDescent="0.25">
      <c r="B66" s="803"/>
      <c r="C66" s="474"/>
      <c r="D66" s="474"/>
      <c r="E66" s="804"/>
    </row>
    <row r="67" spans="2:5" x14ac:dyDescent="0.25">
      <c r="B67" s="765" t="s">
        <v>299</v>
      </c>
      <c r="C67" s="280">
        <v>19</v>
      </c>
      <c r="D67" s="67"/>
      <c r="E67" s="67"/>
    </row>
  </sheetData>
  <conditionalFormatting sqref="C50">
    <cfRule type="cellIs" dxfId="115" priority="19" stopIfTrue="1" operator="greaterThan">
      <formula>$C$52*0.1</formula>
    </cfRule>
  </conditionalFormatting>
  <conditionalFormatting sqref="D50">
    <cfRule type="cellIs" dxfId="114" priority="18" stopIfTrue="1" operator="greaterThan">
      <formula>$D$52*0.1</formula>
    </cfRule>
  </conditionalFormatting>
  <conditionalFormatting sqref="E50">
    <cfRule type="cellIs" dxfId="113" priority="17" stopIfTrue="1" operator="greaterThan">
      <formula>$E$52*0.1</formula>
    </cfRule>
  </conditionalFormatting>
  <conditionalFormatting sqref="C61">
    <cfRule type="cellIs" dxfId="112" priority="16" stopIfTrue="1" operator="greaterThan">
      <formula>$C$63*0.1</formula>
    </cfRule>
  </conditionalFormatting>
  <conditionalFormatting sqref="D61">
    <cfRule type="cellIs" dxfId="111" priority="15" stopIfTrue="1" operator="greaterThan">
      <formula>$D$63*0.1</formula>
    </cfRule>
  </conditionalFormatting>
  <conditionalFormatting sqref="E61">
    <cfRule type="cellIs" dxfId="110" priority="14" stopIfTrue="1" operator="greaterThan">
      <formula>$E$63*0.1</formula>
    </cfRule>
  </conditionalFormatting>
  <conditionalFormatting sqref="C23">
    <cfRule type="cellIs" dxfId="109" priority="13" stopIfTrue="1" operator="greaterThan">
      <formula>$C$25*0.1</formula>
    </cfRule>
  </conditionalFormatting>
  <conditionalFormatting sqref="D23">
    <cfRule type="cellIs" dxfId="108" priority="12" stopIfTrue="1" operator="greaterThan">
      <formula>$D$25*0.1</formula>
    </cfRule>
  </conditionalFormatting>
  <conditionalFormatting sqref="E23">
    <cfRule type="cellIs" dxfId="107" priority="11" stopIfTrue="1" operator="greaterThan">
      <formula>$E$25*0.1</formula>
    </cfRule>
  </conditionalFormatting>
  <conditionalFormatting sqref="C13">
    <cfRule type="cellIs" dxfId="106" priority="10" stopIfTrue="1" operator="greaterThan">
      <formula>$C$15*0.1</formula>
    </cfRule>
  </conditionalFormatting>
  <conditionalFormatting sqref="D13">
    <cfRule type="cellIs" dxfId="105" priority="9" stopIfTrue="1" operator="greaterThan">
      <formula>$D$15*0.1</formula>
    </cfRule>
  </conditionalFormatting>
  <conditionalFormatting sqref="E13">
    <cfRule type="cellIs" dxfId="104" priority="8" stopIfTrue="1" operator="greaterThan">
      <formula>$E$15*0.1</formula>
    </cfRule>
  </conditionalFormatting>
  <conditionalFormatting sqref="E26 C26 E64 C64">
    <cfRule type="cellIs" dxfId="103" priority="7" stopIfTrue="1" operator="lessThan">
      <formula>0</formula>
    </cfRule>
  </conditionalFormatting>
  <conditionalFormatting sqref="C25">
    <cfRule type="cellIs" dxfId="102" priority="6" stopIfTrue="1" operator="greaterThan">
      <formula>$C$27</formula>
    </cfRule>
  </conditionalFormatting>
  <conditionalFormatting sqref="D25">
    <cfRule type="cellIs" dxfId="101" priority="5" stopIfTrue="1" operator="greaterThan">
      <formula>$D$27</formula>
    </cfRule>
  </conditionalFormatting>
  <conditionalFormatting sqref="C63">
    <cfRule type="cellIs" dxfId="100" priority="4" stopIfTrue="1" operator="greaterThan">
      <formula>$C$65</formula>
    </cfRule>
  </conditionalFormatting>
  <conditionalFormatting sqref="D63">
    <cfRule type="cellIs" dxfId="99" priority="3" stopIfTrue="1" operator="greaterThan">
      <formula>$D$65</formula>
    </cfRule>
  </conditionalFormatting>
  <conditionalFormatting sqref="D64">
    <cfRule type="cellIs" dxfId="98" priority="2" stopIfTrue="1" operator="lessThan">
      <formula>0</formula>
    </cfRule>
  </conditionalFormatting>
  <conditionalFormatting sqref="D26">
    <cfRule type="cellIs" dxfId="97" priority="1" stopIfTrue="1" operator="lessThan">
      <formula>0</formula>
    </cfRule>
  </conditionalFormatting>
  <pageMargins left="0.7" right="0.7" top="0.75" bottom="0.75" header="0.3" footer="0.3"/>
  <pageSetup scale="61"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4"/>
  <sheetViews>
    <sheetView topLeftCell="A46" workbookViewId="0">
      <selection activeCell="B57" sqref="B57"/>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inputPrYr!B47</f>
        <v>Spec. Rev. Tiblow Transit</v>
      </c>
      <c r="C5" s="427" t="str">
        <f>CONCATENATE("Actual for ",E1-2,"")</f>
        <v>Actual for 2011</v>
      </c>
      <c r="D5" s="427" t="str">
        <f>CONCATENATE("Estimate for ",E1-1,"")</f>
        <v>Estimate for 2012</v>
      </c>
      <c r="E5" s="251" t="str">
        <f>CONCATENATE("Year for ",E1,"")</f>
        <v>Year for 2013</v>
      </c>
    </row>
    <row r="6" spans="2:5" x14ac:dyDescent="0.25">
      <c r="B6" s="343" t="s">
        <v>56</v>
      </c>
      <c r="C6" s="89">
        <v>0</v>
      </c>
      <c r="D6" s="329">
        <f>C31</f>
        <v>0</v>
      </c>
      <c r="E6" s="329">
        <f>D31</f>
        <v>0</v>
      </c>
    </row>
    <row r="7" spans="2:5" s="63" customFormat="1" x14ac:dyDescent="0.25">
      <c r="B7" s="344" t="s">
        <v>58</v>
      </c>
      <c r="C7" s="107"/>
      <c r="D7" s="107"/>
      <c r="E7" s="107"/>
    </row>
    <row r="8" spans="2:5" x14ac:dyDescent="0.25">
      <c r="B8" s="331" t="s">
        <v>1149</v>
      </c>
      <c r="C8" s="89">
        <v>47961</v>
      </c>
      <c r="D8" s="89">
        <v>55065</v>
      </c>
      <c r="E8" s="89">
        <v>53760</v>
      </c>
    </row>
    <row r="9" spans="2:5" x14ac:dyDescent="0.25">
      <c r="B9" s="331" t="s">
        <v>1150</v>
      </c>
      <c r="C9" s="89">
        <v>1862</v>
      </c>
      <c r="D9" s="89">
        <v>3600</v>
      </c>
      <c r="E9" s="89">
        <v>3759</v>
      </c>
    </row>
    <row r="10" spans="2:5" x14ac:dyDescent="0.25">
      <c r="B10" s="331" t="s">
        <v>1151</v>
      </c>
      <c r="C10" s="89">
        <v>4465</v>
      </c>
      <c r="D10" s="89">
        <v>3800</v>
      </c>
      <c r="E10" s="89">
        <v>3800</v>
      </c>
    </row>
    <row r="11" spans="2:5" x14ac:dyDescent="0.25">
      <c r="B11" s="331" t="s">
        <v>1050</v>
      </c>
      <c r="C11" s="89">
        <v>1500</v>
      </c>
      <c r="D11" s="89">
        <v>1500</v>
      </c>
      <c r="E11" s="89">
        <v>1500</v>
      </c>
    </row>
    <row r="12" spans="2:5" x14ac:dyDescent="0.25">
      <c r="B12" s="331" t="s">
        <v>1112</v>
      </c>
      <c r="C12" s="89">
        <v>86</v>
      </c>
      <c r="D12" s="89">
        <v>0</v>
      </c>
      <c r="E12" s="89">
        <v>32570</v>
      </c>
    </row>
    <row r="13" spans="2:5" x14ac:dyDescent="0.25">
      <c r="B13" s="345" t="s">
        <v>1152</v>
      </c>
      <c r="C13" s="89">
        <v>7905</v>
      </c>
      <c r="D13" s="89">
        <v>15444</v>
      </c>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63779</v>
      </c>
      <c r="D16" s="339">
        <f>SUM(D8:D14)</f>
        <v>79409</v>
      </c>
      <c r="E16" s="339">
        <f>SUM(E8:E14)</f>
        <v>95389</v>
      </c>
    </row>
    <row r="17" spans="2:5" x14ac:dyDescent="0.25">
      <c r="B17" s="337" t="s">
        <v>290</v>
      </c>
      <c r="C17" s="339">
        <f>C6+C16</f>
        <v>63779</v>
      </c>
      <c r="D17" s="339">
        <f>D6+D16</f>
        <v>79409</v>
      </c>
      <c r="E17" s="339">
        <f>E6+E16</f>
        <v>95389</v>
      </c>
    </row>
    <row r="18" spans="2:5" x14ac:dyDescent="0.25">
      <c r="B18" s="148" t="s">
        <v>292</v>
      </c>
      <c r="C18" s="329"/>
      <c r="D18" s="329"/>
      <c r="E18" s="329"/>
    </row>
    <row r="19" spans="2:5" x14ac:dyDescent="0.25">
      <c r="B19" s="331" t="s">
        <v>1113</v>
      </c>
      <c r="C19" s="89">
        <v>40839</v>
      </c>
      <c r="D19" s="89">
        <v>48369</v>
      </c>
      <c r="E19" s="89">
        <v>50259</v>
      </c>
    </row>
    <row r="20" spans="2:5" x14ac:dyDescent="0.25">
      <c r="B20" s="331" t="s">
        <v>1106</v>
      </c>
      <c r="C20" s="89">
        <v>6920</v>
      </c>
      <c r="D20" s="89">
        <v>14990</v>
      </c>
      <c r="E20" s="89">
        <v>16430</v>
      </c>
    </row>
    <row r="21" spans="2:5" x14ac:dyDescent="0.25">
      <c r="B21" s="331" t="s">
        <v>1107</v>
      </c>
      <c r="C21" s="89">
        <v>16020</v>
      </c>
      <c r="D21" s="89">
        <v>16050</v>
      </c>
      <c r="E21" s="89">
        <v>16100</v>
      </c>
    </row>
    <row r="22" spans="2:5" x14ac:dyDescent="0.25">
      <c r="B22" s="331" t="s">
        <v>1114</v>
      </c>
      <c r="C22" s="89">
        <v>0</v>
      </c>
      <c r="D22" s="89">
        <v>0</v>
      </c>
      <c r="E22" s="89">
        <v>12600</v>
      </c>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63779</v>
      </c>
      <c r="D30" s="339">
        <f>SUM(D19:D28)</f>
        <v>79409</v>
      </c>
      <c r="E30" s="339">
        <f>SUM(E19:E28)</f>
        <v>95389</v>
      </c>
    </row>
    <row r="31" spans="2:5" x14ac:dyDescent="0.25">
      <c r="B31" s="148" t="s">
        <v>57</v>
      </c>
      <c r="C31" s="102">
        <f>C17-C30</f>
        <v>0</v>
      </c>
      <c r="D31" s="102">
        <f>D17-D30</f>
        <v>0</v>
      </c>
      <c r="E31" s="102">
        <f>E17-E30</f>
        <v>0</v>
      </c>
    </row>
    <row r="32" spans="2:5" x14ac:dyDescent="0.25">
      <c r="B32" s="765" t="str">
        <f>CONCATENATE("",E1-2,"/",E1-1," Budget Authority Amount:")</f>
        <v>2011/2012 Budget Authority Amount:</v>
      </c>
      <c r="C32" s="286">
        <f>inputOth!B92</f>
        <v>80269</v>
      </c>
      <c r="D32" s="286">
        <f>inputPrYr!D47</f>
        <v>79409</v>
      </c>
      <c r="E32" s="532" t="str">
        <f>IF(E31&lt;0,"See Tab E","")</f>
        <v/>
      </c>
    </row>
    <row r="33" spans="2:5" x14ac:dyDescent="0.25">
      <c r="B33" s="765"/>
      <c r="C33" s="341" t="str">
        <f>IF(C30&gt;C32,"See Tab A","")</f>
        <v/>
      </c>
      <c r="D33" s="341" t="str">
        <f>IF(D30&gt;D32,"See Tab C","")</f>
        <v/>
      </c>
      <c r="E33" s="119"/>
    </row>
    <row r="34" spans="2:5" x14ac:dyDescent="0.25">
      <c r="B34" s="765"/>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inputPrYr!B48</f>
        <v>Spec. Rev. TIF Develop Funds</v>
      </c>
      <c r="C38" s="342" t="str">
        <f>C5</f>
        <v>Actual for 2011</v>
      </c>
      <c r="D38" s="342" t="str">
        <f>D5</f>
        <v>Estimate for 2012</v>
      </c>
      <c r="E38" s="342" t="str">
        <f>E5</f>
        <v>Year for 2013</v>
      </c>
    </row>
    <row r="39" spans="2:5" x14ac:dyDescent="0.25">
      <c r="B39" s="343" t="s">
        <v>56</v>
      </c>
      <c r="C39" s="89">
        <v>2343</v>
      </c>
      <c r="D39" s="329">
        <f>C59</f>
        <v>2343</v>
      </c>
      <c r="E39" s="329">
        <f>D59</f>
        <v>2343</v>
      </c>
    </row>
    <row r="40" spans="2:5" s="63" customFormat="1" x14ac:dyDescent="0.25">
      <c r="B40" s="344" t="s">
        <v>58</v>
      </c>
      <c r="C40" s="107"/>
      <c r="D40" s="107"/>
      <c r="E40" s="107"/>
    </row>
    <row r="41" spans="2:5" x14ac:dyDescent="0.25">
      <c r="B41" s="331" t="s">
        <v>1153</v>
      </c>
      <c r="C41" s="89">
        <v>0</v>
      </c>
      <c r="D41" s="89">
        <v>0</v>
      </c>
      <c r="E41" s="89">
        <v>0</v>
      </c>
    </row>
    <row r="42" spans="2:5" x14ac:dyDescent="0.25">
      <c r="B42" s="331"/>
      <c r="C42" s="89"/>
      <c r="D42" s="89"/>
      <c r="E42" s="89"/>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0</v>
      </c>
      <c r="D49" s="339">
        <f>SUM(D41:D47)</f>
        <v>0</v>
      </c>
      <c r="E49" s="339">
        <f>SUM(E41:E47)</f>
        <v>0</v>
      </c>
    </row>
    <row r="50" spans="2:5" x14ac:dyDescent="0.25">
      <c r="B50" s="337" t="s">
        <v>290</v>
      </c>
      <c r="C50" s="339">
        <f>C39+C49</f>
        <v>2343</v>
      </c>
      <c r="D50" s="339">
        <f>D39+D49</f>
        <v>2343</v>
      </c>
      <c r="E50" s="339">
        <f>E39+E49</f>
        <v>2343</v>
      </c>
    </row>
    <row r="51" spans="2:5" x14ac:dyDescent="0.25">
      <c r="B51" s="148" t="s">
        <v>292</v>
      </c>
      <c r="C51" s="329"/>
      <c r="D51" s="329"/>
      <c r="E51" s="329"/>
    </row>
    <row r="52" spans="2:5" x14ac:dyDescent="0.25">
      <c r="B52" s="331" t="s">
        <v>1106</v>
      </c>
      <c r="C52" s="89">
        <v>0</v>
      </c>
      <c r="D52" s="89">
        <v>0</v>
      </c>
      <c r="E52" s="89">
        <v>0</v>
      </c>
    </row>
    <row r="53" spans="2:5" x14ac:dyDescent="0.25">
      <c r="B53" s="331"/>
      <c r="C53" s="89"/>
      <c r="D53" s="89"/>
      <c r="E53" s="89"/>
    </row>
    <row r="54" spans="2:5" x14ac:dyDescent="0.25">
      <c r="B54" s="331"/>
      <c r="C54" s="89"/>
      <c r="D54" s="89"/>
      <c r="E54" s="89"/>
    </row>
    <row r="55" spans="2:5" x14ac:dyDescent="0.25">
      <c r="B55" s="331"/>
      <c r="C55" s="89"/>
      <c r="D55" s="89"/>
      <c r="E55" s="89"/>
    </row>
    <row r="56" spans="2:5" x14ac:dyDescent="0.25">
      <c r="B56" s="335" t="s">
        <v>183</v>
      </c>
      <c r="C56" s="89"/>
      <c r="D56" s="328"/>
      <c r="E56" s="328"/>
    </row>
    <row r="57" spans="2:5" x14ac:dyDescent="0.25">
      <c r="B57" s="335" t="s">
        <v>671</v>
      </c>
      <c r="C57" s="533" t="str">
        <f>IF(C58*0.1&lt;C56,"Exceed 10% Rule","")</f>
        <v/>
      </c>
      <c r="D57" s="336" t="str">
        <f>IF(D58*0.1&lt;D56,"Exceed 10% Rule","")</f>
        <v/>
      </c>
      <c r="E57" s="336" t="str">
        <f>IF(E58*0.1&lt;E56,"Exceed 10% Rule","")</f>
        <v/>
      </c>
    </row>
    <row r="58" spans="2:5" x14ac:dyDescent="0.25">
      <c r="B58" s="337" t="s">
        <v>296</v>
      </c>
      <c r="C58" s="339">
        <f>SUM(C52:C56)</f>
        <v>0</v>
      </c>
      <c r="D58" s="339">
        <f>SUM(D52:D56)</f>
        <v>0</v>
      </c>
      <c r="E58" s="339">
        <f>SUM(E52:E56)</f>
        <v>0</v>
      </c>
    </row>
    <row r="59" spans="2:5" x14ac:dyDescent="0.25">
      <c r="B59" s="148" t="s">
        <v>57</v>
      </c>
      <c r="C59" s="102">
        <f>C50-C58</f>
        <v>2343</v>
      </c>
      <c r="D59" s="102">
        <f>D50-D58</f>
        <v>2343</v>
      </c>
      <c r="E59" s="102">
        <f>E50-E58</f>
        <v>2343</v>
      </c>
    </row>
    <row r="60" spans="2:5" x14ac:dyDescent="0.25">
      <c r="B60" s="765" t="str">
        <f>CONCATENATE("",E1-2,"/",E1-1," Budget Authority Amount:")</f>
        <v>2011/2012 Budget Authority Amount:</v>
      </c>
      <c r="C60" s="286">
        <f>inputOth!B93</f>
        <v>2343</v>
      </c>
      <c r="D60" s="286">
        <f>inputPrYr!D48</f>
        <v>0</v>
      </c>
      <c r="E60" s="532" t="str">
        <f>IF(E59&lt;0,"See Tab E","")</f>
        <v/>
      </c>
    </row>
    <row r="61" spans="2:5" x14ac:dyDescent="0.25">
      <c r="B61" s="765"/>
      <c r="C61" s="341" t="str">
        <f>IF(C58&gt;C60,"See Tab A","")</f>
        <v/>
      </c>
      <c r="D61" s="341" t="str">
        <f>IF(D58&gt;D60,"See Tab C","")</f>
        <v/>
      </c>
      <c r="E61" s="67"/>
    </row>
    <row r="62" spans="2:5" x14ac:dyDescent="0.25">
      <c r="B62" s="765"/>
      <c r="C62" s="341" t="str">
        <f>IF(C59&lt;0,"See Tab B","")</f>
        <v/>
      </c>
      <c r="D62" s="341" t="str">
        <f>IF(D59&lt;0,"See Tab D","")</f>
        <v/>
      </c>
      <c r="E62" s="67"/>
    </row>
    <row r="63" spans="2:5" x14ac:dyDescent="0.25">
      <c r="B63" s="67"/>
      <c r="C63" s="67"/>
      <c r="D63" s="67"/>
      <c r="E63" s="67"/>
    </row>
    <row r="64" spans="2:5" x14ac:dyDescent="0.25">
      <c r="B64" s="765" t="s">
        <v>299</v>
      </c>
      <c r="C64" s="280">
        <v>20</v>
      </c>
      <c r="D64" s="67"/>
      <c r="E64" s="67"/>
    </row>
  </sheetData>
  <conditionalFormatting sqref="C47">
    <cfRule type="cellIs" dxfId="96" priority="19" stopIfTrue="1" operator="greaterThan">
      <formula>$C$49*0.1</formula>
    </cfRule>
  </conditionalFormatting>
  <conditionalFormatting sqref="D47">
    <cfRule type="cellIs" dxfId="95" priority="18" stopIfTrue="1" operator="greaterThan">
      <formula>$D$49*0.1</formula>
    </cfRule>
  </conditionalFormatting>
  <conditionalFormatting sqref="E47">
    <cfRule type="cellIs" dxfId="94" priority="17" stopIfTrue="1" operator="greaterThan">
      <formula>$E$49*0.1</formula>
    </cfRule>
  </conditionalFormatting>
  <conditionalFormatting sqref="C56">
    <cfRule type="cellIs" dxfId="93" priority="16" stopIfTrue="1" operator="greaterThan">
      <formula>$C$58*0.1</formula>
    </cfRule>
  </conditionalFormatting>
  <conditionalFormatting sqref="D56">
    <cfRule type="cellIs" dxfId="92" priority="15" stopIfTrue="1" operator="greaterThan">
      <formula>$D$58*0.1</formula>
    </cfRule>
  </conditionalFormatting>
  <conditionalFormatting sqref="E56">
    <cfRule type="cellIs" dxfId="91" priority="14" stopIfTrue="1" operator="greaterThan">
      <formula>$E$58*0.1</formula>
    </cfRule>
  </conditionalFormatting>
  <conditionalFormatting sqref="C28">
    <cfRule type="cellIs" dxfId="90" priority="13" stopIfTrue="1" operator="greaterThan">
      <formula>$C$30*0.1</formula>
    </cfRule>
  </conditionalFormatting>
  <conditionalFormatting sqref="D28">
    <cfRule type="cellIs" dxfId="89" priority="12" stopIfTrue="1" operator="greaterThan">
      <formula>$D$30*0.1</formula>
    </cfRule>
  </conditionalFormatting>
  <conditionalFormatting sqref="E28">
    <cfRule type="cellIs" dxfId="88" priority="11" stopIfTrue="1" operator="greaterThan">
      <formula>$E$30*0.1</formula>
    </cfRule>
  </conditionalFormatting>
  <conditionalFormatting sqref="C14">
    <cfRule type="cellIs" dxfId="87" priority="10" stopIfTrue="1" operator="greaterThan">
      <formula>$C$16*0.1</formula>
    </cfRule>
  </conditionalFormatting>
  <conditionalFormatting sqref="D14">
    <cfRule type="cellIs" dxfId="86" priority="9" stopIfTrue="1" operator="greaterThan">
      <formula>$D$16*0.1</formula>
    </cfRule>
  </conditionalFormatting>
  <conditionalFormatting sqref="E14">
    <cfRule type="cellIs" dxfId="85" priority="8" stopIfTrue="1" operator="greaterThan">
      <formula>$E$16*0.1</formula>
    </cfRule>
  </conditionalFormatting>
  <conditionalFormatting sqref="E31 C31 E59 C59">
    <cfRule type="cellIs" dxfId="84" priority="7" stopIfTrue="1" operator="lessThan">
      <formula>0</formula>
    </cfRule>
  </conditionalFormatting>
  <conditionalFormatting sqref="C30">
    <cfRule type="cellIs" dxfId="83" priority="6" stopIfTrue="1" operator="greaterThan">
      <formula>$C$32</formula>
    </cfRule>
  </conditionalFormatting>
  <conditionalFormatting sqref="D30">
    <cfRule type="cellIs" dxfId="82" priority="5" stopIfTrue="1" operator="greaterThan">
      <formula>$D$32</formula>
    </cfRule>
  </conditionalFormatting>
  <conditionalFormatting sqref="C58">
    <cfRule type="cellIs" dxfId="81" priority="4" stopIfTrue="1" operator="greaterThan">
      <formula>$C$60</formula>
    </cfRule>
  </conditionalFormatting>
  <conditionalFormatting sqref="D58">
    <cfRule type="cellIs" dxfId="80" priority="3" stopIfTrue="1" operator="greaterThan">
      <formula>$D$60</formula>
    </cfRule>
  </conditionalFormatting>
  <conditionalFormatting sqref="D59">
    <cfRule type="cellIs" dxfId="79" priority="2" stopIfTrue="1" operator="lessThan">
      <formula>0</formula>
    </cfRule>
  </conditionalFormatting>
  <conditionalFormatting sqref="D31">
    <cfRule type="cellIs" dxfId="78" priority="1" stopIfTrue="1" operator="lessThan">
      <formula>0</formula>
    </cfRule>
  </conditionalFormatting>
  <pageMargins left="0.7" right="0.7" top="0.75" bottom="0.75" header="0.3" footer="0.3"/>
  <pageSetup scale="61" orientation="portrait" blackAndWhite="1"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9"/>
  <sheetViews>
    <sheetView topLeftCell="A51" workbookViewId="0">
      <selection activeCell="B62" sqref="B62"/>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inputPrYr!B51</f>
        <v>Bonner Springs Center CID</v>
      </c>
      <c r="C5" s="427" t="str">
        <f>CONCATENATE("Actual for ",E1-2,"")</f>
        <v>Actual for 2011</v>
      </c>
      <c r="D5" s="427" t="str">
        <f>CONCATENATE("Estimate for ",E1-1,"")</f>
        <v>Estimate for 2012</v>
      </c>
      <c r="E5" s="251" t="str">
        <f>CONCATENATE("Year for ",E1,"")</f>
        <v>Year for 2013</v>
      </c>
    </row>
    <row r="6" spans="2:5" x14ac:dyDescent="0.25">
      <c r="B6" s="343" t="s">
        <v>56</v>
      </c>
      <c r="C6" s="89">
        <v>0</v>
      </c>
      <c r="D6" s="329">
        <f>C31</f>
        <v>0</v>
      </c>
      <c r="E6" s="329">
        <f>D31</f>
        <v>0</v>
      </c>
    </row>
    <row r="7" spans="2:5" s="63" customFormat="1" x14ac:dyDescent="0.25">
      <c r="B7" s="344" t="s">
        <v>58</v>
      </c>
      <c r="C7" s="107"/>
      <c r="D7" s="107"/>
      <c r="E7" s="107"/>
    </row>
    <row r="8" spans="2:5" x14ac:dyDescent="0.25">
      <c r="B8" s="331" t="s">
        <v>1156</v>
      </c>
      <c r="C8" s="89">
        <v>20530</v>
      </c>
      <c r="D8" s="89">
        <v>160000</v>
      </c>
      <c r="E8" s="89">
        <v>100000</v>
      </c>
    </row>
    <row r="9" spans="2:5" x14ac:dyDescent="0.25">
      <c r="B9" s="331"/>
      <c r="C9" s="89"/>
      <c r="D9" s="89"/>
      <c r="E9" s="89"/>
    </row>
    <row r="10" spans="2:5" x14ac:dyDescent="0.25">
      <c r="B10" s="331"/>
      <c r="C10" s="89"/>
      <c r="D10" s="89"/>
      <c r="E10" s="89"/>
    </row>
    <row r="11" spans="2:5" x14ac:dyDescent="0.25">
      <c r="B11" s="331"/>
      <c r="C11" s="89"/>
      <c r="D11" s="89"/>
      <c r="E11" s="89"/>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20530</v>
      </c>
      <c r="D16" s="339">
        <f>SUM(D8:D14)</f>
        <v>160000</v>
      </c>
      <c r="E16" s="339">
        <f>SUM(E8:E14)</f>
        <v>100000</v>
      </c>
    </row>
    <row r="17" spans="2:5" x14ac:dyDescent="0.25">
      <c r="B17" s="337" t="s">
        <v>290</v>
      </c>
      <c r="C17" s="339">
        <f>C6+C16</f>
        <v>20530</v>
      </c>
      <c r="D17" s="339">
        <f>D6+D16</f>
        <v>160000</v>
      </c>
      <c r="E17" s="339">
        <f>E6+E16</f>
        <v>100000</v>
      </c>
    </row>
    <row r="18" spans="2:5" x14ac:dyDescent="0.25">
      <c r="B18" s="148" t="s">
        <v>292</v>
      </c>
      <c r="C18" s="329"/>
      <c r="D18" s="329"/>
      <c r="E18" s="329"/>
    </row>
    <row r="19" spans="2:5" x14ac:dyDescent="0.25">
      <c r="B19" s="331" t="s">
        <v>1106</v>
      </c>
      <c r="C19" s="89">
        <v>20530</v>
      </c>
      <c r="D19" s="89">
        <v>160000</v>
      </c>
      <c r="E19" s="89">
        <v>100000</v>
      </c>
    </row>
    <row r="20" spans="2:5" x14ac:dyDescent="0.25">
      <c r="B20" s="331"/>
      <c r="C20" s="89"/>
      <c r="D20" s="89"/>
      <c r="E20" s="89"/>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20530</v>
      </c>
      <c r="D30" s="339">
        <f>SUM(D19:D28)</f>
        <v>160000</v>
      </c>
      <c r="E30" s="339">
        <f>SUM(E19:E28)</f>
        <v>100000</v>
      </c>
    </row>
    <row r="31" spans="2:5" x14ac:dyDescent="0.25">
      <c r="B31" s="148" t="s">
        <v>57</v>
      </c>
      <c r="C31" s="102">
        <f>C17-C30</f>
        <v>0</v>
      </c>
      <c r="D31" s="102">
        <f>D17-D30</f>
        <v>0</v>
      </c>
      <c r="E31" s="102">
        <f>E17-E30</f>
        <v>0</v>
      </c>
    </row>
    <row r="32" spans="2:5" x14ac:dyDescent="0.25">
      <c r="B32" s="178" t="str">
        <f>CONCATENATE("",E1-2,"/",E1-1," Budget Authority Amount:")</f>
        <v>2011/2012 Budget Authority Amount:</v>
      </c>
      <c r="C32" s="286">
        <f>inputOth!B96</f>
        <v>80000</v>
      </c>
      <c r="D32" s="286">
        <f>inputPrYr!D51</f>
        <v>160000</v>
      </c>
      <c r="E32" s="532" t="str">
        <f>IF(E31&lt;0,"See Tab E","")</f>
        <v/>
      </c>
    </row>
    <row r="33" spans="2:5" x14ac:dyDescent="0.25">
      <c r="B33" s="178"/>
      <c r="C33" s="341" t="str">
        <f>IF(C30&gt;C32,"See Tab A","")</f>
        <v/>
      </c>
      <c r="D33" s="341" t="str">
        <f>IF(D30&gt;D32,"See Tab C","")</f>
        <v/>
      </c>
      <c r="E33" s="119"/>
    </row>
    <row r="34" spans="2:5" x14ac:dyDescent="0.25">
      <c r="B34" s="178"/>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inputPrYr!B52</f>
        <v>Bonner Springs Ctr City Contribution</v>
      </c>
      <c r="C38" s="342" t="str">
        <f>C5</f>
        <v>Actual for 2011</v>
      </c>
      <c r="D38" s="342" t="str">
        <f>D5</f>
        <v>Estimate for 2012</v>
      </c>
      <c r="E38" s="342" t="str">
        <f>E5</f>
        <v>Year for 2013</v>
      </c>
    </row>
    <row r="39" spans="2:5" x14ac:dyDescent="0.25">
      <c r="B39" s="343" t="s">
        <v>56</v>
      </c>
      <c r="C39" s="89">
        <v>0</v>
      </c>
      <c r="D39" s="329">
        <f>C64</f>
        <v>0</v>
      </c>
      <c r="E39" s="329">
        <f>D64</f>
        <v>0</v>
      </c>
    </row>
    <row r="40" spans="2:5" s="63" customFormat="1" x14ac:dyDescent="0.25">
      <c r="B40" s="344" t="s">
        <v>58</v>
      </c>
      <c r="C40" s="107"/>
      <c r="D40" s="107"/>
      <c r="E40" s="107"/>
    </row>
    <row r="41" spans="2:5" x14ac:dyDescent="0.25">
      <c r="B41" s="331" t="s">
        <v>1111</v>
      </c>
      <c r="C41" s="89">
        <v>6607</v>
      </c>
      <c r="D41" s="89">
        <v>30000</v>
      </c>
      <c r="E41" s="89">
        <v>33000</v>
      </c>
    </row>
    <row r="42" spans="2:5" x14ac:dyDescent="0.25">
      <c r="B42" s="331"/>
      <c r="C42" s="89"/>
      <c r="D42" s="89"/>
      <c r="E42" s="89"/>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6607</v>
      </c>
      <c r="D49" s="339">
        <f>SUM(D41:D47)</f>
        <v>30000</v>
      </c>
      <c r="E49" s="339">
        <f>SUM(E41:E47)</f>
        <v>33000</v>
      </c>
    </row>
    <row r="50" spans="2:5" x14ac:dyDescent="0.25">
      <c r="B50" s="337" t="s">
        <v>290</v>
      </c>
      <c r="C50" s="339">
        <f>C39+C49</f>
        <v>6607</v>
      </c>
      <c r="D50" s="339">
        <f>D39+D49</f>
        <v>30000</v>
      </c>
      <c r="E50" s="339">
        <f>E39+E49</f>
        <v>33000</v>
      </c>
    </row>
    <row r="51" spans="2:5" x14ac:dyDescent="0.25">
      <c r="B51" s="148" t="s">
        <v>292</v>
      </c>
      <c r="C51" s="329"/>
      <c r="D51" s="329"/>
      <c r="E51" s="329"/>
    </row>
    <row r="52" spans="2:5" x14ac:dyDescent="0.25">
      <c r="B52" s="331" t="s">
        <v>1106</v>
      </c>
      <c r="C52" s="89">
        <v>6607</v>
      </c>
      <c r="D52" s="89">
        <v>30000</v>
      </c>
      <c r="E52" s="89">
        <v>33000</v>
      </c>
    </row>
    <row r="53" spans="2:5" x14ac:dyDescent="0.25">
      <c r="B53" s="331"/>
      <c r="C53" s="89"/>
      <c r="D53" s="89"/>
      <c r="E53" s="89"/>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6607</v>
      </c>
      <c r="D63" s="339">
        <f>SUM(D52:D61)</f>
        <v>30000</v>
      </c>
      <c r="E63" s="339">
        <f>SUM(E52:E61)</f>
        <v>33000</v>
      </c>
    </row>
    <row r="64" spans="2:5" x14ac:dyDescent="0.25">
      <c r="B64" s="148" t="s">
        <v>57</v>
      </c>
      <c r="C64" s="102">
        <f>C50-C63</f>
        <v>0</v>
      </c>
      <c r="D64" s="102">
        <f>D50-D63</f>
        <v>0</v>
      </c>
      <c r="E64" s="102">
        <f>E50-E63</f>
        <v>0</v>
      </c>
    </row>
    <row r="65" spans="2:5" x14ac:dyDescent="0.25">
      <c r="B65" s="178" t="str">
        <f>CONCATENATE("",E1-2,"/",E1-1," Budget Authority Amount:")</f>
        <v>2011/2012 Budget Authority Amount:</v>
      </c>
      <c r="C65" s="286">
        <f>inputOth!B97</f>
        <v>30000</v>
      </c>
      <c r="D65" s="286">
        <f>inputPrYr!D52</f>
        <v>60000</v>
      </c>
      <c r="E65" s="532" t="str">
        <f>IF(E64&lt;0,"See Tab E","")</f>
        <v/>
      </c>
    </row>
    <row r="66" spans="2:5" x14ac:dyDescent="0.25">
      <c r="B66" s="178"/>
      <c r="C66" s="341" t="str">
        <f>IF(C63&gt;C65,"See Tab A","")</f>
        <v/>
      </c>
      <c r="D66" s="341" t="str">
        <f>IF(D63&gt;D65,"See Tab C","")</f>
        <v/>
      </c>
      <c r="E66" s="67"/>
    </row>
    <row r="67" spans="2:5" x14ac:dyDescent="0.25">
      <c r="B67" s="178"/>
      <c r="C67" s="341" t="str">
        <f>IF(C64&lt;0,"See Tab B","")</f>
        <v/>
      </c>
      <c r="D67" s="341" t="str">
        <f>IF(D64&lt;0,"See Tab D","")</f>
        <v/>
      </c>
      <c r="E67" s="67"/>
    </row>
    <row r="68" spans="2:5" x14ac:dyDescent="0.25">
      <c r="B68" s="67"/>
      <c r="C68" s="67"/>
      <c r="D68" s="67"/>
      <c r="E68" s="67"/>
    </row>
    <row r="69" spans="2:5" x14ac:dyDescent="0.25">
      <c r="B69" s="178" t="s">
        <v>299</v>
      </c>
      <c r="C69" s="280">
        <v>21</v>
      </c>
      <c r="D69" s="67"/>
      <c r="E69" s="67"/>
    </row>
  </sheetData>
  <conditionalFormatting sqref="C47">
    <cfRule type="cellIs" dxfId="77" priority="19" stopIfTrue="1" operator="greaterThan">
      <formula>$C$49*0.1</formula>
    </cfRule>
  </conditionalFormatting>
  <conditionalFormatting sqref="D47">
    <cfRule type="cellIs" dxfId="76" priority="18" stopIfTrue="1" operator="greaterThan">
      <formula>$D$49*0.1</formula>
    </cfRule>
  </conditionalFormatting>
  <conditionalFormatting sqref="E47">
    <cfRule type="cellIs" dxfId="75" priority="17" stopIfTrue="1" operator="greaterThan">
      <formula>$E$49*0.1</formula>
    </cfRule>
  </conditionalFormatting>
  <conditionalFormatting sqref="C61">
    <cfRule type="cellIs" dxfId="74" priority="16" stopIfTrue="1" operator="greaterThan">
      <formula>$C$63*0.1</formula>
    </cfRule>
  </conditionalFormatting>
  <conditionalFormatting sqref="D61">
    <cfRule type="cellIs" dxfId="73" priority="15" stopIfTrue="1" operator="greaterThan">
      <formula>$D$63*0.1</formula>
    </cfRule>
  </conditionalFormatting>
  <conditionalFormatting sqref="E61">
    <cfRule type="cellIs" dxfId="72" priority="14" stopIfTrue="1" operator="greaterThan">
      <formula>$E$63*0.1</formula>
    </cfRule>
  </conditionalFormatting>
  <conditionalFormatting sqref="C28">
    <cfRule type="cellIs" dxfId="71" priority="13" stopIfTrue="1" operator="greaterThan">
      <formula>$C$30*0.1</formula>
    </cfRule>
  </conditionalFormatting>
  <conditionalFormatting sqref="D28">
    <cfRule type="cellIs" dxfId="70" priority="12" stopIfTrue="1" operator="greaterThan">
      <formula>$D$30*0.1</formula>
    </cfRule>
  </conditionalFormatting>
  <conditionalFormatting sqref="E28">
    <cfRule type="cellIs" dxfId="69" priority="11" stopIfTrue="1" operator="greaterThan">
      <formula>$E$30*0.1</formula>
    </cfRule>
  </conditionalFormatting>
  <conditionalFormatting sqref="C14">
    <cfRule type="cellIs" dxfId="68" priority="10" stopIfTrue="1" operator="greaterThan">
      <formula>$C$16*0.1</formula>
    </cfRule>
  </conditionalFormatting>
  <conditionalFormatting sqref="D14">
    <cfRule type="cellIs" dxfId="67" priority="9" stopIfTrue="1" operator="greaterThan">
      <formula>$D$16*0.1</formula>
    </cfRule>
  </conditionalFormatting>
  <conditionalFormatting sqref="E14">
    <cfRule type="cellIs" dxfId="66" priority="8" stopIfTrue="1" operator="greaterThan">
      <formula>$E$16*0.1</formula>
    </cfRule>
  </conditionalFormatting>
  <conditionalFormatting sqref="E31 C31 E64 C64">
    <cfRule type="cellIs" dxfId="65" priority="7" stopIfTrue="1" operator="lessThan">
      <formula>0</formula>
    </cfRule>
  </conditionalFormatting>
  <conditionalFormatting sqref="C30">
    <cfRule type="cellIs" dxfId="64" priority="6" stopIfTrue="1" operator="greaterThan">
      <formula>$C$32</formula>
    </cfRule>
  </conditionalFormatting>
  <conditionalFormatting sqref="D30">
    <cfRule type="cellIs" dxfId="63" priority="5" stopIfTrue="1" operator="greaterThan">
      <formula>$D$32</formula>
    </cfRule>
  </conditionalFormatting>
  <conditionalFormatting sqref="C63">
    <cfRule type="cellIs" dxfId="62" priority="4" stopIfTrue="1" operator="greaterThan">
      <formula>$C$65</formula>
    </cfRule>
  </conditionalFormatting>
  <conditionalFormatting sqref="D63">
    <cfRule type="cellIs" dxfId="61" priority="3" stopIfTrue="1" operator="greaterThan">
      <formula>$D$65</formula>
    </cfRule>
  </conditionalFormatting>
  <conditionalFormatting sqref="D64">
    <cfRule type="cellIs" dxfId="60" priority="2" stopIfTrue="1" operator="lessThan">
      <formula>0</formula>
    </cfRule>
  </conditionalFormatting>
  <conditionalFormatting sqref="D31">
    <cfRule type="cellIs" dxfId="59" priority="1" stopIfTrue="1" operator="lessThan">
      <formula>0</formula>
    </cfRule>
  </conditionalFormatting>
  <pageMargins left="0.7" right="0.7" top="0.75" bottom="0.75" header="0.3" footer="0.3"/>
  <pageSetup scale="61" orientation="portrait"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9"/>
  <sheetViews>
    <sheetView topLeftCell="A48" workbookViewId="0">
      <selection activeCell="B62" sqref="B62"/>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7" x14ac:dyDescent="0.25">
      <c r="B1" s="235" t="str">
        <f>(inputPrYr!D3)</f>
        <v>City of Bonner Springs</v>
      </c>
      <c r="C1" s="67"/>
      <c r="D1" s="67"/>
      <c r="E1" s="260">
        <f>inputPrYr!C10</f>
        <v>2013</v>
      </c>
    </row>
    <row r="2" spans="2:7" x14ac:dyDescent="0.25">
      <c r="B2" s="67"/>
      <c r="C2" s="67"/>
      <c r="D2" s="67"/>
      <c r="E2" s="209"/>
    </row>
    <row r="3" spans="2:7" x14ac:dyDescent="0.25">
      <c r="B3" s="325" t="s">
        <v>6</v>
      </c>
      <c r="C3" s="274"/>
      <c r="D3" s="274"/>
      <c r="E3" s="274"/>
    </row>
    <row r="4" spans="2:7" x14ac:dyDescent="0.25">
      <c r="B4" s="74" t="s">
        <v>283</v>
      </c>
      <c r="C4" s="598" t="s">
        <v>810</v>
      </c>
      <c r="D4" s="599" t="s">
        <v>811</v>
      </c>
      <c r="E4" s="185" t="s">
        <v>812</v>
      </c>
    </row>
    <row r="5" spans="2:7" x14ac:dyDescent="0.25">
      <c r="B5" s="545" t="str">
        <f>inputPrYr!B49</f>
        <v>Bonner Pointe TIF Increment</v>
      </c>
      <c r="C5" s="427" t="str">
        <f>CONCATENATE("Actual for ",E1-2,"")</f>
        <v>Actual for 2011</v>
      </c>
      <c r="D5" s="427" t="str">
        <f>CONCATENATE("Estimate for ",E1-1,"")</f>
        <v>Estimate for 2012</v>
      </c>
      <c r="E5" s="251" t="str">
        <f>CONCATENATE("Year for ",E1,"")</f>
        <v>Year for 2013</v>
      </c>
    </row>
    <row r="6" spans="2:7" x14ac:dyDescent="0.25">
      <c r="B6" s="343" t="s">
        <v>56</v>
      </c>
      <c r="C6" s="89">
        <v>0</v>
      </c>
      <c r="D6" s="329">
        <f>C31</f>
        <v>9500</v>
      </c>
      <c r="E6" s="329">
        <f>D31</f>
        <v>0</v>
      </c>
    </row>
    <row r="7" spans="2:7" s="63" customFormat="1" x14ac:dyDescent="0.25">
      <c r="B7" s="344" t="s">
        <v>58</v>
      </c>
      <c r="C7" s="107"/>
      <c r="D7" s="107"/>
      <c r="E7" s="107"/>
    </row>
    <row r="8" spans="2:7" x14ac:dyDescent="0.25">
      <c r="B8" s="331" t="s">
        <v>1154</v>
      </c>
      <c r="C8" s="89">
        <v>118668</v>
      </c>
      <c r="D8" s="89">
        <v>130000</v>
      </c>
      <c r="E8" s="89">
        <v>140000</v>
      </c>
    </row>
    <row r="9" spans="2:7" x14ac:dyDescent="0.25">
      <c r="B9" s="331"/>
      <c r="C9" s="89"/>
      <c r="D9" s="89"/>
      <c r="E9" s="89"/>
    </row>
    <row r="10" spans="2:7" x14ac:dyDescent="0.25">
      <c r="B10" s="331"/>
      <c r="C10" s="89"/>
      <c r="D10" s="89"/>
      <c r="E10" s="89"/>
    </row>
    <row r="11" spans="2:7" x14ac:dyDescent="0.25">
      <c r="B11" s="331"/>
      <c r="C11" s="89"/>
      <c r="D11" s="89"/>
      <c r="E11" s="89"/>
    </row>
    <row r="12" spans="2:7" x14ac:dyDescent="0.25">
      <c r="B12" s="331"/>
      <c r="C12" s="89"/>
      <c r="D12" s="89"/>
      <c r="E12" s="89"/>
    </row>
    <row r="13" spans="2:7" x14ac:dyDescent="0.25">
      <c r="B13" s="345" t="s">
        <v>261</v>
      </c>
      <c r="C13" s="89"/>
      <c r="D13" s="89"/>
      <c r="E13" s="89"/>
    </row>
    <row r="14" spans="2:7" x14ac:dyDescent="0.25">
      <c r="B14" s="335" t="s">
        <v>183</v>
      </c>
      <c r="C14" s="89"/>
      <c r="D14" s="328"/>
      <c r="E14" s="328"/>
    </row>
    <row r="15" spans="2:7" x14ac:dyDescent="0.25">
      <c r="B15" s="335" t="s">
        <v>672</v>
      </c>
      <c r="C15" s="533" t="str">
        <f>IF(C16*0.1&lt;C14,"Exceed 10% Rule","")</f>
        <v/>
      </c>
      <c r="D15" s="336" t="str">
        <f>IF(D16*0.1&lt;D14,"Exceed 10% Rule","")</f>
        <v/>
      </c>
      <c r="E15" s="336" t="str">
        <f>IF(E16*0.1&lt;E14,"Exceed 10% Rule","")</f>
        <v/>
      </c>
      <c r="G15" s="50" t="s">
        <v>261</v>
      </c>
    </row>
    <row r="16" spans="2:7" x14ac:dyDescent="0.25">
      <c r="B16" s="337" t="s">
        <v>289</v>
      </c>
      <c r="C16" s="339">
        <f>SUM(C8:C14)</f>
        <v>118668</v>
      </c>
      <c r="D16" s="339">
        <f>SUM(D8:D14)</f>
        <v>130000</v>
      </c>
      <c r="E16" s="339">
        <f>SUM(E8:E14)</f>
        <v>140000</v>
      </c>
    </row>
    <row r="17" spans="2:5" x14ac:dyDescent="0.25">
      <c r="B17" s="337" t="s">
        <v>290</v>
      </c>
      <c r="C17" s="339">
        <f>C6+C16</f>
        <v>118668</v>
      </c>
      <c r="D17" s="339">
        <f>D6+D16</f>
        <v>139500</v>
      </c>
      <c r="E17" s="339">
        <f>E6+E16</f>
        <v>140000</v>
      </c>
    </row>
    <row r="18" spans="2:5" x14ac:dyDescent="0.25">
      <c r="B18" s="148" t="s">
        <v>292</v>
      </c>
      <c r="C18" s="329"/>
      <c r="D18" s="329"/>
      <c r="E18" s="329"/>
    </row>
    <row r="19" spans="2:5" x14ac:dyDescent="0.25">
      <c r="B19" s="331" t="s">
        <v>1106</v>
      </c>
      <c r="C19" s="89">
        <v>109168</v>
      </c>
      <c r="D19" s="89">
        <v>139500</v>
      </c>
      <c r="E19" s="89">
        <v>140000</v>
      </c>
    </row>
    <row r="20" spans="2:5" x14ac:dyDescent="0.25">
      <c r="B20" s="331"/>
      <c r="C20" s="89"/>
      <c r="D20" s="89"/>
      <c r="E20" s="89"/>
    </row>
    <row r="21" spans="2:5" x14ac:dyDescent="0.25">
      <c r="B21" s="331"/>
      <c r="C21" s="89"/>
      <c r="D21" s="89"/>
      <c r="E21" s="89"/>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109168</v>
      </c>
      <c r="D30" s="339">
        <f>SUM(D19:D28)</f>
        <v>139500</v>
      </c>
      <c r="E30" s="339">
        <f>SUM(E19:E28)</f>
        <v>140000</v>
      </c>
    </row>
    <row r="31" spans="2:5" x14ac:dyDescent="0.25">
      <c r="B31" s="148" t="s">
        <v>57</v>
      </c>
      <c r="C31" s="102">
        <f>C17-C30</f>
        <v>9500</v>
      </c>
      <c r="D31" s="102">
        <f>D17-D30</f>
        <v>0</v>
      </c>
      <c r="E31" s="102">
        <f>E17-E30</f>
        <v>0</v>
      </c>
    </row>
    <row r="32" spans="2:5" x14ac:dyDescent="0.25">
      <c r="B32" s="765" t="str">
        <f>CONCATENATE("",E1-2,"/",E1-1," Budget Authority Amount:")</f>
        <v>2011/2012 Budget Authority Amount:</v>
      </c>
      <c r="C32" s="286">
        <f>inputOth!B94</f>
        <v>109168</v>
      </c>
      <c r="D32" s="286">
        <f>inputPrYr!D49</f>
        <v>139500</v>
      </c>
      <c r="E32" s="532" t="str">
        <f>IF(E31&lt;0,"See Tab E","")</f>
        <v/>
      </c>
    </row>
    <row r="33" spans="2:5" x14ac:dyDescent="0.25">
      <c r="B33" s="765"/>
      <c r="C33" s="341" t="str">
        <f>IF(C30&gt;C32,"See Tab A","")</f>
        <v/>
      </c>
      <c r="D33" s="341" t="s">
        <v>261</v>
      </c>
      <c r="E33" s="119"/>
    </row>
    <row r="34" spans="2:5" x14ac:dyDescent="0.25">
      <c r="B34" s="765"/>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inputPrYr!B50</f>
        <v>CID Development Fees</v>
      </c>
      <c r="C38" s="342" t="str">
        <f>C5</f>
        <v>Actual for 2011</v>
      </c>
      <c r="D38" s="342" t="str">
        <f>D5</f>
        <v>Estimate for 2012</v>
      </c>
      <c r="E38" s="342" t="str">
        <f>E5</f>
        <v>Year for 2013</v>
      </c>
    </row>
    <row r="39" spans="2:5" x14ac:dyDescent="0.25">
      <c r="B39" s="343" t="s">
        <v>56</v>
      </c>
      <c r="C39" s="89">
        <v>6475</v>
      </c>
      <c r="D39" s="329">
        <f>C64</f>
        <v>0</v>
      </c>
      <c r="E39" s="329">
        <f>D64</f>
        <v>0</v>
      </c>
    </row>
    <row r="40" spans="2:5" s="63" customFormat="1" x14ac:dyDescent="0.25">
      <c r="B40" s="344" t="s">
        <v>58</v>
      </c>
      <c r="C40" s="107"/>
      <c r="D40" s="107"/>
      <c r="E40" s="107"/>
    </row>
    <row r="41" spans="2:5" x14ac:dyDescent="0.25">
      <c r="B41" s="331" t="s">
        <v>1153</v>
      </c>
      <c r="C41" s="89">
        <v>5000</v>
      </c>
      <c r="D41" s="89">
        <v>10000</v>
      </c>
      <c r="E41" s="89">
        <v>0</v>
      </c>
    </row>
    <row r="42" spans="2:5" x14ac:dyDescent="0.25">
      <c r="B42" s="331"/>
      <c r="C42" s="89"/>
      <c r="D42" s="89"/>
      <c r="E42" s="89"/>
    </row>
    <row r="43" spans="2:5" x14ac:dyDescent="0.25">
      <c r="B43" s="331"/>
      <c r="C43" s="89"/>
      <c r="D43" s="89"/>
      <c r="E43" s="89"/>
    </row>
    <row r="44" spans="2:5" x14ac:dyDescent="0.25">
      <c r="B44" s="331"/>
      <c r="C44" s="89"/>
      <c r="D44" s="89"/>
      <c r="E44" s="89"/>
    </row>
    <row r="45" spans="2:5" x14ac:dyDescent="0.25">
      <c r="B45" s="331"/>
      <c r="C45" s="89"/>
      <c r="D45" s="89"/>
      <c r="E45" s="89"/>
    </row>
    <row r="46" spans="2:5" x14ac:dyDescent="0.25">
      <c r="B46" s="345" t="s">
        <v>261</v>
      </c>
      <c r="C46" s="89"/>
      <c r="D46" s="89"/>
      <c r="E46" s="89"/>
    </row>
    <row r="47" spans="2:5" x14ac:dyDescent="0.25">
      <c r="B47" s="335" t="s">
        <v>183</v>
      </c>
      <c r="C47" s="89"/>
      <c r="D47" s="328"/>
      <c r="E47" s="328"/>
    </row>
    <row r="48" spans="2:5" x14ac:dyDescent="0.25">
      <c r="B48" s="335" t="s">
        <v>672</v>
      </c>
      <c r="C48" s="533" t="str">
        <f>IF(C49*0.1&lt;C47,"Exceed 10% Rule","")</f>
        <v/>
      </c>
      <c r="D48" s="336" t="str">
        <f>IF(D49*0.1&lt;D47,"Exceed 10% Rule","")</f>
        <v/>
      </c>
      <c r="E48" s="336" t="str">
        <f>IF(E49*0.1&lt;E47,"Exceed 10% Rule","")</f>
        <v/>
      </c>
    </row>
    <row r="49" spans="2:5" x14ac:dyDescent="0.25">
      <c r="B49" s="337" t="s">
        <v>289</v>
      </c>
      <c r="C49" s="339">
        <f>SUM(C41:C47)</f>
        <v>5000</v>
      </c>
      <c r="D49" s="339">
        <f>SUM(D41:D47)</f>
        <v>10000</v>
      </c>
      <c r="E49" s="339">
        <f>SUM(E41:E47)</f>
        <v>0</v>
      </c>
    </row>
    <row r="50" spans="2:5" x14ac:dyDescent="0.25">
      <c r="B50" s="337" t="s">
        <v>290</v>
      </c>
      <c r="C50" s="339">
        <f>C39+C49</f>
        <v>11475</v>
      </c>
      <c r="D50" s="339">
        <f>D39+D49</f>
        <v>10000</v>
      </c>
      <c r="E50" s="339">
        <f>E39+E49</f>
        <v>0</v>
      </c>
    </row>
    <row r="51" spans="2:5" x14ac:dyDescent="0.25">
      <c r="B51" s="148" t="s">
        <v>292</v>
      </c>
      <c r="C51" s="329"/>
      <c r="D51" s="329"/>
      <c r="E51" s="329"/>
    </row>
    <row r="52" spans="2:5" x14ac:dyDescent="0.25">
      <c r="B52" s="331" t="s">
        <v>1106</v>
      </c>
      <c r="C52" s="89">
        <v>11475</v>
      </c>
      <c r="D52" s="89">
        <v>10000</v>
      </c>
      <c r="E52" s="89">
        <v>0</v>
      </c>
    </row>
    <row r="53" spans="2:5" x14ac:dyDescent="0.25">
      <c r="B53" s="331"/>
      <c r="C53" s="89"/>
      <c r="D53" s="89"/>
      <c r="E53" s="89"/>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1"/>
      <c r="C60" s="89"/>
      <c r="D60" s="89"/>
      <c r="E60" s="89"/>
    </row>
    <row r="61" spans="2:5" x14ac:dyDescent="0.25">
      <c r="B61" s="335" t="s">
        <v>183</v>
      </c>
      <c r="C61" s="89"/>
      <c r="D61" s="328"/>
      <c r="E61" s="328"/>
    </row>
    <row r="62" spans="2:5" x14ac:dyDescent="0.25">
      <c r="B62" s="335" t="s">
        <v>671</v>
      </c>
      <c r="C62" s="533" t="str">
        <f>IF(C63*0.1&lt;C61,"Exceed 10% Rule","")</f>
        <v/>
      </c>
      <c r="D62" s="336" t="str">
        <f>IF(D63*0.1&lt;D61,"Exceed 10% Rule","")</f>
        <v/>
      </c>
      <c r="E62" s="336" t="str">
        <f>IF(E63*0.1&lt;E61,"Exceed 10% Rule","")</f>
        <v/>
      </c>
    </row>
    <row r="63" spans="2:5" x14ac:dyDescent="0.25">
      <c r="B63" s="337" t="s">
        <v>296</v>
      </c>
      <c r="C63" s="339">
        <f>SUM(C52:C61)</f>
        <v>11475</v>
      </c>
      <c r="D63" s="339">
        <f>SUM(D52:D61)</f>
        <v>10000</v>
      </c>
      <c r="E63" s="339">
        <f>SUM(E52:E61)</f>
        <v>0</v>
      </c>
    </row>
    <row r="64" spans="2:5" x14ac:dyDescent="0.25">
      <c r="B64" s="148" t="s">
        <v>57</v>
      </c>
      <c r="C64" s="102">
        <f>C50-C63</f>
        <v>0</v>
      </c>
      <c r="D64" s="102">
        <f>D50-D63</f>
        <v>0</v>
      </c>
      <c r="E64" s="102">
        <f>E50-E63</f>
        <v>0</v>
      </c>
    </row>
    <row r="65" spans="2:5" x14ac:dyDescent="0.25">
      <c r="B65" s="765" t="str">
        <f>CONCATENATE("",E1-2,"/",E1-1," Budget Authority Amount:")</f>
        <v>2011/2012 Budget Authority Amount:</v>
      </c>
      <c r="C65" s="286">
        <f>inputOth!B95</f>
        <v>11475</v>
      </c>
      <c r="D65" s="286">
        <f>inputPrYr!D50</f>
        <v>10000</v>
      </c>
      <c r="E65" s="532" t="str">
        <f>IF(E64&lt;0,"See Tab E","")</f>
        <v/>
      </c>
    </row>
    <row r="66" spans="2:5" x14ac:dyDescent="0.25">
      <c r="B66" s="765"/>
      <c r="C66" s="341" t="str">
        <f>IF(C63&gt;C65,"See Tab A","")</f>
        <v/>
      </c>
      <c r="D66" s="341" t="str">
        <f>IF(D63&gt;D65,"See Tab C","")</f>
        <v/>
      </c>
      <c r="E66" s="67"/>
    </row>
    <row r="67" spans="2:5" x14ac:dyDescent="0.25">
      <c r="B67" s="765"/>
      <c r="C67" s="341" t="str">
        <f>IF(C64&lt;0,"See Tab B","")</f>
        <v/>
      </c>
      <c r="D67" s="341" t="str">
        <f>IF(D64&lt;0,"See Tab D","")</f>
        <v/>
      </c>
      <c r="E67" s="67"/>
    </row>
    <row r="68" spans="2:5" x14ac:dyDescent="0.25">
      <c r="B68" s="67"/>
      <c r="C68" s="67"/>
      <c r="D68" s="67"/>
      <c r="E68" s="67"/>
    </row>
    <row r="69" spans="2:5" x14ac:dyDescent="0.25">
      <c r="B69" s="765" t="s">
        <v>299</v>
      </c>
      <c r="C69" s="280">
        <v>22</v>
      </c>
      <c r="D69" s="67"/>
      <c r="E69" s="67"/>
    </row>
  </sheetData>
  <conditionalFormatting sqref="C47">
    <cfRule type="cellIs" dxfId="58" priority="19" stopIfTrue="1" operator="greaterThan">
      <formula>$C$49*0.1</formula>
    </cfRule>
  </conditionalFormatting>
  <conditionalFormatting sqref="D47">
    <cfRule type="cellIs" dxfId="57" priority="18" stopIfTrue="1" operator="greaterThan">
      <formula>$D$49*0.1</formula>
    </cfRule>
  </conditionalFormatting>
  <conditionalFormatting sqref="E47">
    <cfRule type="cellIs" dxfId="56" priority="17" stopIfTrue="1" operator="greaterThan">
      <formula>$E$49*0.1</formula>
    </cfRule>
  </conditionalFormatting>
  <conditionalFormatting sqref="C61">
    <cfRule type="cellIs" dxfId="55" priority="16" stopIfTrue="1" operator="greaterThan">
      <formula>$C$63*0.1</formula>
    </cfRule>
  </conditionalFormatting>
  <conditionalFormatting sqref="D61">
    <cfRule type="cellIs" dxfId="54" priority="15" stopIfTrue="1" operator="greaterThan">
      <formula>$D$63*0.1</formula>
    </cfRule>
  </conditionalFormatting>
  <conditionalFormatting sqref="E61">
    <cfRule type="cellIs" dxfId="53" priority="14" stopIfTrue="1" operator="greaterThan">
      <formula>$E$63*0.1</formula>
    </cfRule>
  </conditionalFormatting>
  <conditionalFormatting sqref="C28">
    <cfRule type="cellIs" dxfId="52" priority="13" stopIfTrue="1" operator="greaterThan">
      <formula>$C$30*0.1</formula>
    </cfRule>
  </conditionalFormatting>
  <conditionalFormatting sqref="D28">
    <cfRule type="cellIs" dxfId="51" priority="12" stopIfTrue="1" operator="greaterThan">
      <formula>$D$30*0.1</formula>
    </cfRule>
  </conditionalFormatting>
  <conditionalFormatting sqref="E28">
    <cfRule type="cellIs" dxfId="50" priority="11" stopIfTrue="1" operator="greaterThan">
      <formula>$E$30*0.1</formula>
    </cfRule>
  </conditionalFormatting>
  <conditionalFormatting sqref="C14">
    <cfRule type="cellIs" dxfId="49" priority="10" stopIfTrue="1" operator="greaterThan">
      <formula>$C$16*0.1</formula>
    </cfRule>
  </conditionalFormatting>
  <conditionalFormatting sqref="D14">
    <cfRule type="cellIs" dxfId="48" priority="9" stopIfTrue="1" operator="greaterThan">
      <formula>$D$16*0.1</formula>
    </cfRule>
  </conditionalFormatting>
  <conditionalFormatting sqref="E14">
    <cfRule type="cellIs" dxfId="47" priority="8" stopIfTrue="1" operator="greaterThan">
      <formula>$E$16*0.1</formula>
    </cfRule>
  </conditionalFormatting>
  <conditionalFormatting sqref="E31 C31 E64 C64">
    <cfRule type="cellIs" dxfId="46" priority="7" stopIfTrue="1" operator="lessThan">
      <formula>0</formula>
    </cfRule>
  </conditionalFormatting>
  <conditionalFormatting sqref="C30">
    <cfRule type="cellIs" dxfId="45" priority="6" stopIfTrue="1" operator="greaterThan">
      <formula>$C$32</formula>
    </cfRule>
  </conditionalFormatting>
  <conditionalFormatting sqref="D30">
    <cfRule type="cellIs" dxfId="44" priority="5" stopIfTrue="1" operator="greaterThan">
      <formula>$D$32</formula>
    </cfRule>
  </conditionalFormatting>
  <conditionalFormatting sqref="C63">
    <cfRule type="cellIs" dxfId="43" priority="4" stopIfTrue="1" operator="greaterThan">
      <formula>$C$65</formula>
    </cfRule>
  </conditionalFormatting>
  <conditionalFormatting sqref="D63">
    <cfRule type="cellIs" dxfId="42" priority="3" stopIfTrue="1" operator="greaterThan">
      <formula>$D$65</formula>
    </cfRule>
  </conditionalFormatting>
  <conditionalFormatting sqref="D64">
    <cfRule type="cellIs" dxfId="41" priority="2" stopIfTrue="1" operator="lessThan">
      <formula>0</formula>
    </cfRule>
  </conditionalFormatting>
  <conditionalFormatting sqref="D31">
    <cfRule type="cellIs" dxfId="40" priority="1" stopIfTrue="1" operator="lessThan">
      <formula>0</formula>
    </cfRule>
  </conditionalFormatting>
  <pageMargins left="0.7" right="0.7" top="0.75" bottom="0.75" header="0.3" footer="0.3"/>
  <pageSetup scale="61" orientation="portrait" blackAndWhite="1"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68"/>
  <sheetViews>
    <sheetView topLeftCell="A50" workbookViewId="0">
      <selection activeCell="B61" sqref="B61"/>
    </sheetView>
  </sheetViews>
  <sheetFormatPr defaultColWidth="8.9140625" defaultRowHeight="15.6" x14ac:dyDescent="0.25"/>
  <cols>
    <col min="1" max="1" width="2.4140625" style="50" customWidth="1"/>
    <col min="2" max="2" width="31.08203125" style="50" customWidth="1"/>
    <col min="3" max="5" width="15.75" style="50" customWidth="1"/>
    <col min="6" max="16384" width="8.9140625" style="50"/>
  </cols>
  <sheetData>
    <row r="1" spans="2:5" x14ac:dyDescent="0.25">
      <c r="B1" s="235" t="str">
        <f>(inputPrYr!D3)</f>
        <v>City of Bonner Springs</v>
      </c>
      <c r="C1" s="67"/>
      <c r="D1" s="67"/>
      <c r="E1" s="260">
        <f>inputPrYr!C10</f>
        <v>2013</v>
      </c>
    </row>
    <row r="2" spans="2:5" x14ac:dyDescent="0.25">
      <c r="B2" s="67"/>
      <c r="C2" s="67"/>
      <c r="D2" s="67"/>
      <c r="E2" s="209"/>
    </row>
    <row r="3" spans="2:5" x14ac:dyDescent="0.25">
      <c r="B3" s="325" t="s">
        <v>6</v>
      </c>
      <c r="C3" s="274"/>
      <c r="D3" s="274"/>
      <c r="E3" s="274"/>
    </row>
    <row r="4" spans="2:5" x14ac:dyDescent="0.25">
      <c r="B4" s="74" t="s">
        <v>283</v>
      </c>
      <c r="C4" s="598" t="s">
        <v>810</v>
      </c>
      <c r="D4" s="599" t="s">
        <v>811</v>
      </c>
      <c r="E4" s="185" t="s">
        <v>812</v>
      </c>
    </row>
    <row r="5" spans="2:5" x14ac:dyDescent="0.25">
      <c r="B5" s="545" t="str">
        <f>inputPrYr!B53</f>
        <v>Enterprise Fund - Solid Waste</v>
      </c>
      <c r="C5" s="427" t="str">
        <f>CONCATENATE("Actual for ",E1-2,"")</f>
        <v>Actual for 2011</v>
      </c>
      <c r="D5" s="427" t="str">
        <f>CONCATENATE("Estimate for ",E1-1,"")</f>
        <v>Estimate for 2012</v>
      </c>
      <c r="E5" s="251" t="str">
        <f>CONCATENATE("Year for ",E1,"")</f>
        <v>Year for 2013</v>
      </c>
    </row>
    <row r="6" spans="2:5" x14ac:dyDescent="0.25">
      <c r="B6" s="343" t="s">
        <v>56</v>
      </c>
      <c r="C6" s="89">
        <v>134603</v>
      </c>
      <c r="D6" s="329">
        <f>C31</f>
        <v>124577</v>
      </c>
      <c r="E6" s="329">
        <f>D31</f>
        <v>96438</v>
      </c>
    </row>
    <row r="7" spans="2:5" s="63" customFormat="1" x14ac:dyDescent="0.25">
      <c r="B7" s="344" t="s">
        <v>58</v>
      </c>
      <c r="C7" s="107"/>
      <c r="D7" s="107"/>
      <c r="E7" s="107"/>
    </row>
    <row r="8" spans="2:5" x14ac:dyDescent="0.25">
      <c r="B8" s="331" t="s">
        <v>1157</v>
      </c>
      <c r="C8" s="89">
        <v>321872</v>
      </c>
      <c r="D8" s="89">
        <v>328875</v>
      </c>
      <c r="E8" s="89">
        <v>326845</v>
      </c>
    </row>
    <row r="9" spans="2:5" x14ac:dyDescent="0.25">
      <c r="B9" s="331" t="s">
        <v>1158</v>
      </c>
      <c r="C9" s="89">
        <v>4440</v>
      </c>
      <c r="D9" s="89">
        <v>4500</v>
      </c>
      <c r="E9" s="89">
        <v>4000</v>
      </c>
    </row>
    <row r="10" spans="2:5" x14ac:dyDescent="0.25">
      <c r="B10" s="331" t="s">
        <v>1115</v>
      </c>
      <c r="C10" s="89">
        <v>300</v>
      </c>
      <c r="D10" s="89">
        <v>0</v>
      </c>
      <c r="E10" s="89">
        <v>300</v>
      </c>
    </row>
    <row r="11" spans="2:5" x14ac:dyDescent="0.25">
      <c r="B11" s="331" t="s">
        <v>333</v>
      </c>
      <c r="C11" s="89">
        <v>438</v>
      </c>
      <c r="D11" s="89">
        <v>450</v>
      </c>
      <c r="E11" s="89">
        <v>450</v>
      </c>
    </row>
    <row r="12" spans="2:5" x14ac:dyDescent="0.25">
      <c r="B12" s="331"/>
      <c r="C12" s="89"/>
      <c r="D12" s="89"/>
      <c r="E12" s="89"/>
    </row>
    <row r="13" spans="2:5" x14ac:dyDescent="0.25">
      <c r="B13" s="345" t="s">
        <v>261</v>
      </c>
      <c r="C13" s="89"/>
      <c r="D13" s="89"/>
      <c r="E13" s="89"/>
    </row>
    <row r="14" spans="2:5" x14ac:dyDescent="0.25">
      <c r="B14" s="335" t="s">
        <v>183</v>
      </c>
      <c r="C14" s="89"/>
      <c r="D14" s="328"/>
      <c r="E14" s="328"/>
    </row>
    <row r="15" spans="2:5" x14ac:dyDescent="0.25">
      <c r="B15" s="335" t="s">
        <v>672</v>
      </c>
      <c r="C15" s="533" t="str">
        <f>IF(C16*0.1&lt;C14,"Exceed 10% Rule","")</f>
        <v/>
      </c>
      <c r="D15" s="336" t="str">
        <f>IF(D16*0.1&lt;D14,"Exceed 10% Rule","")</f>
        <v/>
      </c>
      <c r="E15" s="336" t="str">
        <f>IF(E16*0.1&lt;E14,"Exceed 10% Rule","")</f>
        <v/>
      </c>
    </row>
    <row r="16" spans="2:5" x14ac:dyDescent="0.25">
      <c r="B16" s="337" t="s">
        <v>289</v>
      </c>
      <c r="C16" s="339">
        <f>SUM(C8:C14)</f>
        <v>327050</v>
      </c>
      <c r="D16" s="339">
        <f>SUM(D8:D14)</f>
        <v>333825</v>
      </c>
      <c r="E16" s="339">
        <f>SUM(E8:E14)</f>
        <v>331595</v>
      </c>
    </row>
    <row r="17" spans="2:5" x14ac:dyDescent="0.25">
      <c r="B17" s="337" t="s">
        <v>290</v>
      </c>
      <c r="C17" s="339">
        <f>C6+C16</f>
        <v>461653</v>
      </c>
      <c r="D17" s="339">
        <f>D6+D16</f>
        <v>458402</v>
      </c>
      <c r="E17" s="339">
        <f>E6+E16</f>
        <v>428033</v>
      </c>
    </row>
    <row r="18" spans="2:5" x14ac:dyDescent="0.25">
      <c r="B18" s="148" t="s">
        <v>292</v>
      </c>
      <c r="C18" s="329"/>
      <c r="D18" s="329"/>
      <c r="E18" s="329"/>
    </row>
    <row r="19" spans="2:5" x14ac:dyDescent="0.25">
      <c r="B19" s="331" t="s">
        <v>1106</v>
      </c>
      <c r="C19" s="89">
        <v>318462</v>
      </c>
      <c r="D19" s="89">
        <v>327464</v>
      </c>
      <c r="E19" s="89">
        <v>323684</v>
      </c>
    </row>
    <row r="20" spans="2:5" x14ac:dyDescent="0.25">
      <c r="B20" s="331" t="s">
        <v>1114</v>
      </c>
      <c r="C20" s="89">
        <v>8114</v>
      </c>
      <c r="D20" s="89">
        <v>4000</v>
      </c>
      <c r="E20" s="89">
        <v>4000</v>
      </c>
    </row>
    <row r="21" spans="2:5" x14ac:dyDescent="0.25">
      <c r="B21" s="331" t="s">
        <v>1117</v>
      </c>
      <c r="C21" s="89">
        <v>10500</v>
      </c>
      <c r="D21" s="89">
        <v>30500</v>
      </c>
      <c r="E21" s="89">
        <v>10500</v>
      </c>
    </row>
    <row r="22" spans="2:5" x14ac:dyDescent="0.25">
      <c r="B22" s="331"/>
      <c r="C22" s="89"/>
      <c r="D22" s="89"/>
      <c r="E22" s="89"/>
    </row>
    <row r="23" spans="2:5" x14ac:dyDescent="0.25">
      <c r="B23" s="331"/>
      <c r="C23" s="89"/>
      <c r="D23" s="89"/>
      <c r="E23" s="89"/>
    </row>
    <row r="24" spans="2:5" x14ac:dyDescent="0.25">
      <c r="B24" s="331"/>
      <c r="C24" s="89"/>
      <c r="D24" s="89"/>
      <c r="E24" s="89"/>
    </row>
    <row r="25" spans="2:5" x14ac:dyDescent="0.25">
      <c r="B25" s="331"/>
      <c r="C25" s="89"/>
      <c r="D25" s="89"/>
      <c r="E25" s="89"/>
    </row>
    <row r="26" spans="2:5" x14ac:dyDescent="0.25">
      <c r="B26" s="331"/>
      <c r="C26" s="89"/>
      <c r="D26" s="89"/>
      <c r="E26" s="89"/>
    </row>
    <row r="27" spans="2:5" x14ac:dyDescent="0.25">
      <c r="B27" s="331"/>
      <c r="C27" s="89"/>
      <c r="D27" s="89"/>
      <c r="E27" s="89"/>
    </row>
    <row r="28" spans="2:5" x14ac:dyDescent="0.25">
      <c r="B28" s="335" t="s">
        <v>183</v>
      </c>
      <c r="C28" s="89"/>
      <c r="D28" s="328"/>
      <c r="E28" s="328"/>
    </row>
    <row r="29" spans="2:5" x14ac:dyDescent="0.25">
      <c r="B29" s="335" t="s">
        <v>671</v>
      </c>
      <c r="C29" s="533" t="str">
        <f>IF(C30*0.1&lt;C28,"Exceed 10% Rule","")</f>
        <v/>
      </c>
      <c r="D29" s="336" t="str">
        <f>IF(D30*0.1&lt;D28,"Exceed 10% Rule","")</f>
        <v/>
      </c>
      <c r="E29" s="336" t="str">
        <f>IF(E30*0.1&lt;E28,"Exceed 10% Rule","")</f>
        <v/>
      </c>
    </row>
    <row r="30" spans="2:5" x14ac:dyDescent="0.25">
      <c r="B30" s="337" t="s">
        <v>296</v>
      </c>
      <c r="C30" s="339">
        <f>SUM(C19:C28)</f>
        <v>337076</v>
      </c>
      <c r="D30" s="339">
        <f>SUM(D19:D28)</f>
        <v>361964</v>
      </c>
      <c r="E30" s="339">
        <f>SUM(E19:E28)</f>
        <v>338184</v>
      </c>
    </row>
    <row r="31" spans="2:5" x14ac:dyDescent="0.25">
      <c r="B31" s="148" t="s">
        <v>57</v>
      </c>
      <c r="C31" s="102">
        <f>C17-C30</f>
        <v>124577</v>
      </c>
      <c r="D31" s="102">
        <f>D17-D30</f>
        <v>96438</v>
      </c>
      <c r="E31" s="102">
        <f>E17-E30</f>
        <v>89849</v>
      </c>
    </row>
    <row r="32" spans="2:5" x14ac:dyDescent="0.25">
      <c r="B32" s="765" t="str">
        <f>CONCATENATE("",E1-2,"/",E1-1," Budget Authority Amount:")</f>
        <v>2011/2012 Budget Authority Amount:</v>
      </c>
      <c r="C32" s="286">
        <f>inputOth!B98</f>
        <v>337190</v>
      </c>
      <c r="D32" s="286">
        <f>inputPrYr!D53</f>
        <v>361964</v>
      </c>
      <c r="E32" s="532" t="str">
        <f>IF(E31&lt;0,"See Tab E","")</f>
        <v/>
      </c>
    </row>
    <row r="33" spans="2:5" x14ac:dyDescent="0.25">
      <c r="B33" s="765"/>
      <c r="C33" s="341" t="str">
        <f>IF(C30&gt;C32,"See Tab A","")</f>
        <v/>
      </c>
      <c r="D33" s="341" t="str">
        <f>IF(D30&gt;D32,"See Tab C","")</f>
        <v/>
      </c>
      <c r="E33" s="119"/>
    </row>
    <row r="34" spans="2:5" x14ac:dyDescent="0.25">
      <c r="B34" s="765"/>
      <c r="C34" s="341" t="str">
        <f>IF(C31&lt;0,"See Tab B","")</f>
        <v/>
      </c>
      <c r="D34" s="341" t="str">
        <f>IF(D31&lt;0,"See Tab D","")</f>
        <v/>
      </c>
      <c r="E34" s="119"/>
    </row>
    <row r="35" spans="2:5" x14ac:dyDescent="0.25">
      <c r="B35" s="67"/>
      <c r="C35" s="119"/>
      <c r="D35" s="119"/>
      <c r="E35" s="119"/>
    </row>
    <row r="36" spans="2:5" x14ac:dyDescent="0.25">
      <c r="B36" s="74"/>
      <c r="C36" s="346"/>
      <c r="D36" s="346"/>
      <c r="E36" s="346"/>
    </row>
    <row r="37" spans="2:5" x14ac:dyDescent="0.25">
      <c r="B37" s="74" t="s">
        <v>283</v>
      </c>
      <c r="C37" s="276" t="s">
        <v>810</v>
      </c>
      <c r="D37" s="185" t="s">
        <v>813</v>
      </c>
      <c r="E37" s="185" t="s">
        <v>812</v>
      </c>
    </row>
    <row r="38" spans="2:5" x14ac:dyDescent="0.25">
      <c r="B38" s="545" t="str">
        <f>inputPrYr!B54</f>
        <v>Enterprise Fund - Storm Water</v>
      </c>
      <c r="C38" s="342" t="str">
        <f>C5</f>
        <v>Actual for 2011</v>
      </c>
      <c r="D38" s="342" t="str">
        <f>D5</f>
        <v>Estimate for 2012</v>
      </c>
      <c r="E38" s="342" t="str">
        <f>E5</f>
        <v>Year for 2013</v>
      </c>
    </row>
    <row r="39" spans="2:5" x14ac:dyDescent="0.25">
      <c r="B39" s="343" t="s">
        <v>56</v>
      </c>
      <c r="C39" s="89">
        <v>108955</v>
      </c>
      <c r="D39" s="329">
        <f>C63</f>
        <v>151544</v>
      </c>
      <c r="E39" s="329">
        <f>D63</f>
        <v>117068</v>
      </c>
    </row>
    <row r="40" spans="2:5" s="63" customFormat="1" x14ac:dyDescent="0.25">
      <c r="B40" s="344" t="s">
        <v>58</v>
      </c>
      <c r="C40" s="107"/>
      <c r="D40" s="107"/>
      <c r="E40" s="107"/>
    </row>
    <row r="41" spans="2:5" x14ac:dyDescent="0.25">
      <c r="B41" s="331" t="s">
        <v>1159</v>
      </c>
      <c r="C41" s="89">
        <v>88882</v>
      </c>
      <c r="D41" s="89">
        <v>89000</v>
      </c>
      <c r="E41" s="89">
        <v>89500</v>
      </c>
    </row>
    <row r="42" spans="2:5" x14ac:dyDescent="0.25">
      <c r="B42" s="331" t="s">
        <v>1158</v>
      </c>
      <c r="C42" s="89">
        <v>1134</v>
      </c>
      <c r="D42" s="89">
        <v>1100</v>
      </c>
      <c r="E42" s="89">
        <v>1000</v>
      </c>
    </row>
    <row r="43" spans="2:5" x14ac:dyDescent="0.25">
      <c r="B43" s="331" t="s">
        <v>333</v>
      </c>
      <c r="C43" s="89">
        <v>398</v>
      </c>
      <c r="D43" s="89">
        <v>400</v>
      </c>
      <c r="E43" s="89">
        <v>400</v>
      </c>
    </row>
    <row r="44" spans="2:5" x14ac:dyDescent="0.25">
      <c r="B44" s="331"/>
      <c r="C44" s="89"/>
      <c r="D44" s="89"/>
      <c r="E44" s="89"/>
    </row>
    <row r="45" spans="2:5" x14ac:dyDescent="0.25">
      <c r="B45" s="345" t="s">
        <v>261</v>
      </c>
      <c r="C45" s="89"/>
      <c r="D45" s="89"/>
      <c r="E45" s="89"/>
    </row>
    <row r="46" spans="2:5" x14ac:dyDescent="0.25">
      <c r="B46" s="335" t="s">
        <v>183</v>
      </c>
      <c r="C46" s="89"/>
      <c r="D46" s="328"/>
      <c r="E46" s="328"/>
    </row>
    <row r="47" spans="2:5" x14ac:dyDescent="0.25">
      <c r="B47" s="335" t="s">
        <v>672</v>
      </c>
      <c r="C47" s="533" t="str">
        <f>IF(C48*0.1&lt;C46,"Exceed 10% Rule","")</f>
        <v/>
      </c>
      <c r="D47" s="336" t="str">
        <f>IF(D48*0.1&lt;D46,"Exceed 10% Rule","")</f>
        <v/>
      </c>
      <c r="E47" s="336" t="str">
        <f>IF(E48*0.1&lt;E46,"Exceed 10% Rule","")</f>
        <v/>
      </c>
    </row>
    <row r="48" spans="2:5" x14ac:dyDescent="0.25">
      <c r="B48" s="337" t="s">
        <v>289</v>
      </c>
      <c r="C48" s="339">
        <f>SUM(C41:C46)</f>
        <v>90414</v>
      </c>
      <c r="D48" s="339">
        <f>SUM(D41:D46)</f>
        <v>90500</v>
      </c>
      <c r="E48" s="339">
        <f>SUM(E41:E46)</f>
        <v>90900</v>
      </c>
    </row>
    <row r="49" spans="2:5" x14ac:dyDescent="0.25">
      <c r="B49" s="337" t="s">
        <v>290</v>
      </c>
      <c r="C49" s="339">
        <f>C39+C48</f>
        <v>199369</v>
      </c>
      <c r="D49" s="339">
        <f>D39+D48</f>
        <v>242044</v>
      </c>
      <c r="E49" s="339">
        <f>E39+E48</f>
        <v>207968</v>
      </c>
    </row>
    <row r="50" spans="2:5" x14ac:dyDescent="0.25">
      <c r="B50" s="148" t="s">
        <v>292</v>
      </c>
      <c r="C50" s="329"/>
      <c r="D50" s="329"/>
      <c r="E50" s="329"/>
    </row>
    <row r="51" spans="2:5" x14ac:dyDescent="0.25">
      <c r="B51" s="331" t="s">
        <v>1106</v>
      </c>
      <c r="C51" s="89">
        <v>21199</v>
      </c>
      <c r="D51" s="89">
        <v>96714</v>
      </c>
      <c r="E51" s="89">
        <v>82250</v>
      </c>
    </row>
    <row r="52" spans="2:5" x14ac:dyDescent="0.25">
      <c r="B52" s="331" t="s">
        <v>1107</v>
      </c>
      <c r="C52" s="89">
        <v>6639</v>
      </c>
      <c r="D52" s="89">
        <v>8300</v>
      </c>
      <c r="E52" s="89">
        <v>8300</v>
      </c>
    </row>
    <row r="53" spans="2:5" x14ac:dyDescent="0.25">
      <c r="B53" s="331" t="s">
        <v>1160</v>
      </c>
      <c r="C53" s="89">
        <v>19987</v>
      </c>
      <c r="D53" s="89">
        <v>19962</v>
      </c>
      <c r="E53" s="89">
        <v>19743</v>
      </c>
    </row>
    <row r="54" spans="2:5" x14ac:dyDescent="0.25">
      <c r="B54" s="331"/>
      <c r="C54" s="89"/>
      <c r="D54" s="89"/>
      <c r="E54" s="89"/>
    </row>
    <row r="55" spans="2:5" x14ac:dyDescent="0.25">
      <c r="B55" s="331"/>
      <c r="C55" s="89"/>
      <c r="D55" s="89"/>
      <c r="E55" s="89"/>
    </row>
    <row r="56" spans="2:5" x14ac:dyDescent="0.25">
      <c r="B56" s="331"/>
      <c r="C56" s="89"/>
      <c r="D56" s="89"/>
      <c r="E56" s="89"/>
    </row>
    <row r="57" spans="2:5" x14ac:dyDescent="0.25">
      <c r="B57" s="331"/>
      <c r="C57" s="89"/>
      <c r="D57" s="89"/>
      <c r="E57" s="89"/>
    </row>
    <row r="58" spans="2:5" x14ac:dyDescent="0.25">
      <c r="B58" s="331"/>
      <c r="C58" s="89"/>
      <c r="D58" s="89"/>
      <c r="E58" s="89"/>
    </row>
    <row r="59" spans="2:5" x14ac:dyDescent="0.25">
      <c r="B59" s="331"/>
      <c r="C59" s="89"/>
      <c r="D59" s="89"/>
      <c r="E59" s="89"/>
    </row>
    <row r="60" spans="2:5" x14ac:dyDescent="0.25">
      <c r="B60" s="335" t="s">
        <v>183</v>
      </c>
      <c r="C60" s="89"/>
      <c r="D60" s="328"/>
      <c r="E60" s="328"/>
    </row>
    <row r="61" spans="2:5" x14ac:dyDescent="0.25">
      <c r="B61" s="335" t="s">
        <v>671</v>
      </c>
      <c r="C61" s="533" t="str">
        <f>IF(C62*0.1&lt;C60,"Exceed 10% Rule","")</f>
        <v/>
      </c>
      <c r="D61" s="336" t="str">
        <f>IF(D62*0.1&lt;D60,"Exceed 10% Rule","")</f>
        <v/>
      </c>
      <c r="E61" s="336" t="str">
        <f>IF(E62*0.1&lt;E60,"Exceed 10% Rule","")</f>
        <v/>
      </c>
    </row>
    <row r="62" spans="2:5" x14ac:dyDescent="0.25">
      <c r="B62" s="337" t="s">
        <v>296</v>
      </c>
      <c r="C62" s="339">
        <f>SUM(C51:C60)</f>
        <v>47825</v>
      </c>
      <c r="D62" s="339">
        <f>SUM(D51:D60)</f>
        <v>124976</v>
      </c>
      <c r="E62" s="339">
        <f>SUM(E51:E60)</f>
        <v>110293</v>
      </c>
    </row>
    <row r="63" spans="2:5" x14ac:dyDescent="0.25">
      <c r="B63" s="148" t="s">
        <v>57</v>
      </c>
      <c r="C63" s="102">
        <f>C49-C62</f>
        <v>151544</v>
      </c>
      <c r="D63" s="102">
        <f>D49-D62</f>
        <v>117068</v>
      </c>
      <c r="E63" s="102">
        <f>E49-E62</f>
        <v>97675</v>
      </c>
    </row>
    <row r="64" spans="2:5" x14ac:dyDescent="0.25">
      <c r="B64" s="765" t="str">
        <f>CONCATENATE("",E1-2,"/",E1-1," Budget Authority Amount:")</f>
        <v>2011/2012 Budget Authority Amount:</v>
      </c>
      <c r="C64" s="286">
        <f>inputOth!B99</f>
        <v>133231</v>
      </c>
      <c r="D64" s="286">
        <f>inputPrYr!D54</f>
        <v>124976</v>
      </c>
      <c r="E64" s="532" t="str">
        <f>IF(E63&lt;0,"See Tab E","")</f>
        <v/>
      </c>
    </row>
    <row r="65" spans="2:5" x14ac:dyDescent="0.25">
      <c r="B65" s="765"/>
      <c r="C65" s="341" t="str">
        <f>IF(C62&gt;C64,"See Tab A","")</f>
        <v/>
      </c>
      <c r="D65" s="341" t="str">
        <f>IF(D62&gt;D64,"See Tab C","")</f>
        <v/>
      </c>
      <c r="E65" s="67"/>
    </row>
    <row r="66" spans="2:5" x14ac:dyDescent="0.25">
      <c r="B66" s="765"/>
      <c r="C66" s="341" t="str">
        <f>IF(C63&lt;0,"See Tab B","")</f>
        <v/>
      </c>
      <c r="D66" s="341" t="str">
        <f>IF(D63&lt;0,"See Tab D","")</f>
        <v/>
      </c>
      <c r="E66" s="67"/>
    </row>
    <row r="67" spans="2:5" x14ac:dyDescent="0.25">
      <c r="B67" s="67"/>
      <c r="C67" s="67"/>
      <c r="D67" s="67"/>
      <c r="E67" s="67"/>
    </row>
    <row r="68" spans="2:5" x14ac:dyDescent="0.25">
      <c r="B68" s="765" t="s">
        <v>299</v>
      </c>
      <c r="C68" s="280">
        <v>23</v>
      </c>
      <c r="D68" s="67"/>
      <c r="E68" s="67"/>
    </row>
  </sheetData>
  <conditionalFormatting sqref="C46">
    <cfRule type="cellIs" dxfId="39" priority="19" stopIfTrue="1" operator="greaterThan">
      <formula>$C$48*0.1</formula>
    </cfRule>
  </conditionalFormatting>
  <conditionalFormatting sqref="D46">
    <cfRule type="cellIs" dxfId="38" priority="18" stopIfTrue="1" operator="greaterThan">
      <formula>$D$48*0.1</formula>
    </cfRule>
  </conditionalFormatting>
  <conditionalFormatting sqref="E46">
    <cfRule type="cellIs" dxfId="37" priority="17" stopIfTrue="1" operator="greaterThan">
      <formula>$E$48*0.1</formula>
    </cfRule>
  </conditionalFormatting>
  <conditionalFormatting sqref="C60">
    <cfRule type="cellIs" dxfId="36" priority="16" stopIfTrue="1" operator="greaterThan">
      <formula>$C$62*0.1</formula>
    </cfRule>
  </conditionalFormatting>
  <conditionalFormatting sqref="D60">
    <cfRule type="cellIs" dxfId="35" priority="15" stopIfTrue="1" operator="greaterThan">
      <formula>$D$62*0.1</formula>
    </cfRule>
  </conditionalFormatting>
  <conditionalFormatting sqref="E60">
    <cfRule type="cellIs" dxfId="34" priority="14" stopIfTrue="1" operator="greaterThan">
      <formula>$E$62*0.1</formula>
    </cfRule>
  </conditionalFormatting>
  <conditionalFormatting sqref="C28">
    <cfRule type="cellIs" dxfId="33" priority="13" stopIfTrue="1" operator="greaterThan">
      <formula>$C$30*0.1</formula>
    </cfRule>
  </conditionalFormatting>
  <conditionalFormatting sqref="D28">
    <cfRule type="cellIs" dxfId="32" priority="12" stopIfTrue="1" operator="greaterThan">
      <formula>$D$30*0.1</formula>
    </cfRule>
  </conditionalFormatting>
  <conditionalFormatting sqref="E28">
    <cfRule type="cellIs" dxfId="31" priority="11" stopIfTrue="1" operator="greaterThan">
      <formula>$E$30*0.1</formula>
    </cfRule>
  </conditionalFormatting>
  <conditionalFormatting sqref="C14">
    <cfRule type="cellIs" dxfId="30" priority="10" stopIfTrue="1" operator="greaterThan">
      <formula>$C$16*0.1</formula>
    </cfRule>
  </conditionalFormatting>
  <conditionalFormatting sqref="D14">
    <cfRule type="cellIs" dxfId="29" priority="9" stopIfTrue="1" operator="greaterThan">
      <formula>$D$16*0.1</formula>
    </cfRule>
  </conditionalFormatting>
  <conditionalFormatting sqref="E14">
    <cfRule type="cellIs" dxfId="28" priority="8" stopIfTrue="1" operator="greaterThan">
      <formula>$E$16*0.1</formula>
    </cfRule>
  </conditionalFormatting>
  <conditionalFormatting sqref="E31 C31 E63 C63">
    <cfRule type="cellIs" dxfId="27" priority="7" stopIfTrue="1" operator="lessThan">
      <formula>0</formula>
    </cfRule>
  </conditionalFormatting>
  <conditionalFormatting sqref="C30">
    <cfRule type="cellIs" dxfId="26" priority="6" stopIfTrue="1" operator="greaterThan">
      <formula>$C$32</formula>
    </cfRule>
  </conditionalFormatting>
  <conditionalFormatting sqref="D30">
    <cfRule type="cellIs" dxfId="25" priority="5" stopIfTrue="1" operator="greaterThan">
      <formula>$D$32</formula>
    </cfRule>
  </conditionalFormatting>
  <conditionalFormatting sqref="C62">
    <cfRule type="cellIs" dxfId="24" priority="4" stopIfTrue="1" operator="greaterThan">
      <formula>$C$64</formula>
    </cfRule>
  </conditionalFormatting>
  <conditionalFormatting sqref="D62">
    <cfRule type="cellIs" dxfId="23" priority="3" stopIfTrue="1" operator="greaterThan">
      <formula>$D$64</formula>
    </cfRule>
  </conditionalFormatting>
  <conditionalFormatting sqref="D63">
    <cfRule type="cellIs" dxfId="22" priority="2" stopIfTrue="1" operator="lessThan">
      <formula>0</formula>
    </cfRule>
  </conditionalFormatting>
  <conditionalFormatting sqref="D31">
    <cfRule type="cellIs" dxfId="21" priority="1" stopIfTrue="1" operator="lessThan">
      <formula>0</formula>
    </cfRule>
  </conditionalFormatting>
  <pageMargins left="0.7" right="0.7" top="0.75" bottom="0.75" header="0.3" footer="0.3"/>
  <pageSetup scale="61"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topLeftCell="A31" workbookViewId="0">
      <selection activeCell="A34" sqref="A34:D34"/>
    </sheetView>
  </sheetViews>
  <sheetFormatPr defaultColWidth="8.9140625" defaultRowHeight="15" x14ac:dyDescent="0.25"/>
  <cols>
    <col min="1" max="1" width="29.83203125" style="127" customWidth="1"/>
    <col min="2" max="2" width="12.58203125" style="127" customWidth="1"/>
    <col min="3" max="3" width="10.75" style="127" customWidth="1"/>
    <col min="4" max="5" width="11.33203125" style="127" customWidth="1"/>
    <col min="6" max="6" width="10.75" style="127" customWidth="1"/>
    <col min="7" max="16384" width="8.9140625" style="127"/>
  </cols>
  <sheetData>
    <row r="1" spans="1:6" ht="15.6" x14ac:dyDescent="0.25">
      <c r="A1" s="128" t="str">
        <f>inputPrYr!$D$3</f>
        <v>City of Bonner Springs</v>
      </c>
      <c r="B1" s="90"/>
      <c r="C1" s="90"/>
      <c r="D1" s="90"/>
      <c r="E1" s="129">
        <f>inputPrYr!C10</f>
        <v>2013</v>
      </c>
      <c r="F1" s="90"/>
    </row>
    <row r="2" spans="1:6" x14ac:dyDescent="0.25">
      <c r="A2" s="90"/>
      <c r="B2" s="90"/>
      <c r="C2" s="90"/>
      <c r="D2" s="90"/>
      <c r="E2" s="90"/>
      <c r="F2" s="90"/>
    </row>
    <row r="3" spans="1:6" ht="15.6" x14ac:dyDescent="0.25">
      <c r="A3" s="805" t="s">
        <v>147</v>
      </c>
      <c r="B3" s="806"/>
      <c r="C3" s="806"/>
      <c r="D3" s="806"/>
      <c r="E3" s="806"/>
      <c r="F3" s="90"/>
    </row>
    <row r="4" spans="1:6" ht="15.6" x14ac:dyDescent="0.25">
      <c r="A4" s="418"/>
      <c r="B4" s="90"/>
      <c r="C4" s="90"/>
      <c r="D4" s="90"/>
      <c r="E4" s="90"/>
      <c r="F4" s="90"/>
    </row>
    <row r="5" spans="1:6" x14ac:dyDescent="0.25">
      <c r="A5" s="90"/>
      <c r="B5" s="90"/>
      <c r="C5" s="90"/>
      <c r="D5" s="90"/>
      <c r="E5" s="90"/>
      <c r="F5" s="90"/>
    </row>
    <row r="6" spans="1:6" ht="16.2" thickBot="1" x14ac:dyDescent="0.3">
      <c r="A6" s="814" t="str">
        <f>CONCATENATE("From the County Clerks ",E1," Budget Information:")</f>
        <v>From the County Clerks 2013 Budget Information:</v>
      </c>
      <c r="B6" s="815"/>
      <c r="C6" s="815"/>
      <c r="D6" s="815"/>
      <c r="E6" s="815"/>
      <c r="F6" s="815"/>
    </row>
    <row r="7" spans="1:6" ht="15.6" x14ac:dyDescent="0.25">
      <c r="A7" s="95"/>
      <c r="B7" s="819" t="str">
        <f>CONCATENATE("Assessed Valuation for ",E1-1,"")</f>
        <v>Assessed Valuation for 2012</v>
      </c>
      <c r="C7" s="820" t="str">
        <f>CONCATENATE("New Improvements for ",E1-1,"")</f>
        <v>New Improvements for 2012</v>
      </c>
      <c r="D7" s="822" t="str">
        <f>CONCATENATE("Personal Property excluding oil, gas, and mobile homes- ",E1-1,"")</f>
        <v>Personal Property excluding oil, gas, and mobile homes- 2012</v>
      </c>
      <c r="E7" s="824" t="str">
        <f>CONCATENATE("Property that has changed in use for ",E1-1,"")</f>
        <v>Property that has changed in use for 2012</v>
      </c>
      <c r="F7" s="812" t="str">
        <f>CONCATENATE("Personal Property excluding oil, gas, and mobile homes- ",E1-2,"")</f>
        <v>Personal Property excluding oil, gas, and mobile homes- 2011</v>
      </c>
    </row>
    <row r="8" spans="1:6" ht="15.6" x14ac:dyDescent="0.25">
      <c r="A8" s="95"/>
      <c r="B8" s="820"/>
      <c r="C8" s="820"/>
      <c r="D8" s="822"/>
      <c r="E8" s="824"/>
      <c r="F8" s="812"/>
    </row>
    <row r="9" spans="1:6" ht="15.6" x14ac:dyDescent="0.25">
      <c r="A9" s="130"/>
      <c r="B9" s="821"/>
      <c r="C9" s="821"/>
      <c r="D9" s="823"/>
      <c r="E9" s="825"/>
      <c r="F9" s="813"/>
    </row>
    <row r="10" spans="1:6" ht="15.6" x14ac:dyDescent="0.25">
      <c r="A10" s="87" t="str">
        <f>inputPrYr!D4</f>
        <v>Wyandotte County</v>
      </c>
      <c r="B10" s="98">
        <v>62674974</v>
      </c>
      <c r="C10" s="98">
        <v>269778</v>
      </c>
      <c r="D10" s="98">
        <v>1940625</v>
      </c>
      <c r="E10" s="89">
        <v>326490</v>
      </c>
      <c r="F10" s="98">
        <v>1919280</v>
      </c>
    </row>
    <row r="11" spans="1:6" ht="15.6" x14ac:dyDescent="0.25">
      <c r="A11" s="131" t="str">
        <f>inputPrYr!D6</f>
        <v>Johnson</v>
      </c>
      <c r="B11" s="98">
        <v>3545236</v>
      </c>
      <c r="C11" s="98">
        <v>0</v>
      </c>
      <c r="D11" s="98">
        <v>526320</v>
      </c>
      <c r="E11" s="89">
        <v>21192</v>
      </c>
      <c r="F11" s="98">
        <v>447819</v>
      </c>
    </row>
    <row r="12" spans="1:6" ht="15.6" x14ac:dyDescent="0.25">
      <c r="A12" s="131" t="str">
        <f>inputPrYr!D7</f>
        <v>Leavenworth</v>
      </c>
      <c r="B12" s="98">
        <v>27894</v>
      </c>
      <c r="C12" s="98">
        <v>0</v>
      </c>
      <c r="D12" s="132">
        <v>682</v>
      </c>
      <c r="E12" s="89">
        <v>0</v>
      </c>
      <c r="F12" s="98">
        <v>775</v>
      </c>
    </row>
    <row r="13" spans="1:6" ht="15.6" x14ac:dyDescent="0.25">
      <c r="A13" s="131">
        <f>inputPrYr!D8</f>
        <v>0</v>
      </c>
      <c r="B13" s="98"/>
      <c r="C13" s="98"/>
      <c r="D13" s="98"/>
      <c r="E13" s="98"/>
      <c r="F13" s="98"/>
    </row>
    <row r="14" spans="1:6" ht="15.6" x14ac:dyDescent="0.25">
      <c r="A14" s="87" t="s">
        <v>272</v>
      </c>
      <c r="B14" s="102">
        <f>SUM(B10:B13)</f>
        <v>66248104</v>
      </c>
      <c r="C14" s="102">
        <f>SUM(C10:C13)</f>
        <v>269778</v>
      </c>
      <c r="D14" s="102">
        <f>SUM(D10:D13)</f>
        <v>2467627</v>
      </c>
      <c r="E14" s="102">
        <f>SUM(E10:E13)</f>
        <v>347682</v>
      </c>
      <c r="F14" s="102">
        <f>SUM(F10:F13)</f>
        <v>2367874</v>
      </c>
    </row>
    <row r="15" spans="1:6" ht="15.6" x14ac:dyDescent="0.25">
      <c r="A15" s="95"/>
      <c r="B15" s="96"/>
      <c r="C15" s="96"/>
      <c r="D15" s="96"/>
      <c r="E15" s="133"/>
      <c r="F15" s="90"/>
    </row>
    <row r="16" spans="1:6" ht="16.2" thickBot="1" x14ac:dyDescent="0.3">
      <c r="A16" s="817" t="str">
        <f>CONCATENATE("Territory Added for ",E1-1,"")</f>
        <v>Territory Added for 2012</v>
      </c>
      <c r="B16" s="818"/>
      <c r="C16" s="818"/>
      <c r="D16" s="818"/>
      <c r="E16" s="133"/>
      <c r="F16" s="90"/>
    </row>
    <row r="17" spans="1:6" ht="31.2" x14ac:dyDescent="0.25">
      <c r="A17" s="92"/>
      <c r="B17" s="134" t="s">
        <v>169</v>
      </c>
      <c r="C17" s="134" t="s">
        <v>50</v>
      </c>
      <c r="D17" s="134" t="s">
        <v>51</v>
      </c>
      <c r="E17" s="133"/>
      <c r="F17" s="90"/>
    </row>
    <row r="18" spans="1:6" ht="15.6" x14ac:dyDescent="0.25">
      <c r="A18" s="87" t="str">
        <f>inputPrYr!D4</f>
        <v>Wyandotte County</v>
      </c>
      <c r="B18" s="135">
        <v>0</v>
      </c>
      <c r="C18" s="135">
        <v>0</v>
      </c>
      <c r="D18" s="135">
        <v>0</v>
      </c>
      <c r="E18" s="133"/>
      <c r="F18" s="90"/>
    </row>
    <row r="19" spans="1:6" ht="15.6" x14ac:dyDescent="0.25">
      <c r="A19" s="87" t="str">
        <f>inputPrYr!D6</f>
        <v>Johnson</v>
      </c>
      <c r="B19" s="135">
        <v>0</v>
      </c>
      <c r="C19" s="135">
        <v>0</v>
      </c>
      <c r="D19" s="135">
        <v>0</v>
      </c>
      <c r="E19" s="133"/>
      <c r="F19" s="90"/>
    </row>
    <row r="20" spans="1:6" ht="15.6" x14ac:dyDescent="0.25">
      <c r="A20" s="87" t="str">
        <f>inputPrYr!D7</f>
        <v>Leavenworth</v>
      </c>
      <c r="B20" s="135">
        <v>0</v>
      </c>
      <c r="C20" s="135">
        <v>0</v>
      </c>
      <c r="D20" s="135">
        <v>0</v>
      </c>
      <c r="E20" s="133"/>
      <c r="F20" s="90"/>
    </row>
    <row r="21" spans="1:6" ht="15.6" x14ac:dyDescent="0.25">
      <c r="A21" s="87">
        <f>inputPrYr!D8</f>
        <v>0</v>
      </c>
      <c r="B21" s="135"/>
      <c r="C21" s="135"/>
      <c r="D21" s="135"/>
      <c r="E21" s="133"/>
      <c r="F21" s="90"/>
    </row>
    <row r="22" spans="1:6" ht="15.6" x14ac:dyDescent="0.25">
      <c r="A22" s="87" t="s">
        <v>272</v>
      </c>
      <c r="B22" s="136">
        <f>SUM(B18:B21)</f>
        <v>0</v>
      </c>
      <c r="C22" s="136">
        <f>SUM(C18:C21)</f>
        <v>0</v>
      </c>
      <c r="D22" s="136">
        <f>SUM(D18:D21)</f>
        <v>0</v>
      </c>
      <c r="E22" s="133"/>
      <c r="F22" s="90"/>
    </row>
    <row r="23" spans="1:6" ht="15.6" x14ac:dyDescent="0.25">
      <c r="A23" s="95"/>
      <c r="B23" s="137"/>
      <c r="C23" s="137"/>
      <c r="D23" s="137"/>
      <c r="E23" s="133"/>
      <c r="F23" s="90"/>
    </row>
    <row r="24" spans="1:6" ht="15.6" x14ac:dyDescent="0.25">
      <c r="A24" s="92" t="str">
        <f>CONCATENATE("Gross earnings (intangible) tax estimate for ",E1,"")</f>
        <v>Gross earnings (intangible) tax estimate for 2013</v>
      </c>
      <c r="B24" s="82"/>
      <c r="C24" s="82"/>
      <c r="D24" s="108"/>
      <c r="E24" s="89">
        <v>940000</v>
      </c>
      <c r="F24" s="90"/>
    </row>
    <row r="25" spans="1:6" ht="15.6" x14ac:dyDescent="0.25">
      <c r="A25" s="131" t="s">
        <v>175</v>
      </c>
      <c r="B25" s="114"/>
      <c r="C25" s="114"/>
      <c r="D25" s="114"/>
      <c r="E25" s="98"/>
      <c r="F25" s="90"/>
    </row>
    <row r="26" spans="1:6" ht="15.6" x14ac:dyDescent="0.25">
      <c r="A26" s="95"/>
      <c r="B26" s="96"/>
      <c r="C26" s="96"/>
      <c r="D26" s="96"/>
      <c r="E26" s="104"/>
      <c r="F26" s="90"/>
    </row>
    <row r="27" spans="1:6" ht="16.2" thickBot="1" x14ac:dyDescent="0.3">
      <c r="A27" s="817" t="str">
        <f>CONCATENATE("Actual Tax Rates for the ",E1-1," Budget:")</f>
        <v>Actual Tax Rates for the 2012 Budget:</v>
      </c>
      <c r="B27" s="830"/>
      <c r="C27" s="830"/>
      <c r="D27" s="830"/>
      <c r="E27" s="104"/>
      <c r="F27" s="90"/>
    </row>
    <row r="28" spans="1:6" ht="15.6" x14ac:dyDescent="0.25">
      <c r="A28" s="816" t="s">
        <v>270</v>
      </c>
      <c r="B28" s="808"/>
      <c r="C28" s="90"/>
      <c r="D28" s="138" t="s">
        <v>322</v>
      </c>
      <c r="E28" s="104"/>
      <c r="F28" s="90"/>
    </row>
    <row r="29" spans="1:6" ht="15.6" x14ac:dyDescent="0.25">
      <c r="A29" s="92" t="s">
        <v>258</v>
      </c>
      <c r="B29" s="82"/>
      <c r="C29" s="96"/>
      <c r="D29" s="139">
        <v>18.838999999999999</v>
      </c>
      <c r="E29" s="104" t="s">
        <v>1078</v>
      </c>
      <c r="F29" s="90"/>
    </row>
    <row r="30" spans="1:6" ht="15.6" x14ac:dyDescent="0.25">
      <c r="A30" s="131" t="s">
        <v>218</v>
      </c>
      <c r="B30" s="114"/>
      <c r="C30" s="96"/>
      <c r="D30" s="140">
        <v>6.9539999999999997</v>
      </c>
      <c r="E30" s="104"/>
      <c r="F30" s="90"/>
    </row>
    <row r="31" spans="1:6" ht="15.6" x14ac:dyDescent="0.25">
      <c r="A31" s="131" t="str">
        <f>IF(inputPrYr!B24&gt;" ",(inputPrYr!B24)," ")</f>
        <v>Library</v>
      </c>
      <c r="B31" s="114"/>
      <c r="C31" s="96"/>
      <c r="D31" s="140">
        <v>4.7850000000000001</v>
      </c>
      <c r="E31" s="104"/>
      <c r="F31" s="90"/>
    </row>
    <row r="32" spans="1:6" ht="15.6" x14ac:dyDescent="0.25">
      <c r="A32" s="141"/>
      <c r="B32" s="335" t="s">
        <v>260</v>
      </c>
      <c r="C32" s="632"/>
      <c r="D32" s="631">
        <f>SUM(D29:D31)</f>
        <v>30.577999999999999</v>
      </c>
      <c r="E32" s="141"/>
      <c r="F32" s="90"/>
    </row>
    <row r="33" spans="1:6" x14ac:dyDescent="0.25">
      <c r="A33" s="141"/>
      <c r="B33" s="141"/>
      <c r="C33" s="141"/>
      <c r="D33" s="141"/>
      <c r="E33" s="141"/>
      <c r="F33" s="90"/>
    </row>
    <row r="34" spans="1:6" ht="16.2" thickBot="1" x14ac:dyDescent="0.3">
      <c r="A34" s="828" t="str">
        <f>CONCATENATE("Final Assessed Valuation from the November 1, ",E1-2," Abstract:")</f>
        <v>Final Assessed Valuation from the November 1, 2011 Abstract:</v>
      </c>
      <c r="B34" s="829"/>
      <c r="C34" s="829"/>
      <c r="D34" s="829"/>
      <c r="E34" s="142"/>
      <c r="F34" s="90"/>
    </row>
    <row r="35" spans="1:6" ht="15.6" x14ac:dyDescent="0.25">
      <c r="A35" s="138"/>
      <c r="B35" s="90"/>
      <c r="C35" s="90"/>
      <c r="D35" s="90"/>
      <c r="E35" s="142"/>
      <c r="F35" s="90"/>
    </row>
    <row r="36" spans="1:6" ht="15.6" x14ac:dyDescent="0.25">
      <c r="A36" s="87" t="str">
        <f>inputPrYr!D4</f>
        <v>Wyandotte County</v>
      </c>
      <c r="B36" s="141"/>
      <c r="C36" s="141"/>
      <c r="D36" s="98">
        <v>63078143</v>
      </c>
      <c r="E36" s="141"/>
      <c r="F36" s="90"/>
    </row>
    <row r="37" spans="1:6" ht="15.6" x14ac:dyDescent="0.25">
      <c r="A37" s="87" t="str">
        <f>inputPrYr!D6</f>
        <v>Johnson</v>
      </c>
      <c r="B37" s="141"/>
      <c r="C37" s="141"/>
      <c r="D37" s="98">
        <v>3432431</v>
      </c>
      <c r="E37" s="141"/>
      <c r="F37" s="90"/>
    </row>
    <row r="38" spans="1:6" ht="15.6" x14ac:dyDescent="0.25">
      <c r="A38" s="87" t="str">
        <f>inputPrYr!D7</f>
        <v>Leavenworth</v>
      </c>
      <c r="B38" s="141"/>
      <c r="C38" s="141"/>
      <c r="D38" s="98">
        <v>27495</v>
      </c>
      <c r="E38" s="141"/>
      <c r="F38" s="90"/>
    </row>
    <row r="39" spans="1:6" ht="15.6" x14ac:dyDescent="0.25">
      <c r="A39" s="87">
        <f>inputPrYr!D8</f>
        <v>0</v>
      </c>
      <c r="B39" s="141"/>
      <c r="C39" s="141"/>
      <c r="D39" s="98"/>
      <c r="E39" s="141"/>
      <c r="F39" s="90"/>
    </row>
    <row r="40" spans="1:6" ht="15.6" x14ac:dyDescent="0.25">
      <c r="A40" s="88" t="s">
        <v>167</v>
      </c>
      <c r="B40" s="141"/>
      <c r="C40" s="141"/>
      <c r="D40" s="102">
        <f>SUM(D36:D39)</f>
        <v>66538069</v>
      </c>
      <c r="E40" s="141"/>
      <c r="F40" s="90"/>
    </row>
    <row r="41" spans="1:6" x14ac:dyDescent="0.25">
      <c r="A41" s="141"/>
      <c r="B41" s="141"/>
      <c r="C41" s="141"/>
      <c r="D41" s="141"/>
      <c r="E41" s="141"/>
      <c r="F41" s="90"/>
    </row>
    <row r="42" spans="1:6" ht="15.6" x14ac:dyDescent="0.25">
      <c r="A42" s="116" t="str">
        <f>CONCATENATE("From the County Treasurer's Budget Information - ",E1," Budget Year Estimates:")</f>
        <v>From the County Treasurer's Budget Information - 2013 Budget Year Estimates:</v>
      </c>
      <c r="B42" s="79"/>
      <c r="C42" s="79"/>
      <c r="D42" s="143"/>
      <c r="E42" s="144"/>
      <c r="F42" s="90"/>
    </row>
    <row r="43" spans="1:6" ht="15.6" x14ac:dyDescent="0.25">
      <c r="A43" s="145"/>
      <c r="B43" s="146"/>
      <c r="C43" s="831" t="s">
        <v>172</v>
      </c>
      <c r="D43" s="837" t="s">
        <v>170</v>
      </c>
      <c r="E43" s="831" t="s">
        <v>171</v>
      </c>
      <c r="F43" s="90"/>
    </row>
    <row r="44" spans="1:6" ht="15.6" x14ac:dyDescent="0.25">
      <c r="A44" s="840" t="str">
        <f>CONCATENATE("",E1," Vehicle Tax Estimates")</f>
        <v>2013 Vehicle Tax Estimates</v>
      </c>
      <c r="B44" s="841"/>
      <c r="C44" s="832"/>
      <c r="D44" s="832"/>
      <c r="E44" s="832"/>
      <c r="F44" s="90"/>
    </row>
    <row r="45" spans="1:6" ht="15.6" x14ac:dyDescent="0.25">
      <c r="A45" s="147" t="str">
        <f>inputPrYr!D4</f>
        <v>Wyandotte County</v>
      </c>
      <c r="B45" s="115"/>
      <c r="C45" s="98">
        <v>233515</v>
      </c>
      <c r="D45" s="98">
        <v>1594</v>
      </c>
      <c r="E45" s="89">
        <v>1822</v>
      </c>
      <c r="F45" s="90"/>
    </row>
    <row r="46" spans="1:6" ht="15.6" x14ac:dyDescent="0.25">
      <c r="A46" s="148" t="str">
        <f>inputPrYr!D6</f>
        <v>Johnson</v>
      </c>
      <c r="B46" s="115"/>
      <c r="C46" s="98">
        <v>2792.99</v>
      </c>
      <c r="D46" s="98">
        <v>0</v>
      </c>
      <c r="E46" s="89">
        <v>462.87</v>
      </c>
      <c r="F46" s="90"/>
    </row>
    <row r="47" spans="1:6" ht="15.6" x14ac:dyDescent="0.25">
      <c r="A47" s="148" t="str">
        <f>inputPrYr!D7</f>
        <v>Leavenworth</v>
      </c>
      <c r="B47" s="115"/>
      <c r="C47" s="98">
        <v>236.35</v>
      </c>
      <c r="D47" s="98">
        <v>0</v>
      </c>
      <c r="E47" s="89">
        <v>27.01</v>
      </c>
      <c r="F47" s="90"/>
    </row>
    <row r="48" spans="1:6" ht="15.6" x14ac:dyDescent="0.25">
      <c r="A48" s="148">
        <f>inputPrYr!D8</f>
        <v>0</v>
      </c>
      <c r="B48" s="115"/>
      <c r="C48" s="149"/>
      <c r="D48" s="98"/>
      <c r="E48" s="89"/>
      <c r="F48" s="90"/>
    </row>
    <row r="49" spans="1:6" ht="15.6" x14ac:dyDescent="0.25">
      <c r="A49" s="148" t="s">
        <v>173</v>
      </c>
      <c r="B49" s="115"/>
      <c r="C49" s="150">
        <f>SUM(C45:C48)</f>
        <v>236544.34</v>
      </c>
      <c r="D49" s="102">
        <f>SUM(D45:D48)</f>
        <v>1594</v>
      </c>
      <c r="E49" s="102">
        <f>SUM(E45:E48)</f>
        <v>2311.88</v>
      </c>
      <c r="F49" s="90"/>
    </row>
    <row r="50" spans="1:6" ht="15.6" x14ac:dyDescent="0.25">
      <c r="A50" s="92"/>
      <c r="B50" s="82"/>
      <c r="C50" s="82"/>
      <c r="D50" s="151"/>
      <c r="E50" s="104"/>
      <c r="F50" s="90"/>
    </row>
    <row r="51" spans="1:6" ht="15.6" x14ac:dyDescent="0.25">
      <c r="A51" s="92" t="s">
        <v>89</v>
      </c>
      <c r="B51" s="82"/>
      <c r="C51" s="82"/>
      <c r="D51" s="152"/>
      <c r="E51" s="89"/>
      <c r="F51" s="90"/>
    </row>
    <row r="52" spans="1:6" ht="15.6" x14ac:dyDescent="0.25">
      <c r="A52" s="131" t="s">
        <v>90</v>
      </c>
      <c r="B52" s="114"/>
      <c r="C52" s="114"/>
      <c r="D52" s="153"/>
      <c r="E52" s="89"/>
      <c r="F52" s="90"/>
    </row>
    <row r="53" spans="1:6" ht="15.6" x14ac:dyDescent="0.25">
      <c r="A53" s="67"/>
      <c r="B53" s="67"/>
      <c r="C53" s="67"/>
      <c r="D53" s="67"/>
      <c r="E53" s="67"/>
      <c r="F53" s="90"/>
    </row>
    <row r="54" spans="1:6" ht="15.6" x14ac:dyDescent="0.25">
      <c r="A54" s="66" t="s">
        <v>277</v>
      </c>
      <c r="B54" s="77"/>
      <c r="C54" s="77"/>
      <c r="D54" s="67"/>
      <c r="E54" s="67"/>
      <c r="F54" s="90"/>
    </row>
    <row r="55" spans="1:6" ht="15.6" x14ac:dyDescent="0.25">
      <c r="A55" s="95" t="str">
        <f>CONCATENATE("Actual Delinquency for ",E20-3," Tax - (rate .01213 = 1.213%, key in 1.2)")</f>
        <v>Actual Delinquency for -3 Tax - (rate .01213 = 1.213%, key in 1.2)</v>
      </c>
      <c r="B55" s="96"/>
      <c r="C55" s="67"/>
      <c r="D55" s="67"/>
      <c r="F55" s="90"/>
    </row>
    <row r="56" spans="1:6" ht="15.6" x14ac:dyDescent="0.25">
      <c r="A56" s="633" t="s">
        <v>872</v>
      </c>
      <c r="B56" s="92"/>
      <c r="C56" s="82"/>
      <c r="D56" s="82"/>
      <c r="E56" s="794">
        <v>5.2630999999999997E-2</v>
      </c>
      <c r="F56" s="90"/>
    </row>
    <row r="57" spans="1:6" ht="15.6" x14ac:dyDescent="0.25">
      <c r="A57" s="156" t="s">
        <v>174</v>
      </c>
      <c r="B57" s="157"/>
      <c r="C57" s="157"/>
      <c r="D57" s="157"/>
      <c r="E57" s="157"/>
      <c r="F57" s="158"/>
    </row>
    <row r="58" spans="1:6" ht="15.6" x14ac:dyDescent="0.25">
      <c r="A58" s="67"/>
      <c r="B58" s="67"/>
      <c r="C58" s="67"/>
      <c r="D58" s="67"/>
      <c r="E58" s="67"/>
      <c r="F58" s="90"/>
    </row>
    <row r="59" spans="1:6" ht="16.2" thickBot="1" x14ac:dyDescent="0.3">
      <c r="A59" s="159" t="s">
        <v>160</v>
      </c>
      <c r="B59" s="160"/>
      <c r="C59" s="161"/>
      <c r="D59" s="161"/>
      <c r="E59" s="161"/>
      <c r="F59" s="162"/>
    </row>
    <row r="60" spans="1:6" ht="15.6" x14ac:dyDescent="0.25">
      <c r="A60" s="163" t="str">
        <f>CONCATENATE("",E1," State Distribution for Kansas Gas Tax")</f>
        <v>2013 State Distribution for Kansas Gas Tax</v>
      </c>
      <c r="B60" s="164"/>
      <c r="C60" s="164"/>
      <c r="D60" s="165"/>
      <c r="E60" s="166"/>
      <c r="F60" s="90"/>
    </row>
    <row r="61" spans="1:6" ht="15.6" x14ac:dyDescent="0.25">
      <c r="A61" s="167" t="str">
        <f>CONCATENATE("",E1," County Transfers for Gas**")</f>
        <v>2013 County Transfers for Gas**</v>
      </c>
      <c r="B61" s="168"/>
      <c r="C61" s="168"/>
      <c r="D61" s="169"/>
      <c r="E61" s="98"/>
      <c r="F61" s="90"/>
    </row>
    <row r="62" spans="1:6" ht="15.6" x14ac:dyDescent="0.25">
      <c r="A62" s="167" t="str">
        <f>CONCATENATE("Adjusted ",E1-1," State Distribution for Kansas Gas Tax")</f>
        <v>Adjusted 2012 State Distribution for Kansas Gas Tax</v>
      </c>
      <c r="B62" s="168"/>
      <c r="C62" s="168"/>
      <c r="D62" s="169"/>
      <c r="E62" s="98"/>
      <c r="F62" s="90"/>
    </row>
    <row r="63" spans="1:6" ht="15.6" x14ac:dyDescent="0.25">
      <c r="A63" s="167" t="str">
        <f>CONCATENATE("Adjusted ",E1-1," County Transfers for Gas**")</f>
        <v>Adjusted 2012 County Transfers for Gas**</v>
      </c>
      <c r="B63" s="168"/>
      <c r="C63" s="168"/>
      <c r="D63" s="169"/>
      <c r="E63" s="98"/>
      <c r="F63" s="90"/>
    </row>
    <row r="64" spans="1:6" x14ac:dyDescent="0.25">
      <c r="A64" s="838" t="s">
        <v>142</v>
      </c>
      <c r="B64" s="811"/>
      <c r="C64" s="811"/>
      <c r="D64" s="811"/>
      <c r="E64" s="811"/>
      <c r="F64" s="839"/>
    </row>
    <row r="65" spans="1:7" x14ac:dyDescent="0.25">
      <c r="A65" s="158" t="s">
        <v>143</v>
      </c>
      <c r="B65" s="158"/>
      <c r="C65" s="158"/>
      <c r="D65" s="158"/>
      <c r="E65" s="158"/>
      <c r="F65" s="90"/>
    </row>
    <row r="66" spans="1:7" x14ac:dyDescent="0.25">
      <c r="A66" s="90"/>
      <c r="B66" s="90"/>
      <c r="C66" s="90"/>
      <c r="D66" s="90"/>
      <c r="E66" s="90"/>
    </row>
    <row r="67" spans="1:7" ht="15.6" x14ac:dyDescent="0.25">
      <c r="A67" s="826" t="str">
        <f>CONCATENATE("From the ",E1-2," Budget Certificate Page")</f>
        <v>From the 2011 Budget Certificate Page</v>
      </c>
      <c r="B67" s="827"/>
      <c r="C67" s="90"/>
      <c r="D67" s="90"/>
      <c r="E67" s="90"/>
    </row>
    <row r="68" spans="1:7" ht="15.6" x14ac:dyDescent="0.25">
      <c r="A68" s="170"/>
      <c r="B68" s="835" t="str">
        <f>CONCATENATE("",E1-2,"        Expenditure Amt Budget Authority")</f>
        <v>2011        Expenditure Amt Budget Authority</v>
      </c>
      <c r="C68" s="833" t="str">
        <f>CONCATENATE("Note: If the ",E1-2," budget was amended, then")</f>
        <v>Note: If the 2011 budget was amended, then</v>
      </c>
      <c r="D68" s="834"/>
      <c r="E68" s="834"/>
    </row>
    <row r="69" spans="1:7" ht="15.6" x14ac:dyDescent="0.25">
      <c r="A69" s="171" t="s">
        <v>179</v>
      </c>
      <c r="B69" s="836"/>
      <c r="C69" s="172" t="s">
        <v>180</v>
      </c>
      <c r="D69" s="173"/>
      <c r="E69" s="173"/>
    </row>
    <row r="70" spans="1:7" ht="15.6" x14ac:dyDescent="0.25">
      <c r="A70" s="174"/>
      <c r="B70" s="832"/>
      <c r="C70" s="172" t="s">
        <v>181</v>
      </c>
      <c r="D70" s="173"/>
      <c r="E70" s="173"/>
      <c r="G70" s="175"/>
    </row>
    <row r="71" spans="1:7" ht="15.6" x14ac:dyDescent="0.25">
      <c r="A71" s="176" t="str">
        <f>inputPrYr!B22</f>
        <v>General</v>
      </c>
      <c r="B71" s="166">
        <v>6471445</v>
      </c>
      <c r="C71" s="172"/>
      <c r="D71" s="173"/>
      <c r="E71" s="173"/>
    </row>
    <row r="72" spans="1:7" ht="15.6" x14ac:dyDescent="0.25">
      <c r="A72" s="176" t="str">
        <f>inputPrYr!B23</f>
        <v>Debt Service</v>
      </c>
      <c r="B72" s="98">
        <v>2777627</v>
      </c>
      <c r="C72" s="172"/>
      <c r="D72" s="173"/>
      <c r="E72" s="173"/>
    </row>
    <row r="73" spans="1:7" ht="15.6" x14ac:dyDescent="0.25">
      <c r="A73" s="177" t="str">
        <f>inputPrYr!B24</f>
        <v>Library</v>
      </c>
      <c r="B73" s="98">
        <v>328551</v>
      </c>
      <c r="C73" s="90"/>
      <c r="D73" s="90"/>
      <c r="E73" s="90"/>
    </row>
    <row r="74" spans="1:7" ht="15.6" x14ac:dyDescent="0.25">
      <c r="A74" s="177" t="str">
        <f>inputPrYr!B29</f>
        <v>Spec. Rev. Aquatic Park Facility Sales Tax</v>
      </c>
      <c r="B74" s="98">
        <v>434769</v>
      </c>
      <c r="C74" s="90"/>
      <c r="D74" s="90"/>
      <c r="E74" s="90"/>
    </row>
    <row r="75" spans="1:7" ht="15.6" x14ac:dyDescent="0.25">
      <c r="A75" s="177" t="str">
        <f>inputPrYr!B30</f>
        <v>Spec. Rev. County Infrastructure</v>
      </c>
      <c r="B75" s="98">
        <v>25808</v>
      </c>
      <c r="C75" s="90"/>
      <c r="D75" s="90"/>
      <c r="E75" s="90"/>
    </row>
    <row r="76" spans="1:7" ht="15.6" x14ac:dyDescent="0.25">
      <c r="A76" s="177" t="str">
        <f>inputPrYr!B31</f>
        <v>Spec. Rev. Convention &amp; Tourism</v>
      </c>
      <c r="B76" s="98">
        <v>70557</v>
      </c>
      <c r="C76" s="90"/>
      <c r="D76" s="90"/>
      <c r="E76" s="90"/>
    </row>
    <row r="77" spans="1:7" ht="15.6" x14ac:dyDescent="0.25">
      <c r="A77" s="177" t="str">
        <f>inputPrYr!B32</f>
        <v>Spec. Rev. Drug &amp; Alcohol</v>
      </c>
      <c r="B77" s="98">
        <v>82000</v>
      </c>
      <c r="C77" s="90"/>
      <c r="D77" s="90"/>
      <c r="E77" s="90"/>
    </row>
    <row r="78" spans="1:7" ht="15.6" x14ac:dyDescent="0.25">
      <c r="A78" s="177" t="str">
        <f>inputPrYr!B33</f>
        <v>Spec. Rev. Economic Development</v>
      </c>
      <c r="B78" s="98">
        <v>19650</v>
      </c>
      <c r="C78" s="90"/>
      <c r="D78" s="90"/>
      <c r="E78" s="90"/>
    </row>
    <row r="79" spans="1:7" ht="15.6" x14ac:dyDescent="0.25">
      <c r="A79" s="177" t="str">
        <f>inputPrYr!B34</f>
        <v>Spec. Rev. Emergency Services Capital</v>
      </c>
      <c r="B79" s="785">
        <v>764338</v>
      </c>
      <c r="C79" s="90" t="s">
        <v>1015</v>
      </c>
      <c r="D79" s="90"/>
      <c r="E79" s="90"/>
    </row>
    <row r="80" spans="1:7" ht="15.6" x14ac:dyDescent="0.25">
      <c r="A80" s="177" t="str">
        <f>inputPrYr!B35</f>
        <v>Spec. Rev. Emergency Medical Services</v>
      </c>
      <c r="B80" s="98">
        <v>512407</v>
      </c>
      <c r="C80" s="90"/>
      <c r="D80" s="90"/>
      <c r="E80" s="90"/>
    </row>
    <row r="81" spans="1:5" ht="15.6" x14ac:dyDescent="0.25">
      <c r="A81" s="177" t="str">
        <f>inputPrYr!B36</f>
        <v>Spec. Rev. Library Sales Tax</v>
      </c>
      <c r="B81" s="98">
        <v>428609</v>
      </c>
      <c r="C81" s="90"/>
      <c r="D81" s="90"/>
      <c r="E81" s="90"/>
    </row>
    <row r="82" spans="1:5" ht="15.6" x14ac:dyDescent="0.25">
      <c r="A82" s="177" t="str">
        <f>inputPrYr!B37</f>
        <v>Spec. Rev. Park Dedication</v>
      </c>
      <c r="B82" s="98">
        <v>0</v>
      </c>
      <c r="C82" s="90"/>
      <c r="D82" s="90"/>
      <c r="E82" s="90"/>
    </row>
    <row r="83" spans="1:5" ht="15.6" x14ac:dyDescent="0.25">
      <c r="A83" s="177" t="str">
        <f>inputPrYr!B38</f>
        <v>Spec. Rev. Recreation Programs</v>
      </c>
      <c r="B83" s="98">
        <v>72065</v>
      </c>
      <c r="C83" s="90"/>
      <c r="D83" s="90"/>
      <c r="E83" s="90"/>
    </row>
    <row r="84" spans="1:5" ht="15.6" x14ac:dyDescent="0.25">
      <c r="A84" s="177" t="str">
        <f>inputPrYr!B39</f>
        <v>Spec. Rev. Risk Management</v>
      </c>
      <c r="B84" s="98">
        <v>92419</v>
      </c>
      <c r="C84" s="90"/>
      <c r="D84" s="90"/>
      <c r="E84" s="90"/>
    </row>
    <row r="85" spans="1:5" ht="15.6" x14ac:dyDescent="0.25">
      <c r="A85" s="177" t="str">
        <f>inputPrYr!B40</f>
        <v>Spec. Rev. Senior Center</v>
      </c>
      <c r="B85" s="98">
        <v>53788</v>
      </c>
      <c r="C85" s="90"/>
      <c r="D85" s="90"/>
      <c r="E85" s="90"/>
    </row>
    <row r="86" spans="1:5" ht="15.6" x14ac:dyDescent="0.25">
      <c r="A86" s="177" t="str">
        <f>inputPrYr!B41</f>
        <v>Spec. Rev. Sidewalk Escrow</v>
      </c>
      <c r="B86" s="98">
        <v>34321</v>
      </c>
      <c r="C86" s="90"/>
      <c r="D86" s="90"/>
      <c r="E86" s="90"/>
    </row>
    <row r="87" spans="1:5" ht="15.6" x14ac:dyDescent="0.25">
      <c r="A87" s="177" t="str">
        <f>inputPrYr!B42</f>
        <v>Spec. Rev. Soccer</v>
      </c>
      <c r="B87" s="98">
        <v>10000</v>
      </c>
      <c r="C87" s="90"/>
      <c r="D87" s="90"/>
      <c r="E87" s="90"/>
    </row>
    <row r="88" spans="1:5" ht="15.6" x14ac:dyDescent="0.25">
      <c r="A88" s="177" t="str">
        <f>inputPrYr!B43</f>
        <v>Spec. Rev. Special Parks &amp; Recreation</v>
      </c>
      <c r="B88" s="98">
        <v>83863</v>
      </c>
      <c r="C88" s="90"/>
      <c r="D88" s="90"/>
      <c r="E88" s="90"/>
    </row>
    <row r="89" spans="1:5" s="759" customFormat="1" ht="15.6" x14ac:dyDescent="0.25">
      <c r="A89" s="177" t="str">
        <f>inputPrYr!B44</f>
        <v>Spec. Rev. Street Projects</v>
      </c>
      <c r="B89" s="785">
        <v>475901</v>
      </c>
      <c r="C89" s="90" t="s">
        <v>1015</v>
      </c>
      <c r="D89" s="90"/>
      <c r="E89" s="90"/>
    </row>
    <row r="90" spans="1:5" s="759" customFormat="1" ht="15.6" x14ac:dyDescent="0.25">
      <c r="A90" s="177" t="str">
        <f>inputPrYr!B45</f>
        <v>Spec. Rev. Summer Ball</v>
      </c>
      <c r="B90" s="98">
        <v>36940</v>
      </c>
      <c r="C90" s="90"/>
      <c r="D90" s="90"/>
      <c r="E90" s="90"/>
    </row>
    <row r="91" spans="1:5" s="759" customFormat="1" ht="15.6" x14ac:dyDescent="0.25">
      <c r="A91" s="177" t="str">
        <f>inputPrYr!B46</f>
        <v>Spec. Rev. Swimming Pool</v>
      </c>
      <c r="B91" s="98">
        <v>269017</v>
      </c>
      <c r="C91" s="90"/>
      <c r="D91" s="90"/>
      <c r="E91" s="90"/>
    </row>
    <row r="92" spans="1:5" s="759" customFormat="1" ht="15.6" x14ac:dyDescent="0.25">
      <c r="A92" s="177" t="str">
        <f>inputPrYr!B47</f>
        <v>Spec. Rev. Tiblow Transit</v>
      </c>
      <c r="B92" s="98">
        <v>80269</v>
      </c>
      <c r="C92" s="90"/>
      <c r="D92" s="90"/>
      <c r="E92" s="90"/>
    </row>
    <row r="93" spans="1:5" s="759" customFormat="1" ht="15.6" x14ac:dyDescent="0.25">
      <c r="A93" s="177" t="str">
        <f>inputPrYr!B48</f>
        <v>Spec. Rev. TIF Develop Funds</v>
      </c>
      <c r="B93" s="785">
        <v>2343</v>
      </c>
      <c r="C93" s="90" t="s">
        <v>1015</v>
      </c>
      <c r="D93" s="90"/>
      <c r="E93" s="90"/>
    </row>
    <row r="94" spans="1:5" s="759" customFormat="1" ht="15.6" x14ac:dyDescent="0.25">
      <c r="A94" s="177" t="str">
        <f>inputPrYr!B49</f>
        <v>Bonner Pointe TIF Increment</v>
      </c>
      <c r="B94" s="785">
        <v>109168</v>
      </c>
      <c r="C94" s="90" t="s">
        <v>1015</v>
      </c>
      <c r="D94" s="90"/>
      <c r="E94" s="90"/>
    </row>
    <row r="95" spans="1:5" s="759" customFormat="1" ht="15.6" x14ac:dyDescent="0.25">
      <c r="A95" s="177" t="str">
        <f>inputPrYr!B50</f>
        <v>CID Development Fees</v>
      </c>
      <c r="B95" s="785">
        <v>11475</v>
      </c>
      <c r="C95" s="90" t="s">
        <v>1015</v>
      </c>
      <c r="D95" s="90"/>
      <c r="E95" s="90"/>
    </row>
    <row r="96" spans="1:5" s="759" customFormat="1" ht="15.6" x14ac:dyDescent="0.25">
      <c r="A96" s="177" t="str">
        <f>inputPrYr!B51</f>
        <v>Bonner Springs Center CID</v>
      </c>
      <c r="B96" s="785">
        <v>80000</v>
      </c>
      <c r="C96" s="90" t="s">
        <v>1015</v>
      </c>
      <c r="D96" s="90"/>
      <c r="E96" s="90"/>
    </row>
    <row r="97" spans="1:5" s="759" customFormat="1" ht="15.6" x14ac:dyDescent="0.25">
      <c r="A97" s="177" t="str">
        <f>inputPrYr!B52</f>
        <v>Bonner Springs Ctr City Contribution</v>
      </c>
      <c r="B97" s="98">
        <v>30000</v>
      </c>
      <c r="C97" s="90" t="s">
        <v>1015</v>
      </c>
      <c r="D97" s="90"/>
      <c r="E97" s="90"/>
    </row>
    <row r="98" spans="1:5" s="759" customFormat="1" ht="15.6" x14ac:dyDescent="0.25">
      <c r="A98" s="177" t="str">
        <f>inputPrYr!B53</f>
        <v>Enterprise Fund - Solid Waste</v>
      </c>
      <c r="B98" s="98">
        <v>337190</v>
      </c>
      <c r="C98" s="90"/>
      <c r="D98" s="90"/>
      <c r="E98" s="90"/>
    </row>
    <row r="99" spans="1:5" s="759" customFormat="1" ht="15.6" x14ac:dyDescent="0.25">
      <c r="A99" s="177" t="str">
        <f>inputPrYr!B54</f>
        <v>Enterprise Fund - Storm Water</v>
      </c>
      <c r="B99" s="98">
        <v>133231</v>
      </c>
      <c r="C99" s="90"/>
      <c r="D99" s="90"/>
      <c r="E99" s="90"/>
    </row>
    <row r="100" spans="1:5" s="759" customFormat="1" ht="15.6" x14ac:dyDescent="0.25">
      <c r="A100" s="177" t="str">
        <f>inputPrYr!B55</f>
        <v>Enterprise Fund - Waste Water</v>
      </c>
      <c r="B100" s="98">
        <v>1386137</v>
      </c>
      <c r="C100" s="90"/>
      <c r="D100" s="90"/>
      <c r="E100" s="90"/>
    </row>
    <row r="101" spans="1:5" s="759" customFormat="1" ht="15.6" x14ac:dyDescent="0.25">
      <c r="A101" s="177" t="str">
        <f>inputPrYr!B56</f>
        <v>Enterprise Fund - Water</v>
      </c>
      <c r="B101" s="785">
        <v>1718828</v>
      </c>
      <c r="C101" s="90" t="s">
        <v>1015</v>
      </c>
      <c r="D101" s="90"/>
      <c r="E101" s="90"/>
    </row>
    <row r="102" spans="1:5" s="759" customFormat="1" ht="15.6" x14ac:dyDescent="0.25">
      <c r="A102" s="177" t="str">
        <f>inputPrYr!B57</f>
        <v>Non Budgeted Funds</v>
      </c>
      <c r="B102" s="98">
        <v>0</v>
      </c>
      <c r="C102" s="90"/>
      <c r="D102" s="90"/>
      <c r="E102" s="90"/>
    </row>
    <row r="103" spans="1:5" ht="15.6" x14ac:dyDescent="0.25">
      <c r="A103" s="177">
        <f>inputPrYr!B59</f>
        <v>0</v>
      </c>
      <c r="B103" s="98"/>
      <c r="C103" s="90"/>
      <c r="D103" s="90"/>
      <c r="E103" s="90"/>
    </row>
    <row r="104" spans="1:5" ht="15.6" x14ac:dyDescent="0.25">
      <c r="A104" s="177">
        <f>inputPrYr!B60</f>
        <v>0</v>
      </c>
      <c r="B104" s="98"/>
      <c r="C104" s="90"/>
      <c r="D104" s="90"/>
      <c r="E104" s="90"/>
    </row>
    <row r="105" spans="1:5" ht="15.6" x14ac:dyDescent="0.25">
      <c r="A105" s="177">
        <f>inputPrYr!B61</f>
        <v>0</v>
      </c>
      <c r="B105" s="98"/>
      <c r="C105" s="90"/>
      <c r="D105" s="90"/>
      <c r="E105" s="90"/>
    </row>
    <row r="106" spans="1:5" ht="15.6" x14ac:dyDescent="0.25">
      <c r="A106" s="177">
        <f>inputPrYr!B62</f>
        <v>0</v>
      </c>
      <c r="B106" s="98"/>
      <c r="C106" s="90"/>
      <c r="D106" s="90"/>
      <c r="E106" s="90"/>
    </row>
  </sheetData>
  <mergeCells count="19">
    <mergeCell ref="A67:B67"/>
    <mergeCell ref="A34:D34"/>
    <mergeCell ref="A27:D27"/>
    <mergeCell ref="C43:C44"/>
    <mergeCell ref="C68:E68"/>
    <mergeCell ref="B68:B70"/>
    <mergeCell ref="D43:D44"/>
    <mergeCell ref="A64:F64"/>
    <mergeCell ref="E43:E44"/>
    <mergeCell ref="A44:B44"/>
    <mergeCell ref="F7:F9"/>
    <mergeCell ref="A6:F6"/>
    <mergeCell ref="A28:B28"/>
    <mergeCell ref="A16:D16"/>
    <mergeCell ref="A3:E3"/>
    <mergeCell ref="B7:B9"/>
    <mergeCell ref="C7:C9"/>
    <mergeCell ref="D7:D9"/>
    <mergeCell ref="E7:E9"/>
  </mergeCells>
  <phoneticPr fontId="9" type="noConversion"/>
  <pageMargins left="0.75" right="0.75" top="1" bottom="1" header="0.5" footer="0.5"/>
  <pageSetup scale="75" orientation="landscape"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0"/>
  <sheetViews>
    <sheetView workbookViewId="0">
      <selection activeCell="B43" sqref="B43"/>
    </sheetView>
  </sheetViews>
  <sheetFormatPr defaultColWidth="8.9140625" defaultRowHeight="15" x14ac:dyDescent="0.25"/>
  <cols>
    <col min="1" max="1" width="2.4140625" style="127" customWidth="1"/>
    <col min="2" max="2" width="32.5" style="127" customWidth="1"/>
    <col min="3" max="4" width="15.75" style="127" customWidth="1"/>
    <col min="5" max="5" width="15.33203125" style="127" customWidth="1"/>
    <col min="6" max="16384" width="8.9140625" style="127"/>
  </cols>
  <sheetData>
    <row r="1" spans="2:5" ht="15.6" x14ac:dyDescent="0.25">
      <c r="B1" s="235" t="str">
        <f>(inputPrYr!D3)</f>
        <v>City of Bonner Springs</v>
      </c>
      <c r="C1" s="67"/>
      <c r="D1" s="67"/>
      <c r="E1" s="324">
        <f>inputPrYr!$C$10</f>
        <v>2013</v>
      </c>
    </row>
    <row r="2" spans="2:5" ht="15.6" x14ac:dyDescent="0.25">
      <c r="B2" s="67"/>
      <c r="C2" s="67"/>
      <c r="D2" s="67"/>
      <c r="E2" s="209"/>
    </row>
    <row r="3" spans="2:5" ht="15.6" x14ac:dyDescent="0.25">
      <c r="B3" s="325" t="s">
        <v>6</v>
      </c>
      <c r="C3" s="326"/>
      <c r="D3" s="326"/>
      <c r="E3" s="327"/>
    </row>
    <row r="4" spans="2:5" ht="15.6" x14ac:dyDescent="0.25">
      <c r="B4" s="74" t="s">
        <v>283</v>
      </c>
      <c r="C4" s="598" t="s">
        <v>810</v>
      </c>
      <c r="D4" s="599" t="s">
        <v>811</v>
      </c>
      <c r="E4" s="185" t="s">
        <v>812</v>
      </c>
    </row>
    <row r="5" spans="2:5" ht="15.6" x14ac:dyDescent="0.25">
      <c r="B5" s="545" t="str">
        <f>(inputPrYr!B55)</f>
        <v>Enterprise Fund - Waste Water</v>
      </c>
      <c r="C5" s="427" t="str">
        <f>CONCATENATE("Actual for ",E1-2,"")</f>
        <v>Actual for 2011</v>
      </c>
      <c r="D5" s="427" t="str">
        <f>CONCATENATE("Estimate for ",E1-1,"")</f>
        <v>Estimate for 2012</v>
      </c>
      <c r="E5" s="251" t="str">
        <f>CONCATENATE("Year for ",E1,"")</f>
        <v>Year for 2013</v>
      </c>
    </row>
    <row r="6" spans="2:5" ht="15.6" x14ac:dyDescent="0.25">
      <c r="B6" s="148" t="s">
        <v>56</v>
      </c>
      <c r="C6" s="89">
        <v>839276</v>
      </c>
      <c r="D6" s="329">
        <f>C45</f>
        <v>896228</v>
      </c>
      <c r="E6" s="329">
        <f>D45</f>
        <v>828539</v>
      </c>
    </row>
    <row r="7" spans="2:5" ht="15.6" x14ac:dyDescent="0.25">
      <c r="B7" s="330" t="s">
        <v>58</v>
      </c>
      <c r="C7" s="107"/>
      <c r="D7" s="107"/>
      <c r="E7" s="107"/>
    </row>
    <row r="8" spans="2:5" ht="15.6" x14ac:dyDescent="0.25">
      <c r="B8" s="331" t="s">
        <v>1157</v>
      </c>
      <c r="C8" s="89">
        <v>1225969</v>
      </c>
      <c r="D8" s="89">
        <v>1380000</v>
      </c>
      <c r="E8" s="89">
        <v>1450000</v>
      </c>
    </row>
    <row r="9" spans="2:5" ht="15.6" x14ac:dyDescent="0.25">
      <c r="B9" s="331" t="s">
        <v>1227</v>
      </c>
      <c r="C9" s="89">
        <v>52831</v>
      </c>
      <c r="D9" s="89">
        <v>55000</v>
      </c>
      <c r="E9" s="89">
        <v>55000</v>
      </c>
    </row>
    <row r="10" spans="2:5" ht="15.6" x14ac:dyDescent="0.25">
      <c r="B10" s="331" t="s">
        <v>1228</v>
      </c>
      <c r="C10" s="89">
        <v>45225</v>
      </c>
      <c r="D10" s="89">
        <v>35000</v>
      </c>
      <c r="E10" s="89">
        <v>45000</v>
      </c>
    </row>
    <row r="11" spans="2:5" ht="15.6" x14ac:dyDescent="0.25">
      <c r="B11" s="331" t="s">
        <v>1161</v>
      </c>
      <c r="C11" s="89">
        <v>6655</v>
      </c>
      <c r="D11" s="89">
        <v>0</v>
      </c>
      <c r="E11" s="89">
        <v>0</v>
      </c>
    </row>
    <row r="12" spans="2:5" ht="15.6" x14ac:dyDescent="0.25">
      <c r="B12" s="331" t="s">
        <v>1158</v>
      </c>
      <c r="C12" s="89">
        <v>13110</v>
      </c>
      <c r="D12" s="89">
        <v>13000</v>
      </c>
      <c r="E12" s="89">
        <v>13000</v>
      </c>
    </row>
    <row r="13" spans="2:5" s="779" customFormat="1" ht="15.6" x14ac:dyDescent="0.25">
      <c r="B13" s="331" t="s">
        <v>333</v>
      </c>
      <c r="C13" s="89">
        <v>2891</v>
      </c>
      <c r="D13" s="89">
        <v>2500</v>
      </c>
      <c r="E13" s="89">
        <v>2500</v>
      </c>
    </row>
    <row r="14" spans="2:5" s="779" customFormat="1" ht="15.6" x14ac:dyDescent="0.25">
      <c r="B14" s="331" t="s">
        <v>1162</v>
      </c>
      <c r="C14" s="89">
        <v>7388</v>
      </c>
      <c r="D14" s="89">
        <v>12500</v>
      </c>
      <c r="E14" s="89">
        <v>12500</v>
      </c>
    </row>
    <row r="15" spans="2:5" s="779" customFormat="1" ht="15.6" x14ac:dyDescent="0.25">
      <c r="B15" s="331" t="s">
        <v>1037</v>
      </c>
      <c r="C15" s="89">
        <v>1076</v>
      </c>
      <c r="D15" s="89">
        <v>9052</v>
      </c>
      <c r="E15" s="89">
        <v>0</v>
      </c>
    </row>
    <row r="16" spans="2:5" s="779" customFormat="1" ht="15.6" x14ac:dyDescent="0.25">
      <c r="B16" s="331" t="s">
        <v>1163</v>
      </c>
      <c r="C16" s="89">
        <v>2364</v>
      </c>
      <c r="D16" s="89">
        <v>1102</v>
      </c>
      <c r="E16" s="89">
        <v>0</v>
      </c>
    </row>
    <row r="17" spans="2:5" ht="15.6" x14ac:dyDescent="0.25">
      <c r="B17" s="331" t="s">
        <v>1115</v>
      </c>
      <c r="C17" s="89">
        <v>385</v>
      </c>
      <c r="D17" s="89">
        <v>0</v>
      </c>
      <c r="E17" s="89">
        <v>0</v>
      </c>
    </row>
    <row r="18" spans="2:5" ht="15.6" x14ac:dyDescent="0.25">
      <c r="B18" s="333"/>
      <c r="C18" s="98"/>
      <c r="D18" s="98"/>
      <c r="E18" s="98"/>
    </row>
    <row r="19" spans="2:5" ht="15.6" x14ac:dyDescent="0.25">
      <c r="B19" s="331"/>
      <c r="C19" s="89"/>
      <c r="D19" s="89"/>
      <c r="E19" s="89"/>
    </row>
    <row r="20" spans="2:5" ht="15.6" x14ac:dyDescent="0.25">
      <c r="B20" s="334" t="s">
        <v>261</v>
      </c>
      <c r="C20" s="89"/>
      <c r="D20" s="89"/>
      <c r="E20" s="89"/>
    </row>
    <row r="21" spans="2:5" ht="15.6" x14ac:dyDescent="0.25">
      <c r="B21" s="335" t="s">
        <v>183</v>
      </c>
      <c r="C21" s="89"/>
      <c r="D21" s="328"/>
      <c r="E21" s="328"/>
    </row>
    <row r="22" spans="2:5" ht="15.6" x14ac:dyDescent="0.25">
      <c r="B22" s="335" t="s">
        <v>672</v>
      </c>
      <c r="C22" s="533" t="str">
        <f>IF(C23*0.1&lt;C21,"Exceed 10% Rule","")</f>
        <v/>
      </c>
      <c r="D22" s="336" t="str">
        <f>IF(D23*0.1&lt;D21,"Exceed 10% Rule","")</f>
        <v/>
      </c>
      <c r="E22" s="336" t="str">
        <f>IF(E23*0.1&lt;E21,"Exceed 10% Rule","")</f>
        <v/>
      </c>
    </row>
    <row r="23" spans="2:5" ht="15.6" x14ac:dyDescent="0.25">
      <c r="B23" s="337" t="s">
        <v>289</v>
      </c>
      <c r="C23" s="339">
        <f>SUM(C8:C21)</f>
        <v>1357894</v>
      </c>
      <c r="D23" s="339">
        <f>SUM(D8:D21)</f>
        <v>1508154</v>
      </c>
      <c r="E23" s="339">
        <f>SUM(E8:E21)</f>
        <v>1578000</v>
      </c>
    </row>
    <row r="24" spans="2:5" ht="15.6" x14ac:dyDescent="0.25">
      <c r="B24" s="337" t="s">
        <v>290</v>
      </c>
      <c r="C24" s="339">
        <f>C6+C23</f>
        <v>2197170</v>
      </c>
      <c r="D24" s="339">
        <f>D6+D23</f>
        <v>2404382</v>
      </c>
      <c r="E24" s="339">
        <f>E6+E23</f>
        <v>2406539</v>
      </c>
    </row>
    <row r="25" spans="2:5" ht="15.6" x14ac:dyDescent="0.25">
      <c r="B25" s="148" t="s">
        <v>292</v>
      </c>
      <c r="C25" s="107"/>
      <c r="D25" s="107"/>
      <c r="E25" s="107"/>
    </row>
    <row r="26" spans="2:5" ht="15.6" x14ac:dyDescent="0.25">
      <c r="B26" s="331" t="s">
        <v>1113</v>
      </c>
      <c r="C26" s="89">
        <v>263198</v>
      </c>
      <c r="D26" s="89">
        <v>293781</v>
      </c>
      <c r="E26" s="89">
        <v>304115</v>
      </c>
    </row>
    <row r="27" spans="2:5" ht="15.6" x14ac:dyDescent="0.25">
      <c r="B27" s="331" t="s">
        <v>1106</v>
      </c>
      <c r="C27" s="89">
        <v>379127</v>
      </c>
      <c r="D27" s="89">
        <v>383724</v>
      </c>
      <c r="E27" s="89">
        <v>377452</v>
      </c>
    </row>
    <row r="28" spans="2:5" ht="15.6" x14ac:dyDescent="0.25">
      <c r="B28" s="331" t="s">
        <v>1107</v>
      </c>
      <c r="C28" s="98">
        <v>43771</v>
      </c>
      <c r="D28" s="98">
        <v>47200</v>
      </c>
      <c r="E28" s="98">
        <v>46600</v>
      </c>
    </row>
    <row r="29" spans="2:5" ht="15.6" x14ac:dyDescent="0.25">
      <c r="B29" s="331" t="s">
        <v>1114</v>
      </c>
      <c r="C29" s="98">
        <v>39145</v>
      </c>
      <c r="D29" s="98">
        <v>279000</v>
      </c>
      <c r="E29" s="98">
        <v>183000</v>
      </c>
    </row>
    <row r="30" spans="2:5" ht="15.6" x14ac:dyDescent="0.25">
      <c r="B30" s="331" t="s">
        <v>1164</v>
      </c>
      <c r="C30" s="98">
        <v>544466</v>
      </c>
      <c r="D30" s="98">
        <v>543123</v>
      </c>
      <c r="E30" s="98">
        <v>537319</v>
      </c>
    </row>
    <row r="31" spans="2:5" ht="15.6" x14ac:dyDescent="0.25">
      <c r="B31" s="331" t="s">
        <v>1165</v>
      </c>
      <c r="C31" s="98">
        <v>0</v>
      </c>
      <c r="D31" s="98">
        <v>0</v>
      </c>
      <c r="E31" s="98">
        <v>1200</v>
      </c>
    </row>
    <row r="32" spans="2:5" ht="15.6" x14ac:dyDescent="0.25">
      <c r="B32" s="331" t="s">
        <v>1166</v>
      </c>
      <c r="C32" s="98">
        <v>31235</v>
      </c>
      <c r="D32" s="98">
        <v>29015</v>
      </c>
      <c r="E32" s="98">
        <v>32033</v>
      </c>
    </row>
    <row r="33" spans="2:5" ht="15.6" x14ac:dyDescent="0.25">
      <c r="B33" s="331"/>
      <c r="C33" s="98"/>
      <c r="D33" s="98"/>
      <c r="E33" s="98"/>
    </row>
    <row r="34" spans="2:5" ht="15.6" x14ac:dyDescent="0.25">
      <c r="B34" s="331"/>
      <c r="C34" s="98"/>
      <c r="D34" s="98"/>
      <c r="E34" s="98"/>
    </row>
    <row r="35" spans="2:5" ht="15.6" x14ac:dyDescent="0.25">
      <c r="B35" s="331"/>
      <c r="C35" s="98"/>
      <c r="D35" s="98"/>
      <c r="E35" s="98"/>
    </row>
    <row r="36" spans="2:5" ht="15.6" x14ac:dyDescent="0.25">
      <c r="B36" s="331"/>
      <c r="C36" s="98"/>
      <c r="D36" s="98"/>
      <c r="E36" s="98"/>
    </row>
    <row r="37" spans="2:5" ht="15.6" x14ac:dyDescent="0.25">
      <c r="B37" s="331"/>
      <c r="C37" s="89"/>
      <c r="D37" s="89"/>
      <c r="E37" s="89"/>
    </row>
    <row r="38" spans="2:5" ht="15.6" x14ac:dyDescent="0.25">
      <c r="B38" s="331"/>
      <c r="C38" s="89"/>
      <c r="D38" s="89"/>
      <c r="E38" s="89"/>
    </row>
    <row r="39" spans="2:5" ht="15.6" x14ac:dyDescent="0.25">
      <c r="B39" s="331"/>
      <c r="C39" s="89"/>
      <c r="D39" s="89"/>
      <c r="E39" s="89"/>
    </row>
    <row r="40" spans="2:5" ht="15.6" x14ac:dyDescent="0.25">
      <c r="B40" s="331"/>
      <c r="C40" s="89"/>
      <c r="D40" s="89"/>
      <c r="E40" s="89"/>
    </row>
    <row r="41" spans="2:5" ht="15.6" x14ac:dyDescent="0.25">
      <c r="B41" s="331"/>
      <c r="C41" s="89"/>
      <c r="D41" s="89"/>
      <c r="E41" s="89"/>
    </row>
    <row r="42" spans="2:5" ht="15.6" x14ac:dyDescent="0.25">
      <c r="B42" s="335" t="s">
        <v>183</v>
      </c>
      <c r="C42" s="89"/>
      <c r="D42" s="328"/>
      <c r="E42" s="328"/>
    </row>
    <row r="43" spans="2:5" ht="15.6" x14ac:dyDescent="0.25">
      <c r="B43" s="335" t="s">
        <v>671</v>
      </c>
      <c r="C43" s="533" t="str">
        <f>IF(C44*0.1&lt;C42,"Exceed 10% Rule","")</f>
        <v/>
      </c>
      <c r="D43" s="336" t="str">
        <f>IF(D44*0.1&lt;D42,"Exceed 10% Rule","")</f>
        <v/>
      </c>
      <c r="E43" s="336" t="str">
        <f>IF(E44*0.1&lt;E42,"Exceed 10% Rule","")</f>
        <v/>
      </c>
    </row>
    <row r="44" spans="2:5" ht="15.6" x14ac:dyDescent="0.25">
      <c r="B44" s="337" t="s">
        <v>296</v>
      </c>
      <c r="C44" s="339">
        <f>SUM(C26:C42)</f>
        <v>1300942</v>
      </c>
      <c r="D44" s="339">
        <f>SUM(D26:D42)</f>
        <v>1575843</v>
      </c>
      <c r="E44" s="339">
        <f>SUM(E26:E42)</f>
        <v>1481719</v>
      </c>
    </row>
    <row r="45" spans="2:5" ht="15.6" x14ac:dyDescent="0.25">
      <c r="B45" s="148" t="s">
        <v>57</v>
      </c>
      <c r="C45" s="102">
        <f>C24-C44</f>
        <v>896228</v>
      </c>
      <c r="D45" s="102">
        <f>D24-D44</f>
        <v>828539</v>
      </c>
      <c r="E45" s="102">
        <f>E24-E44</f>
        <v>924820</v>
      </c>
    </row>
    <row r="46" spans="2:5" ht="15.6" x14ac:dyDescent="0.25">
      <c r="B46" s="178" t="str">
        <f>CONCATENATE("",E1-2,"/",E1-1," Budget Authority Amount:")</f>
        <v>2011/2012 Budget Authority Amount:</v>
      </c>
      <c r="C46" s="286">
        <f>inputOth!B100</f>
        <v>1386137</v>
      </c>
      <c r="D46" s="286">
        <f>inputPrYr!D55</f>
        <v>1575843</v>
      </c>
      <c r="E46" s="532" t="str">
        <f>IF(E45&lt;0,"See Tab E","")</f>
        <v/>
      </c>
    </row>
    <row r="47" spans="2:5" ht="15.6" x14ac:dyDescent="0.25">
      <c r="B47" s="178"/>
      <c r="C47" s="341" t="str">
        <f>IF(C44&gt;C46,"See Tab A","")</f>
        <v/>
      </c>
      <c r="D47" s="341" t="str">
        <f>IF(D44&gt;D46,"See Tab C","")</f>
        <v/>
      </c>
      <c r="E47" s="90"/>
    </row>
    <row r="48" spans="2:5" ht="15.6" x14ac:dyDescent="0.25">
      <c r="B48" s="178"/>
      <c r="C48" s="341" t="str">
        <f>IF(C45&lt;0,"See Tab B","")</f>
        <v/>
      </c>
      <c r="D48" s="341" t="str">
        <f>IF(D45&lt;0,"See Tab D","")</f>
        <v/>
      </c>
      <c r="E48" s="90"/>
    </row>
    <row r="49" spans="2:5" x14ac:dyDescent="0.25">
      <c r="B49" s="90"/>
      <c r="C49" s="90"/>
      <c r="D49" s="90"/>
      <c r="E49" s="90"/>
    </row>
    <row r="50" spans="2:5" ht="15.6" x14ac:dyDescent="0.25">
      <c r="B50" s="178" t="s">
        <v>299</v>
      </c>
      <c r="C50" s="280">
        <v>24</v>
      </c>
      <c r="D50" s="90"/>
      <c r="E50" s="90"/>
    </row>
  </sheetData>
  <phoneticPr fontId="9" type="noConversion"/>
  <conditionalFormatting sqref="C21">
    <cfRule type="cellIs" dxfId="20" priority="3" stopIfTrue="1" operator="greaterThan">
      <formula>$C$23*0.1</formula>
    </cfRule>
  </conditionalFormatting>
  <conditionalFormatting sqref="D21">
    <cfRule type="cellIs" dxfId="19" priority="4" stopIfTrue="1" operator="greaterThan">
      <formula>$D$23*0.1</formula>
    </cfRule>
  </conditionalFormatting>
  <conditionalFormatting sqref="E21">
    <cfRule type="cellIs" dxfId="18" priority="5" stopIfTrue="1" operator="greaterThan">
      <formula>$E$23*0.1</formula>
    </cfRule>
  </conditionalFormatting>
  <conditionalFormatting sqref="C42">
    <cfRule type="cellIs" dxfId="17" priority="6" stopIfTrue="1" operator="greaterThan">
      <formula>$C$44*0.1</formula>
    </cfRule>
  </conditionalFormatting>
  <conditionalFormatting sqref="D42">
    <cfRule type="cellIs" dxfId="16" priority="7" stopIfTrue="1" operator="greaterThan">
      <formula>$D$44*0.1</formula>
    </cfRule>
  </conditionalFormatting>
  <conditionalFormatting sqref="E42">
    <cfRule type="cellIs" dxfId="15" priority="8" stopIfTrue="1" operator="greaterThan">
      <formula>$E$44*0.1</formula>
    </cfRule>
  </conditionalFormatting>
  <conditionalFormatting sqref="E45 C45">
    <cfRule type="cellIs" dxfId="14" priority="9" stopIfTrue="1" operator="lessThan">
      <formula>0</formula>
    </cfRule>
  </conditionalFormatting>
  <conditionalFormatting sqref="C44">
    <cfRule type="cellIs" dxfId="13" priority="10" stopIfTrue="1" operator="greaterThan">
      <formula>$C$46</formula>
    </cfRule>
  </conditionalFormatting>
  <conditionalFormatting sqref="D44">
    <cfRule type="cellIs" dxfId="12" priority="11" stopIfTrue="1" operator="greaterThan">
      <formula>$D$46</formula>
    </cfRule>
  </conditionalFormatting>
  <conditionalFormatting sqref="D45">
    <cfRule type="cellIs" dxfId="11" priority="1" stopIfTrue="1" operator="lessThan">
      <formula>0</formula>
    </cfRule>
    <cfRule type="cellIs" dxfId="10" priority="2" stopIfTrue="1" operator="lessThan">
      <formula>0</formula>
    </cfRule>
  </conditionalFormatting>
  <pageMargins left="0.75" right="0.75" top="1" bottom="1" header="0.5" footer="0.5"/>
  <pageSetup scale="79" orientation="portrait" blackAndWhite="1"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48"/>
  <sheetViews>
    <sheetView topLeftCell="A33" workbookViewId="0">
      <selection activeCell="B41" sqref="B41"/>
    </sheetView>
  </sheetViews>
  <sheetFormatPr defaultColWidth="8.9140625" defaultRowHeight="15" x14ac:dyDescent="0.25"/>
  <cols>
    <col min="1" max="1" width="2.4140625" style="127" customWidth="1"/>
    <col min="2" max="2" width="31.08203125" style="127" customWidth="1"/>
    <col min="3" max="4" width="15.75" style="127" customWidth="1"/>
    <col min="5" max="5" width="16.08203125" style="127" customWidth="1"/>
    <col min="6" max="16384" width="8.9140625" style="127"/>
  </cols>
  <sheetData>
    <row r="1" spans="2:5" ht="15.6" x14ac:dyDescent="0.25">
      <c r="B1" s="235" t="str">
        <f>(inputPrYr!D3)</f>
        <v>City of Bonner Springs</v>
      </c>
      <c r="C1" s="67"/>
      <c r="D1" s="67"/>
      <c r="E1" s="324">
        <f>inputPrYr!$C$10</f>
        <v>2013</v>
      </c>
    </row>
    <row r="2" spans="2:5" ht="15.6" x14ac:dyDescent="0.25">
      <c r="B2" s="67"/>
      <c r="C2" s="67"/>
      <c r="D2" s="67"/>
      <c r="E2" s="209"/>
    </row>
    <row r="3" spans="2:5" ht="15.6" x14ac:dyDescent="0.25">
      <c r="B3" s="325" t="s">
        <v>6</v>
      </c>
      <c r="C3" s="326"/>
      <c r="D3" s="326"/>
      <c r="E3" s="327"/>
    </row>
    <row r="4" spans="2:5" ht="15.6" x14ac:dyDescent="0.25">
      <c r="B4" s="74" t="s">
        <v>283</v>
      </c>
      <c r="C4" s="598" t="s">
        <v>810</v>
      </c>
      <c r="D4" s="599" t="s">
        <v>811</v>
      </c>
      <c r="E4" s="185" t="s">
        <v>812</v>
      </c>
    </row>
    <row r="5" spans="2:5" ht="15.6" x14ac:dyDescent="0.25">
      <c r="B5" s="545" t="str">
        <f>(inputPrYr!B56)</f>
        <v>Enterprise Fund - Water</v>
      </c>
      <c r="C5" s="427" t="str">
        <f>CONCATENATE("Actual for ",E1-2,"")</f>
        <v>Actual for 2011</v>
      </c>
      <c r="D5" s="427" t="str">
        <f>CONCATENATE("Estimate for ",E1-1,"")</f>
        <v>Estimate for 2012</v>
      </c>
      <c r="E5" s="251" t="str">
        <f>CONCATENATE("Year for ",E1,"")</f>
        <v>Year for 2013</v>
      </c>
    </row>
    <row r="6" spans="2:5" ht="15.6" x14ac:dyDescent="0.25">
      <c r="B6" s="148" t="s">
        <v>56</v>
      </c>
      <c r="C6" s="89">
        <v>1337605</v>
      </c>
      <c r="D6" s="329">
        <f>C43</f>
        <v>1419472</v>
      </c>
      <c r="E6" s="329">
        <f>D43</f>
        <v>1286952</v>
      </c>
    </row>
    <row r="7" spans="2:5" ht="15.6" x14ac:dyDescent="0.25">
      <c r="B7" s="330" t="s">
        <v>58</v>
      </c>
      <c r="C7" s="107"/>
      <c r="D7" s="107"/>
      <c r="E7" s="107"/>
    </row>
    <row r="8" spans="2:5" ht="15.6" x14ac:dyDescent="0.25">
      <c r="B8" s="331" t="s">
        <v>1157</v>
      </c>
      <c r="C8" s="89">
        <v>1581625</v>
      </c>
      <c r="D8" s="89">
        <v>1600000</v>
      </c>
      <c r="E8" s="89">
        <v>1680000</v>
      </c>
    </row>
    <row r="9" spans="2:5" ht="15.6" x14ac:dyDescent="0.25">
      <c r="B9" s="331" t="s">
        <v>1158</v>
      </c>
      <c r="C9" s="89">
        <v>15464</v>
      </c>
      <c r="D9" s="89">
        <v>15000</v>
      </c>
      <c r="E9" s="89">
        <v>15000</v>
      </c>
    </row>
    <row r="10" spans="2:5" ht="15.6" x14ac:dyDescent="0.25">
      <c r="B10" s="331" t="s">
        <v>1167</v>
      </c>
      <c r="C10" s="89">
        <v>725</v>
      </c>
      <c r="D10" s="89">
        <v>500</v>
      </c>
      <c r="E10" s="89">
        <v>500</v>
      </c>
    </row>
    <row r="11" spans="2:5" ht="15.6" x14ac:dyDescent="0.25">
      <c r="B11" s="331" t="s">
        <v>1169</v>
      </c>
      <c r="C11" s="89">
        <v>43160</v>
      </c>
      <c r="D11" s="89">
        <v>40000</v>
      </c>
      <c r="E11" s="89">
        <v>45000</v>
      </c>
    </row>
    <row r="12" spans="2:5" ht="15.6" x14ac:dyDescent="0.25">
      <c r="B12" s="331" t="s">
        <v>1168</v>
      </c>
      <c r="C12" s="89">
        <v>32880</v>
      </c>
      <c r="D12" s="89">
        <v>25000</v>
      </c>
      <c r="E12" s="89">
        <v>35000</v>
      </c>
    </row>
    <row r="13" spans="2:5" ht="15.6" x14ac:dyDescent="0.25">
      <c r="B13" s="331" t="s">
        <v>333</v>
      </c>
      <c r="C13" s="89">
        <v>4775</v>
      </c>
      <c r="D13" s="89">
        <v>4100</v>
      </c>
      <c r="E13" s="89">
        <v>4100</v>
      </c>
    </row>
    <row r="14" spans="2:5" ht="15.6" x14ac:dyDescent="0.25">
      <c r="B14" s="333" t="s">
        <v>1037</v>
      </c>
      <c r="C14" s="98">
        <v>2935</v>
      </c>
      <c r="D14" s="98">
        <v>10239</v>
      </c>
      <c r="E14" s="98">
        <v>600</v>
      </c>
    </row>
    <row r="15" spans="2:5" ht="15.6" x14ac:dyDescent="0.25">
      <c r="B15" s="331" t="s">
        <v>1115</v>
      </c>
      <c r="C15" s="89">
        <v>1797</v>
      </c>
      <c r="D15" s="89">
        <v>50</v>
      </c>
      <c r="E15" s="89">
        <v>0</v>
      </c>
    </row>
    <row r="16" spans="2:5" s="779" customFormat="1" ht="15.6" x14ac:dyDescent="0.25">
      <c r="B16" s="331" t="s">
        <v>1170</v>
      </c>
      <c r="C16" s="89">
        <v>724</v>
      </c>
      <c r="D16" s="89">
        <v>0</v>
      </c>
      <c r="E16" s="89">
        <v>0</v>
      </c>
    </row>
    <row r="17" spans="2:5" ht="15.6" x14ac:dyDescent="0.25">
      <c r="B17" s="334" t="s">
        <v>1171</v>
      </c>
      <c r="C17" s="89">
        <v>64251</v>
      </c>
      <c r="D17" s="89">
        <v>0</v>
      </c>
      <c r="E17" s="89">
        <v>0</v>
      </c>
    </row>
    <row r="18" spans="2:5" ht="15.6" x14ac:dyDescent="0.25">
      <c r="B18" s="335" t="s">
        <v>183</v>
      </c>
      <c r="C18" s="89"/>
      <c r="D18" s="328"/>
      <c r="E18" s="328"/>
    </row>
    <row r="19" spans="2:5" ht="15.6" x14ac:dyDescent="0.25">
      <c r="B19" s="335" t="s">
        <v>672</v>
      </c>
      <c r="C19" s="533" t="str">
        <f>IF(C20*0.1&lt;C18,"Exceed 10% Rule","")</f>
        <v/>
      </c>
      <c r="D19" s="336" t="str">
        <f>IF(D20*0.1&lt;D18,"Exceed 10% Rule","")</f>
        <v/>
      </c>
      <c r="E19" s="336" t="str">
        <f>IF(E20*0.1&lt;E18,"Exceed 10% Rule","")</f>
        <v/>
      </c>
    </row>
    <row r="20" spans="2:5" ht="15.6" x14ac:dyDescent="0.25">
      <c r="B20" s="337" t="s">
        <v>289</v>
      </c>
      <c r="C20" s="339">
        <f>SUM(C8:C18)</f>
        <v>1748336</v>
      </c>
      <c r="D20" s="339">
        <f>SUM(D8:D18)</f>
        <v>1694889</v>
      </c>
      <c r="E20" s="339">
        <f>SUM(E8:E18)</f>
        <v>1780200</v>
      </c>
    </row>
    <row r="21" spans="2:5" ht="15.6" x14ac:dyDescent="0.25">
      <c r="B21" s="337" t="s">
        <v>290</v>
      </c>
      <c r="C21" s="339">
        <f>C6+C20</f>
        <v>3085941</v>
      </c>
      <c r="D21" s="339">
        <f>D6+D20</f>
        <v>3114361</v>
      </c>
      <c r="E21" s="339">
        <f>E6+E20</f>
        <v>3067152</v>
      </c>
    </row>
    <row r="22" spans="2:5" ht="15.6" x14ac:dyDescent="0.25">
      <c r="B22" s="148" t="s">
        <v>292</v>
      </c>
      <c r="C22" s="107"/>
      <c r="D22" s="107"/>
      <c r="E22" s="107"/>
    </row>
    <row r="23" spans="2:5" ht="15.6" x14ac:dyDescent="0.25">
      <c r="B23" s="331" t="s">
        <v>1113</v>
      </c>
      <c r="C23" s="89">
        <v>522347</v>
      </c>
      <c r="D23" s="89">
        <v>519418</v>
      </c>
      <c r="E23" s="89">
        <v>520042</v>
      </c>
    </row>
    <row r="24" spans="2:5" ht="15.6" x14ac:dyDescent="0.25">
      <c r="B24" s="331" t="s">
        <v>1106</v>
      </c>
      <c r="C24" s="89">
        <v>312354</v>
      </c>
      <c r="D24" s="89">
        <v>255114</v>
      </c>
      <c r="E24" s="89">
        <v>286838</v>
      </c>
    </row>
    <row r="25" spans="2:5" ht="15.6" x14ac:dyDescent="0.25">
      <c r="B25" s="331" t="s">
        <v>1107</v>
      </c>
      <c r="C25" s="98">
        <v>269465</v>
      </c>
      <c r="D25" s="98">
        <v>248300</v>
      </c>
      <c r="E25" s="98">
        <v>217500</v>
      </c>
    </row>
    <row r="26" spans="2:5" ht="15.6" x14ac:dyDescent="0.25">
      <c r="B26" s="331" t="s">
        <v>1114</v>
      </c>
      <c r="C26" s="98">
        <v>66191</v>
      </c>
      <c r="D26" s="98">
        <v>398500</v>
      </c>
      <c r="E26" s="98">
        <v>202000</v>
      </c>
    </row>
    <row r="27" spans="2:5" ht="15.6" x14ac:dyDescent="0.25">
      <c r="B27" s="331" t="s">
        <v>1172</v>
      </c>
      <c r="C27" s="98">
        <v>83575</v>
      </c>
      <c r="D27" s="98">
        <v>0</v>
      </c>
      <c r="E27" s="98">
        <v>0</v>
      </c>
    </row>
    <row r="28" spans="2:5" ht="15.6" x14ac:dyDescent="0.25">
      <c r="B28" s="331" t="s">
        <v>1173</v>
      </c>
      <c r="C28" s="98">
        <v>318827</v>
      </c>
      <c r="D28" s="98">
        <v>319032</v>
      </c>
      <c r="E28" s="98">
        <v>342001</v>
      </c>
    </row>
    <row r="29" spans="2:5" ht="15.6" x14ac:dyDescent="0.25">
      <c r="B29" s="331" t="s">
        <v>1165</v>
      </c>
      <c r="C29" s="98">
        <v>0</v>
      </c>
      <c r="D29" s="98">
        <v>0</v>
      </c>
      <c r="E29" s="98">
        <v>560</v>
      </c>
    </row>
    <row r="30" spans="2:5" ht="15.6" x14ac:dyDescent="0.25">
      <c r="B30" s="331" t="s">
        <v>1166</v>
      </c>
      <c r="C30" s="98">
        <v>93710</v>
      </c>
      <c r="D30" s="98">
        <v>87045</v>
      </c>
      <c r="E30" s="98">
        <v>96100</v>
      </c>
    </row>
    <row r="31" spans="2:5" ht="15.6" x14ac:dyDescent="0.25">
      <c r="B31" s="331"/>
      <c r="C31" s="98"/>
      <c r="D31" s="98"/>
      <c r="E31" s="98"/>
    </row>
    <row r="32" spans="2:5" ht="15.6" x14ac:dyDescent="0.25">
      <c r="B32" s="331"/>
      <c r="C32" s="98"/>
      <c r="D32" s="98"/>
      <c r="E32" s="98"/>
    </row>
    <row r="33" spans="2:5" ht="15.6" x14ac:dyDescent="0.25">
      <c r="B33" s="331"/>
      <c r="C33" s="98"/>
      <c r="D33" s="98"/>
      <c r="E33" s="98"/>
    </row>
    <row r="34" spans="2:5" ht="15.6" x14ac:dyDescent="0.25">
      <c r="B34" s="331"/>
      <c r="C34" s="98"/>
      <c r="D34" s="98"/>
      <c r="E34" s="98"/>
    </row>
    <row r="35" spans="2:5" ht="15.6" x14ac:dyDescent="0.25">
      <c r="B35" s="331"/>
      <c r="C35" s="89"/>
      <c r="D35" s="89"/>
      <c r="E35" s="89"/>
    </row>
    <row r="36" spans="2:5" ht="15.6" x14ac:dyDescent="0.25">
      <c r="B36" s="331"/>
      <c r="C36" s="89"/>
      <c r="D36" s="89"/>
      <c r="E36" s="89"/>
    </row>
    <row r="37" spans="2:5" ht="15.6" x14ac:dyDescent="0.25">
      <c r="B37" s="331"/>
      <c r="C37" s="89"/>
      <c r="D37" s="89"/>
      <c r="E37" s="89"/>
    </row>
    <row r="38" spans="2:5" ht="15.6" x14ac:dyDescent="0.25">
      <c r="B38" s="331"/>
      <c r="C38" s="89"/>
      <c r="D38" s="89"/>
      <c r="E38" s="89"/>
    </row>
    <row r="39" spans="2:5" ht="15.6" x14ac:dyDescent="0.25">
      <c r="B39" s="331"/>
      <c r="C39" s="89"/>
      <c r="D39" s="89"/>
      <c r="E39" s="89"/>
    </row>
    <row r="40" spans="2:5" ht="15.6" x14ac:dyDescent="0.25">
      <c r="B40" s="335" t="s">
        <v>183</v>
      </c>
      <c r="C40" s="89"/>
      <c r="D40" s="328"/>
      <c r="E40" s="328"/>
    </row>
    <row r="41" spans="2:5" ht="15.6" x14ac:dyDescent="0.25">
      <c r="B41" s="335" t="s">
        <v>671</v>
      </c>
      <c r="C41" s="533" t="str">
        <f>IF(C42*0.1&lt;C40,"Exceed 10% Rule","")</f>
        <v/>
      </c>
      <c r="D41" s="336" t="str">
        <f>IF(D42*0.1&lt;D40,"Exceed 10% Rule","")</f>
        <v/>
      </c>
      <c r="E41" s="336" t="str">
        <f>IF(E42*0.1&lt;E40,"Exceed 10% Rule","")</f>
        <v/>
      </c>
    </row>
    <row r="42" spans="2:5" ht="15.6" x14ac:dyDescent="0.25">
      <c r="B42" s="337" t="s">
        <v>296</v>
      </c>
      <c r="C42" s="339">
        <f>SUM(C23:C40)</f>
        <v>1666469</v>
      </c>
      <c r="D42" s="339">
        <f>SUM(D23:D40)</f>
        <v>1827409</v>
      </c>
      <c r="E42" s="339">
        <f>SUM(E23:E40)</f>
        <v>1665041</v>
      </c>
    </row>
    <row r="43" spans="2:5" ht="15.6" x14ac:dyDescent="0.25">
      <c r="B43" s="148" t="s">
        <v>57</v>
      </c>
      <c r="C43" s="102">
        <f>C21-C42</f>
        <v>1419472</v>
      </c>
      <c r="D43" s="102">
        <f>D21-D42</f>
        <v>1286952</v>
      </c>
      <c r="E43" s="102">
        <f>E21-E42</f>
        <v>1402111</v>
      </c>
    </row>
    <row r="44" spans="2:5" ht="15.6" x14ac:dyDescent="0.25">
      <c r="B44" s="178" t="str">
        <f>CONCATENATE("",E1-2,"/",E1-1," Budget Authority Amount:")</f>
        <v>2011/2012 Budget Authority Amount:</v>
      </c>
      <c r="C44" s="286">
        <f>inputOth!B101</f>
        <v>1718828</v>
      </c>
      <c r="D44" s="286">
        <f>inputPrYr!D56</f>
        <v>1827409</v>
      </c>
      <c r="E44" s="532" t="str">
        <f>IF(E43&lt;0,"See Tab E","")</f>
        <v/>
      </c>
    </row>
    <row r="45" spans="2:5" ht="15.6" x14ac:dyDescent="0.25">
      <c r="B45" s="178"/>
      <c r="C45" s="341" t="str">
        <f>IF(C42&gt;C44,"See Tab A","")</f>
        <v/>
      </c>
      <c r="D45" s="341" t="str">
        <f>IF(D42&gt;D44,"See Tab C","")</f>
        <v/>
      </c>
      <c r="E45" s="90"/>
    </row>
    <row r="46" spans="2:5" ht="15.6" x14ac:dyDescent="0.25">
      <c r="B46" s="178"/>
      <c r="C46" s="341" t="str">
        <f>IF(C43&lt;0,"See Tab B","")</f>
        <v/>
      </c>
      <c r="D46" s="341" t="str">
        <f>IF(D43&lt;0,"See Tab D","")</f>
        <v/>
      </c>
      <c r="E46" s="90"/>
    </row>
    <row r="47" spans="2:5" x14ac:dyDescent="0.25">
      <c r="B47" s="90"/>
      <c r="C47" s="90"/>
      <c r="D47" s="90"/>
      <c r="E47" s="90"/>
    </row>
    <row r="48" spans="2:5" ht="15.6" x14ac:dyDescent="0.25">
      <c r="B48" s="178" t="s">
        <v>299</v>
      </c>
      <c r="C48" s="280">
        <v>25</v>
      </c>
      <c r="D48" s="90"/>
      <c r="E48" s="90"/>
    </row>
  </sheetData>
  <phoneticPr fontId="9" type="noConversion"/>
  <conditionalFormatting sqref="C18">
    <cfRule type="cellIs" dxfId="9" priority="2" stopIfTrue="1" operator="greaterThan">
      <formula>$C$20*0.1</formula>
    </cfRule>
  </conditionalFormatting>
  <conditionalFormatting sqref="D18">
    <cfRule type="cellIs" dxfId="8" priority="3" stopIfTrue="1" operator="greaterThan">
      <formula>$D$20*0.1</formula>
    </cfRule>
  </conditionalFormatting>
  <conditionalFormatting sqref="E18">
    <cfRule type="cellIs" dxfId="7" priority="4" stopIfTrue="1" operator="greaterThan">
      <formula>$E$20*0.1</formula>
    </cfRule>
  </conditionalFormatting>
  <conditionalFormatting sqref="C40">
    <cfRule type="cellIs" dxfId="6" priority="5" stopIfTrue="1" operator="greaterThan">
      <formula>$C$42*0.1</formula>
    </cfRule>
  </conditionalFormatting>
  <conditionalFormatting sqref="D40">
    <cfRule type="cellIs" dxfId="5" priority="6" stopIfTrue="1" operator="greaterThan">
      <formula>$D$42*0.1</formula>
    </cfRule>
  </conditionalFormatting>
  <conditionalFormatting sqref="E40">
    <cfRule type="cellIs" dxfId="4" priority="7" stopIfTrue="1" operator="greaterThan">
      <formula>$E$42*0.1</formula>
    </cfRule>
  </conditionalFormatting>
  <conditionalFormatting sqref="E43 C43">
    <cfRule type="cellIs" dxfId="3" priority="8" stopIfTrue="1" operator="lessThan">
      <formula>0</formula>
    </cfRule>
  </conditionalFormatting>
  <conditionalFormatting sqref="C42">
    <cfRule type="cellIs" dxfId="2" priority="9" stopIfTrue="1" operator="greaterThan">
      <formula>$C$44</formula>
    </cfRule>
  </conditionalFormatting>
  <conditionalFormatting sqref="D42">
    <cfRule type="cellIs" dxfId="1" priority="10" stopIfTrue="1" operator="greaterThan">
      <formula>$D$44</formula>
    </cfRule>
  </conditionalFormatting>
  <conditionalFormatting sqref="D43">
    <cfRule type="cellIs" dxfId="0" priority="1" stopIfTrue="1" operator="lessThan">
      <formula>0</formula>
    </cfRule>
  </conditionalFormatting>
  <pageMargins left="0.75" right="0.75" top="1" bottom="1" header="0.5" footer="0.5"/>
  <pageSetup scale="83" orientation="portrait" blackAndWhite="1"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5" sqref="C5:D5"/>
    </sheetView>
  </sheetViews>
  <sheetFormatPr defaultColWidth="8.9140625" defaultRowHeight="15.6" x14ac:dyDescent="0.25"/>
  <cols>
    <col min="1" max="1" width="13.58203125" style="50" customWidth="1"/>
    <col min="2" max="2" width="7.4140625" style="50" customWidth="1"/>
    <col min="3" max="3" width="14" style="50" customWidth="1"/>
    <col min="4" max="4" width="8.58203125" style="50" customWidth="1"/>
    <col min="5" max="5" width="11.58203125" style="50" customWidth="1"/>
    <col min="6" max="6" width="7.4140625" style="50" customWidth="1"/>
    <col min="7" max="7" width="9.4140625" style="50" customWidth="1"/>
    <col min="8" max="8" width="7.4140625" style="50" customWidth="1"/>
    <col min="9" max="9" width="9.58203125" style="50" customWidth="1"/>
    <col min="10" max="10" width="6.9140625" style="50" customWidth="1"/>
    <col min="11" max="16384" width="8.9140625" style="50"/>
  </cols>
  <sheetData>
    <row r="1" spans="1:11" x14ac:dyDescent="0.25">
      <c r="A1" s="128" t="str">
        <f>inputPrYr!$D$3</f>
        <v>City of Bonner Springs</v>
      </c>
      <c r="B1" s="155"/>
      <c r="C1" s="129"/>
      <c r="D1" s="129"/>
      <c r="E1" s="129"/>
      <c r="F1" s="214" t="s">
        <v>81</v>
      </c>
      <c r="G1" s="129"/>
      <c r="H1" s="129"/>
      <c r="I1" s="129"/>
      <c r="J1" s="129"/>
      <c r="K1" s="129">
        <f>inputPrYr!$C$10</f>
        <v>2013</v>
      </c>
    </row>
    <row r="2" spans="1:11" x14ac:dyDescent="0.25">
      <c r="A2" s="129"/>
      <c r="B2" s="129"/>
      <c r="C2" s="129"/>
      <c r="D2" s="129"/>
      <c r="E2" s="129"/>
      <c r="F2" s="299" t="str">
        <f>CONCATENATE("(Only the actual budget year for ",K1-2," is to be shown)")</f>
        <v>(Only the actual budget year for 2011 is to be shown)</v>
      </c>
      <c r="G2" s="129"/>
      <c r="H2" s="129"/>
      <c r="I2" s="129"/>
      <c r="J2" s="129"/>
      <c r="K2" s="129"/>
    </row>
    <row r="3" spans="1:11" x14ac:dyDescent="0.25">
      <c r="A3" s="129" t="s">
        <v>115</v>
      </c>
      <c r="B3" s="129"/>
      <c r="C3" s="129"/>
      <c r="D3" s="129"/>
      <c r="E3" s="129"/>
      <c r="F3" s="155"/>
      <c r="G3" s="129"/>
      <c r="H3" s="129"/>
      <c r="I3" s="129"/>
      <c r="J3" s="129"/>
      <c r="K3" s="129"/>
    </row>
    <row r="4" spans="1:11" x14ac:dyDescent="0.25">
      <c r="A4" s="129" t="s">
        <v>82</v>
      </c>
      <c r="B4" s="129"/>
      <c r="C4" s="129" t="s">
        <v>83</v>
      </c>
      <c r="D4" s="129"/>
      <c r="E4" s="129" t="s">
        <v>84</v>
      </c>
      <c r="F4" s="155"/>
      <c r="G4" s="129" t="s">
        <v>85</v>
      </c>
      <c r="H4" s="129"/>
      <c r="I4" s="129" t="s">
        <v>86</v>
      </c>
      <c r="J4" s="129"/>
      <c r="K4" s="129"/>
    </row>
    <row r="5" spans="1:11" x14ac:dyDescent="0.25">
      <c r="A5" s="895" t="s">
        <v>1200</v>
      </c>
      <c r="B5" s="896"/>
      <c r="C5" s="895" t="s">
        <v>1201</v>
      </c>
      <c r="D5" s="896"/>
      <c r="E5" s="895" t="s">
        <v>1202</v>
      </c>
      <c r="F5" s="896"/>
      <c r="G5" s="893" t="str">
        <f>IF(inputPrYr!B68&gt;" ",(inputPrYr!B68)," ")</f>
        <v xml:space="preserve"> </v>
      </c>
      <c r="H5" s="894"/>
      <c r="I5" s="893" t="str">
        <f>IF(inputPrYr!B69&gt;" ",(inputPrYr!B69)," ")</f>
        <v xml:space="preserve"> </v>
      </c>
      <c r="J5" s="894"/>
      <c r="K5" s="163"/>
    </row>
    <row r="6" spans="1:11" x14ac:dyDescent="0.25">
      <c r="A6" s="301" t="s">
        <v>87</v>
      </c>
      <c r="B6" s="302"/>
      <c r="C6" s="303" t="s">
        <v>87</v>
      </c>
      <c r="D6" s="304"/>
      <c r="E6" s="303" t="s">
        <v>87</v>
      </c>
      <c r="F6" s="300"/>
      <c r="G6" s="303" t="s">
        <v>87</v>
      </c>
      <c r="H6" s="305"/>
      <c r="I6" s="303" t="s">
        <v>87</v>
      </c>
      <c r="J6" s="129"/>
      <c r="K6" s="306" t="s">
        <v>260</v>
      </c>
    </row>
    <row r="7" spans="1:11" x14ac:dyDescent="0.25">
      <c r="A7" s="307" t="s">
        <v>190</v>
      </c>
      <c r="B7" s="308">
        <v>1406322</v>
      </c>
      <c r="C7" s="309" t="s">
        <v>190</v>
      </c>
      <c r="D7" s="308">
        <v>58038</v>
      </c>
      <c r="E7" s="309" t="s">
        <v>190</v>
      </c>
      <c r="F7" s="308">
        <v>572580</v>
      </c>
      <c r="G7" s="309" t="s">
        <v>190</v>
      </c>
      <c r="H7" s="308"/>
      <c r="I7" s="309" t="s">
        <v>190</v>
      </c>
      <c r="J7" s="308"/>
      <c r="K7" s="310">
        <f>SUM(B7+D7+F7+H7+J7)</f>
        <v>2036940</v>
      </c>
    </row>
    <row r="8" spans="1:11" x14ac:dyDescent="0.25">
      <c r="A8" s="311" t="s">
        <v>58</v>
      </c>
      <c r="B8" s="312"/>
      <c r="C8" s="311" t="s">
        <v>58</v>
      </c>
      <c r="D8" s="313"/>
      <c r="E8" s="311" t="s">
        <v>58</v>
      </c>
      <c r="F8" s="155"/>
      <c r="G8" s="311" t="s">
        <v>58</v>
      </c>
      <c r="H8" s="129"/>
      <c r="I8" s="311" t="s">
        <v>58</v>
      </c>
      <c r="J8" s="129"/>
      <c r="K8" s="155"/>
    </row>
    <row r="9" spans="1:11" x14ac:dyDescent="0.25">
      <c r="A9" s="314" t="s">
        <v>333</v>
      </c>
      <c r="B9" s="308">
        <v>2395</v>
      </c>
      <c r="C9" s="314" t="s">
        <v>333</v>
      </c>
      <c r="D9" s="308">
        <v>148</v>
      </c>
      <c r="E9" s="314" t="s">
        <v>333</v>
      </c>
      <c r="F9" s="308">
        <v>1807</v>
      </c>
      <c r="G9" s="314"/>
      <c r="H9" s="308"/>
      <c r="I9" s="314"/>
      <c r="J9" s="308"/>
      <c r="K9" s="155"/>
    </row>
    <row r="10" spans="1:11" x14ac:dyDescent="0.25">
      <c r="A10" s="314" t="s">
        <v>1050</v>
      </c>
      <c r="B10" s="308">
        <v>62124</v>
      </c>
      <c r="C10" s="314" t="s">
        <v>1209</v>
      </c>
      <c r="D10" s="308">
        <v>3150</v>
      </c>
      <c r="E10" s="314" t="s">
        <v>1209</v>
      </c>
      <c r="F10" s="308">
        <v>47286</v>
      </c>
      <c r="G10" s="314"/>
      <c r="H10" s="308"/>
      <c r="I10" s="314"/>
      <c r="J10" s="308"/>
      <c r="K10" s="155"/>
    </row>
    <row r="11" spans="1:11" x14ac:dyDescent="0.25">
      <c r="A11" s="314" t="s">
        <v>1203</v>
      </c>
      <c r="B11" s="308">
        <v>94100</v>
      </c>
      <c r="C11" s="315" t="s">
        <v>183</v>
      </c>
      <c r="D11" s="308">
        <v>425992</v>
      </c>
      <c r="E11" s="316" t="s">
        <v>183</v>
      </c>
      <c r="F11" s="308">
        <v>120333</v>
      </c>
      <c r="G11" s="316"/>
      <c r="H11" s="308"/>
      <c r="I11" s="317"/>
      <c r="J11" s="308"/>
      <c r="K11" s="155"/>
    </row>
    <row r="12" spans="1:11" x14ac:dyDescent="0.25">
      <c r="A12" s="314" t="s">
        <v>183</v>
      </c>
      <c r="B12" s="308">
        <v>834</v>
      </c>
      <c r="C12" s="314" t="s">
        <v>1210</v>
      </c>
      <c r="D12" s="308">
        <v>1418</v>
      </c>
      <c r="E12" s="318" t="s">
        <v>1050</v>
      </c>
      <c r="F12" s="308">
        <v>339804</v>
      </c>
      <c r="G12" s="318"/>
      <c r="H12" s="308"/>
      <c r="I12" s="318"/>
      <c r="J12" s="308"/>
      <c r="K12" s="155"/>
    </row>
    <row r="13" spans="1:11" x14ac:dyDescent="0.25">
      <c r="A13" s="319" t="s">
        <v>1204</v>
      </c>
      <c r="B13" s="308">
        <v>17793</v>
      </c>
      <c r="C13" s="320" t="s">
        <v>1050</v>
      </c>
      <c r="D13" s="308">
        <v>500</v>
      </c>
      <c r="E13" s="320" t="s">
        <v>1210</v>
      </c>
      <c r="F13" s="308">
        <v>50</v>
      </c>
      <c r="G13" s="320"/>
      <c r="H13" s="308"/>
      <c r="I13" s="317"/>
      <c r="J13" s="308"/>
      <c r="K13" s="155"/>
    </row>
    <row r="14" spans="1:11" x14ac:dyDescent="0.25">
      <c r="A14" s="314" t="s">
        <v>1205</v>
      </c>
      <c r="B14" s="308">
        <v>83575</v>
      </c>
      <c r="C14" s="318" t="s">
        <v>1211</v>
      </c>
      <c r="D14" s="308">
        <v>4600</v>
      </c>
      <c r="E14" s="318"/>
      <c r="F14" s="308"/>
      <c r="G14" s="318"/>
      <c r="H14" s="308"/>
      <c r="I14" s="318"/>
      <c r="J14" s="308"/>
      <c r="K14" s="155"/>
    </row>
    <row r="15" spans="1:11" x14ac:dyDescent="0.25">
      <c r="A15" s="314"/>
      <c r="B15" s="308"/>
      <c r="C15" s="318"/>
      <c r="D15" s="308"/>
      <c r="E15" s="318"/>
      <c r="F15" s="308"/>
      <c r="G15" s="318"/>
      <c r="H15" s="308"/>
      <c r="I15" s="318"/>
      <c r="J15" s="308"/>
      <c r="K15" s="155"/>
    </row>
    <row r="16" spans="1:11" x14ac:dyDescent="0.25">
      <c r="A16" s="314"/>
      <c r="B16" s="308"/>
      <c r="C16" s="314"/>
      <c r="D16" s="308"/>
      <c r="E16" s="314"/>
      <c r="F16" s="308"/>
      <c r="G16" s="318"/>
      <c r="H16" s="308"/>
      <c r="I16" s="314"/>
      <c r="J16" s="308"/>
      <c r="K16" s="155"/>
    </row>
    <row r="17" spans="1:12" x14ac:dyDescent="0.25">
      <c r="A17" s="311" t="s">
        <v>289</v>
      </c>
      <c r="B17" s="310">
        <f>SUM(B9:B16)</f>
        <v>260821</v>
      </c>
      <c r="C17" s="311" t="s">
        <v>289</v>
      </c>
      <c r="D17" s="310">
        <f>SUM(D9:D16)</f>
        <v>435808</v>
      </c>
      <c r="E17" s="311" t="s">
        <v>289</v>
      </c>
      <c r="F17" s="417">
        <f>SUM(F9:F16)</f>
        <v>509280</v>
      </c>
      <c r="G17" s="311" t="s">
        <v>289</v>
      </c>
      <c r="H17" s="310">
        <f>SUM(H9:H16)</f>
        <v>0</v>
      </c>
      <c r="I17" s="311" t="s">
        <v>289</v>
      </c>
      <c r="J17" s="310">
        <f>SUM(J9:J16)</f>
        <v>0</v>
      </c>
      <c r="K17" s="310">
        <f>SUM(B17+D17+F17+H17+J17)</f>
        <v>1205909</v>
      </c>
    </row>
    <row r="18" spans="1:12" x14ac:dyDescent="0.25">
      <c r="A18" s="311" t="s">
        <v>290</v>
      </c>
      <c r="B18" s="310">
        <f>SUM(B7+B17)</f>
        <v>1667143</v>
      </c>
      <c r="C18" s="311" t="s">
        <v>290</v>
      </c>
      <c r="D18" s="310">
        <f>SUM(D7+D17)</f>
        <v>493846</v>
      </c>
      <c r="E18" s="311" t="s">
        <v>290</v>
      </c>
      <c r="F18" s="310">
        <f>SUM(F7+F17)</f>
        <v>1081860</v>
      </c>
      <c r="G18" s="311" t="s">
        <v>290</v>
      </c>
      <c r="H18" s="310">
        <f>SUM(H7+H17)</f>
        <v>0</v>
      </c>
      <c r="I18" s="311" t="s">
        <v>290</v>
      </c>
      <c r="J18" s="310">
        <f>SUM(J7+J17)</f>
        <v>0</v>
      </c>
      <c r="K18" s="310">
        <f>SUM(B18+D18+F18+H18+J18)</f>
        <v>3242849</v>
      </c>
    </row>
    <row r="19" spans="1:12" x14ac:dyDescent="0.25">
      <c r="A19" s="311" t="s">
        <v>292</v>
      </c>
      <c r="B19" s="312"/>
      <c r="C19" s="311" t="s">
        <v>292</v>
      </c>
      <c r="D19" s="313"/>
      <c r="E19" s="311" t="s">
        <v>292</v>
      </c>
      <c r="F19" s="155"/>
      <c r="G19" s="311" t="s">
        <v>292</v>
      </c>
      <c r="H19" s="129"/>
      <c r="I19" s="311" t="s">
        <v>292</v>
      </c>
      <c r="J19" s="129"/>
      <c r="K19" s="155"/>
    </row>
    <row r="20" spans="1:12" x14ac:dyDescent="0.25">
      <c r="A20" s="314" t="s">
        <v>1118</v>
      </c>
      <c r="B20" s="308">
        <v>834</v>
      </c>
      <c r="C20" s="318" t="s">
        <v>1106</v>
      </c>
      <c r="D20" s="308">
        <v>397909</v>
      </c>
      <c r="E20" s="318" t="s">
        <v>1118</v>
      </c>
      <c r="F20" s="308">
        <v>487103</v>
      </c>
      <c r="G20" s="318"/>
      <c r="H20" s="308"/>
      <c r="I20" s="318"/>
      <c r="J20" s="308"/>
      <c r="K20" s="155"/>
    </row>
    <row r="21" spans="1:12" x14ac:dyDescent="0.25">
      <c r="A21" s="314" t="s">
        <v>1206</v>
      </c>
      <c r="B21" s="308">
        <v>782178</v>
      </c>
      <c r="C21" s="318" t="s">
        <v>1212</v>
      </c>
      <c r="D21" s="308">
        <v>28287</v>
      </c>
      <c r="E21" s="318" t="s">
        <v>1212</v>
      </c>
      <c r="F21" s="308">
        <v>15</v>
      </c>
      <c r="G21" s="318"/>
      <c r="H21" s="308"/>
      <c r="I21" s="318"/>
      <c r="J21" s="308"/>
      <c r="K21" s="155"/>
    </row>
    <row r="22" spans="1:12" x14ac:dyDescent="0.25">
      <c r="A22" s="314" t="s">
        <v>1207</v>
      </c>
      <c r="B22" s="308">
        <v>461030</v>
      </c>
      <c r="C22" s="320" t="s">
        <v>1206</v>
      </c>
      <c r="D22" s="308">
        <v>2737</v>
      </c>
      <c r="E22" s="320" t="s">
        <v>1206</v>
      </c>
      <c r="F22" s="308">
        <v>9817</v>
      </c>
      <c r="G22" s="320"/>
      <c r="H22" s="308"/>
      <c r="I22" s="317"/>
      <c r="J22" s="308"/>
      <c r="K22" s="155"/>
    </row>
    <row r="23" spans="1:12" x14ac:dyDescent="0.25">
      <c r="A23" s="314" t="s">
        <v>1103</v>
      </c>
      <c r="B23" s="308">
        <v>15528</v>
      </c>
      <c r="C23" s="318"/>
      <c r="D23" s="308"/>
      <c r="E23" s="318"/>
      <c r="F23" s="308"/>
      <c r="G23" s="318"/>
      <c r="H23" s="308"/>
      <c r="I23" s="318"/>
      <c r="J23" s="308"/>
      <c r="K23" s="155"/>
    </row>
    <row r="24" spans="1:12" x14ac:dyDescent="0.25">
      <c r="A24" s="314" t="s">
        <v>1208</v>
      </c>
      <c r="B24" s="308">
        <v>64251</v>
      </c>
      <c r="C24" s="320"/>
      <c r="D24" s="308"/>
      <c r="E24" s="320"/>
      <c r="F24" s="308"/>
      <c r="G24" s="320"/>
      <c r="H24" s="308"/>
      <c r="I24" s="317"/>
      <c r="J24" s="308"/>
      <c r="K24" s="155"/>
    </row>
    <row r="25" spans="1:12" x14ac:dyDescent="0.25">
      <c r="A25" s="314"/>
      <c r="B25" s="308"/>
      <c r="C25" s="318"/>
      <c r="D25" s="308"/>
      <c r="E25" s="318"/>
      <c r="F25" s="308"/>
      <c r="G25" s="318"/>
      <c r="H25" s="308"/>
      <c r="I25" s="318"/>
      <c r="J25" s="308"/>
      <c r="K25" s="155"/>
    </row>
    <row r="26" spans="1:12" x14ac:dyDescent="0.25">
      <c r="A26" s="314"/>
      <c r="B26" s="308"/>
      <c r="C26" s="318"/>
      <c r="D26" s="308"/>
      <c r="E26" s="318"/>
      <c r="F26" s="308"/>
      <c r="G26" s="318"/>
      <c r="H26" s="308"/>
      <c r="I26" s="318"/>
      <c r="J26" s="308"/>
      <c r="K26" s="155"/>
    </row>
    <row r="27" spans="1:12" x14ac:dyDescent="0.25">
      <c r="A27" s="314"/>
      <c r="B27" s="308"/>
      <c r="C27" s="314"/>
      <c r="D27" s="308"/>
      <c r="E27" s="314"/>
      <c r="F27" s="308"/>
      <c r="G27" s="318"/>
      <c r="H27" s="308"/>
      <c r="I27" s="318"/>
      <c r="J27" s="308"/>
      <c r="K27" s="155"/>
    </row>
    <row r="28" spans="1:12" x14ac:dyDescent="0.25">
      <c r="A28" s="311" t="s">
        <v>296</v>
      </c>
      <c r="B28" s="310">
        <f>SUM(B20:B27)</f>
        <v>1323821</v>
      </c>
      <c r="C28" s="311" t="s">
        <v>296</v>
      </c>
      <c r="D28" s="310">
        <f>SUM(D20:D27)</f>
        <v>428933</v>
      </c>
      <c r="E28" s="311" t="s">
        <v>296</v>
      </c>
      <c r="F28" s="417">
        <f>SUM(F20:F27)</f>
        <v>496935</v>
      </c>
      <c r="G28" s="311" t="s">
        <v>296</v>
      </c>
      <c r="H28" s="417">
        <f>SUM(H20:H27)</f>
        <v>0</v>
      </c>
      <c r="I28" s="311" t="s">
        <v>296</v>
      </c>
      <c r="J28" s="310">
        <f>SUM(J20:J27)</f>
        <v>0</v>
      </c>
      <c r="K28" s="310">
        <f>SUM(B28+D28+F28+H28+J28)</f>
        <v>2249689</v>
      </c>
    </row>
    <row r="29" spans="1:12" x14ac:dyDescent="0.25">
      <c r="A29" s="311" t="s">
        <v>88</v>
      </c>
      <c r="B29" s="310">
        <f>SUM(B18-B28)</f>
        <v>343322</v>
      </c>
      <c r="C29" s="311" t="s">
        <v>88</v>
      </c>
      <c r="D29" s="310">
        <f>SUM(D18-D28)</f>
        <v>64913</v>
      </c>
      <c r="E29" s="311" t="s">
        <v>88</v>
      </c>
      <c r="F29" s="310">
        <f>SUM(F18-F28)</f>
        <v>584925</v>
      </c>
      <c r="G29" s="311" t="s">
        <v>88</v>
      </c>
      <c r="H29" s="310">
        <f>SUM(H18-H28)</f>
        <v>0</v>
      </c>
      <c r="I29" s="311" t="s">
        <v>88</v>
      </c>
      <c r="J29" s="310">
        <f>SUM(J18-J28)</f>
        <v>0</v>
      </c>
      <c r="K29" s="321">
        <f>SUM(B29+D29+F29+H29+J29)</f>
        <v>993160</v>
      </c>
      <c r="L29" s="50" t="s">
        <v>151</v>
      </c>
    </row>
    <row r="30" spans="1:12" x14ac:dyDescent="0.25">
      <c r="A30" s="311"/>
      <c r="B30" s="322" t="str">
        <f>IF(B29&lt;0,"See Tab B","")</f>
        <v/>
      </c>
      <c r="C30" s="311"/>
      <c r="D30" s="322" t="str">
        <f>IF(D29&lt;0,"See Tab B","")</f>
        <v/>
      </c>
      <c r="E30" s="311"/>
      <c r="F30" s="322" t="str">
        <f>IF(F29&lt;0,"See Tab B","")</f>
        <v/>
      </c>
      <c r="G30" s="129"/>
      <c r="H30" s="322" t="str">
        <f>IF(H29&lt;0,"See Tab B","")</f>
        <v/>
      </c>
      <c r="I30" s="129"/>
      <c r="J30" s="322" t="str">
        <f>IF(J29&lt;0,"See Tab B","")</f>
        <v/>
      </c>
      <c r="K30" s="321">
        <f>SUM(K7+K17-K28)</f>
        <v>993160</v>
      </c>
      <c r="L30" s="50" t="s">
        <v>151</v>
      </c>
    </row>
    <row r="31" spans="1:12" x14ac:dyDescent="0.25">
      <c r="A31" s="129"/>
      <c r="B31" s="217"/>
      <c r="C31" s="129"/>
      <c r="D31" s="155"/>
      <c r="E31" s="129"/>
      <c r="F31" s="129"/>
      <c r="G31" s="61" t="s">
        <v>152</v>
      </c>
      <c r="H31" s="61"/>
      <c r="I31" s="61"/>
      <c r="J31" s="61"/>
      <c r="K31" s="129"/>
    </row>
    <row r="32" spans="1:12" x14ac:dyDescent="0.25">
      <c r="A32" s="129"/>
      <c r="B32" s="217"/>
      <c r="C32" s="129"/>
      <c r="D32" s="129"/>
      <c r="E32" s="129"/>
      <c r="F32" s="129"/>
      <c r="G32" s="129"/>
      <c r="H32" s="129"/>
      <c r="I32" s="129"/>
      <c r="J32" s="129"/>
      <c r="K32" s="129"/>
    </row>
    <row r="33" spans="1:11" x14ac:dyDescent="0.25">
      <c r="A33" s="129"/>
      <c r="B33" s="217"/>
      <c r="C33" s="129"/>
      <c r="D33" s="129"/>
      <c r="E33" s="225" t="s">
        <v>299</v>
      </c>
      <c r="F33" s="280">
        <v>26</v>
      </c>
      <c r="G33" s="129"/>
      <c r="H33" s="129"/>
      <c r="I33" s="129"/>
      <c r="J33" s="129"/>
      <c r="K33" s="129"/>
    </row>
    <row r="34" spans="1:11" x14ac:dyDescent="0.25">
      <c r="B34" s="323"/>
    </row>
    <row r="35" spans="1:11" x14ac:dyDescent="0.25">
      <c r="B35" s="323"/>
    </row>
    <row r="36" spans="1:11" x14ac:dyDescent="0.25">
      <c r="B36" s="323"/>
    </row>
    <row r="37" spans="1:11" x14ac:dyDescent="0.25">
      <c r="B37" s="323"/>
    </row>
    <row r="38" spans="1:11" x14ac:dyDescent="0.25">
      <c r="B38" s="323"/>
    </row>
    <row r="39" spans="1:11" x14ac:dyDescent="0.25">
      <c r="B39" s="323"/>
    </row>
    <row r="40" spans="1:11" x14ac:dyDescent="0.25">
      <c r="B40" s="323"/>
    </row>
    <row r="41" spans="1:11" x14ac:dyDescent="0.25">
      <c r="B41" s="323"/>
    </row>
  </sheetData>
  <mergeCells count="5">
    <mergeCell ref="I5:J5"/>
    <mergeCell ref="A5:B5"/>
    <mergeCell ref="C5:D5"/>
    <mergeCell ref="E5:F5"/>
    <mergeCell ref="G5:H5"/>
  </mergeCells>
  <phoneticPr fontId="9" type="noConversion"/>
  <pageMargins left="0.75" right="0.75" top="1" bottom="1" header="0.5" footer="0.5"/>
  <pageSetup scale="83" orientation="landscape" blackAndWhite="1"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workbookViewId="0">
      <selection activeCell="A2" sqref="A2"/>
    </sheetView>
  </sheetViews>
  <sheetFormatPr defaultColWidth="8.9140625" defaultRowHeight="15" x14ac:dyDescent="0.25"/>
  <cols>
    <col min="1" max="1" width="70.58203125" style="296" customWidth="1"/>
    <col min="2" max="16384" width="8.9140625" style="296"/>
  </cols>
  <sheetData>
    <row r="1" spans="1:1" ht="17.399999999999999" x14ac:dyDescent="0.3">
      <c r="A1" s="530" t="s">
        <v>357</v>
      </c>
    </row>
    <row r="2" spans="1:1" ht="15.6" x14ac:dyDescent="0.3">
      <c r="A2" s="528"/>
    </row>
    <row r="3" spans="1:1" ht="46.8" x14ac:dyDescent="0.3">
      <c r="A3" s="527" t="s">
        <v>358</v>
      </c>
    </row>
    <row r="4" spans="1:1" ht="15.6" x14ac:dyDescent="0.3">
      <c r="A4" s="529"/>
    </row>
    <row r="5" spans="1:1" ht="15.6" x14ac:dyDescent="0.3">
      <c r="A5" s="528"/>
    </row>
    <row r="6" spans="1:1" ht="31.2" x14ac:dyDescent="0.3">
      <c r="A6" s="527" t="s">
        <v>359</v>
      </c>
    </row>
    <row r="7" spans="1:1" ht="15.6" x14ac:dyDescent="0.3">
      <c r="A7" s="528"/>
    </row>
    <row r="8" spans="1:1" ht="15.6" x14ac:dyDescent="0.3">
      <c r="A8" s="529"/>
    </row>
    <row r="9" spans="1:1" ht="31.2" x14ac:dyDescent="0.3">
      <c r="A9" s="527" t="s">
        <v>360</v>
      </c>
    </row>
    <row r="10" spans="1:1" ht="15.6" x14ac:dyDescent="0.3">
      <c r="A10" s="528"/>
    </row>
    <row r="11" spans="1:1" ht="15.6" x14ac:dyDescent="0.3">
      <c r="A11" s="529"/>
    </row>
    <row r="12" spans="1:1" ht="46.8" x14ac:dyDescent="0.3">
      <c r="A12" s="527" t="s">
        <v>361</v>
      </c>
    </row>
    <row r="13" spans="1:1" ht="15.6" x14ac:dyDescent="0.3">
      <c r="A13" s="528"/>
    </row>
    <row r="14" spans="1:1" ht="15.6" x14ac:dyDescent="0.3">
      <c r="A14" s="528"/>
    </row>
    <row r="15" spans="1:1" ht="46.8" x14ac:dyDescent="0.3">
      <c r="A15" s="527" t="s">
        <v>362</v>
      </c>
    </row>
    <row r="16" spans="1:1" ht="15.6" x14ac:dyDescent="0.3">
      <c r="A16" s="528"/>
    </row>
    <row r="17" spans="1:1" ht="15.6" x14ac:dyDescent="0.3">
      <c r="A17" s="528"/>
    </row>
    <row r="18" spans="1:1" ht="46.8" x14ac:dyDescent="0.3">
      <c r="A18" s="527" t="s">
        <v>363</v>
      </c>
    </row>
    <row r="19" spans="1:1" ht="15.6" x14ac:dyDescent="0.3">
      <c r="A19" s="528"/>
    </row>
    <row r="20" spans="1:1" ht="15.6" x14ac:dyDescent="0.3">
      <c r="A20" s="528"/>
    </row>
    <row r="21" spans="1:1" ht="46.8" x14ac:dyDescent="0.3">
      <c r="A21" s="527" t="s">
        <v>364</v>
      </c>
    </row>
    <row r="22" spans="1:1" ht="15.6" x14ac:dyDescent="0.3">
      <c r="A22" s="529"/>
    </row>
    <row r="23" spans="1:1" ht="15.6" x14ac:dyDescent="0.3">
      <c r="A23" s="529"/>
    </row>
    <row r="24" spans="1:1" ht="46.8" x14ac:dyDescent="0.3">
      <c r="A24" s="527" t="s">
        <v>365</v>
      </c>
    </row>
    <row r="25" spans="1:1" ht="15.6" x14ac:dyDescent="0.3">
      <c r="A25" s="528"/>
    </row>
    <row r="26" spans="1:1" ht="15.6" x14ac:dyDescent="0.3">
      <c r="A26" s="528"/>
    </row>
    <row r="27" spans="1:1" ht="31.2" x14ac:dyDescent="0.3">
      <c r="A27" s="531" t="s">
        <v>754</v>
      </c>
    </row>
    <row r="28" spans="1:1" ht="15.6" x14ac:dyDescent="0.3">
      <c r="A28" s="528"/>
    </row>
    <row r="29" spans="1:1" ht="15.6" x14ac:dyDescent="0.3">
      <c r="A29" s="528"/>
    </row>
    <row r="30" spans="1:1" ht="31.2" x14ac:dyDescent="0.3">
      <c r="A30" s="527" t="s">
        <v>366</v>
      </c>
    </row>
    <row r="31" spans="1:1" ht="15.6" x14ac:dyDescent="0.3">
      <c r="A31" s="528"/>
    </row>
    <row r="32" spans="1:1" ht="15.6" x14ac:dyDescent="0.3">
      <c r="A32" s="528"/>
    </row>
    <row r="33" spans="1:1" ht="31.2" x14ac:dyDescent="0.3">
      <c r="A33" s="527" t="s">
        <v>367</v>
      </c>
    </row>
    <row r="34" spans="1:1" ht="15.6" x14ac:dyDescent="0.3">
      <c r="A34" s="529"/>
    </row>
    <row r="35" spans="1:1" ht="15.6" x14ac:dyDescent="0.3">
      <c r="A35" s="529"/>
    </row>
    <row r="36" spans="1:1" ht="31.2" x14ac:dyDescent="0.3">
      <c r="A36" s="527" t="s">
        <v>368</v>
      </c>
    </row>
    <row r="37" spans="1:1" ht="15.6" x14ac:dyDescent="0.3">
      <c r="A37" s="529"/>
    </row>
    <row r="38" spans="1:1" ht="15.6" x14ac:dyDescent="0.3">
      <c r="A38" s="528"/>
    </row>
    <row r="39" spans="1:1" ht="62.4" x14ac:dyDescent="0.3">
      <c r="A39" s="527" t="s">
        <v>369</v>
      </c>
    </row>
    <row r="40" spans="1:1" ht="15.6" x14ac:dyDescent="0.3">
      <c r="A40" s="528"/>
    </row>
    <row r="41" spans="1:1" ht="15.6" x14ac:dyDescent="0.3">
      <c r="A41" s="528"/>
    </row>
    <row r="42" spans="1:1" ht="46.8" x14ac:dyDescent="0.3">
      <c r="A42" s="527" t="s">
        <v>370</v>
      </c>
    </row>
    <row r="43" spans="1:1" ht="15.6" x14ac:dyDescent="0.3">
      <c r="A43" s="529"/>
    </row>
    <row r="44" spans="1:1" ht="15.6" x14ac:dyDescent="0.3">
      <c r="A44" s="528"/>
    </row>
    <row r="45" spans="1:1" ht="31.2" x14ac:dyDescent="0.3">
      <c r="A45" s="527" t="s">
        <v>371</v>
      </c>
    </row>
    <row r="46" spans="1:1" ht="15.6" x14ac:dyDescent="0.3">
      <c r="A46" s="528"/>
    </row>
    <row r="47" spans="1:1" ht="15.6" x14ac:dyDescent="0.3">
      <c r="A47" s="528"/>
    </row>
    <row r="48" spans="1:1" ht="31.2" x14ac:dyDescent="0.3">
      <c r="A48" s="527" t="s">
        <v>372</v>
      </c>
    </row>
    <row r="49" spans="1:1" ht="15.6" x14ac:dyDescent="0.3">
      <c r="A49" s="528"/>
    </row>
    <row r="50" spans="1:1" ht="15.6" x14ac:dyDescent="0.3">
      <c r="A50" s="528"/>
    </row>
    <row r="51" spans="1:1" ht="62.4" x14ac:dyDescent="0.3">
      <c r="A51" s="527" t="s">
        <v>373</v>
      </c>
    </row>
    <row r="52" spans="1:1" ht="15.6" x14ac:dyDescent="0.3">
      <c r="A52" s="529"/>
    </row>
    <row r="53" spans="1:1" ht="15.6" x14ac:dyDescent="0.3">
      <c r="A53" s="529"/>
    </row>
    <row r="54" spans="1:1" ht="46.8" x14ac:dyDescent="0.3">
      <c r="A54" s="527" t="s">
        <v>374</v>
      </c>
    </row>
    <row r="55" spans="1:1" ht="15.6" x14ac:dyDescent="0.3">
      <c r="A55" s="528"/>
    </row>
    <row r="56" spans="1:1" ht="15.6" x14ac:dyDescent="0.3">
      <c r="A56" s="528"/>
    </row>
    <row r="57" spans="1:1" ht="31.2" x14ac:dyDescent="0.3">
      <c r="A57" s="527" t="s">
        <v>375</v>
      </c>
    </row>
    <row r="58" spans="1:1" ht="15.6" x14ac:dyDescent="0.3">
      <c r="A58" s="528"/>
    </row>
    <row r="59" spans="1:1" ht="15.6" x14ac:dyDescent="0.3">
      <c r="A59" s="528"/>
    </row>
    <row r="60" spans="1:1" ht="46.8" x14ac:dyDescent="0.3">
      <c r="A60" s="527" t="s">
        <v>376</v>
      </c>
    </row>
    <row r="61" spans="1:1" ht="15.6" x14ac:dyDescent="0.3">
      <c r="A61" s="529"/>
    </row>
    <row r="62" spans="1:1" ht="15.6" x14ac:dyDescent="0.3">
      <c r="A62" s="529"/>
    </row>
    <row r="63" spans="1:1" ht="46.8" x14ac:dyDescent="0.3">
      <c r="A63" s="527" t="s">
        <v>377</v>
      </c>
    </row>
    <row r="64" spans="1:1" ht="15.6" x14ac:dyDescent="0.3">
      <c r="A64" s="528"/>
    </row>
    <row r="65" spans="1:1" ht="15.6" x14ac:dyDescent="0.3">
      <c r="A65" s="528"/>
    </row>
    <row r="66" spans="1:1" ht="46.8" x14ac:dyDescent="0.3">
      <c r="A66" s="527" t="s">
        <v>378</v>
      </c>
    </row>
    <row r="67" spans="1:1" ht="15.6" x14ac:dyDescent="0.25">
      <c r="A67" s="297"/>
    </row>
    <row r="68" spans="1:1" ht="15.6" x14ac:dyDescent="0.25">
      <c r="A68" s="297"/>
    </row>
    <row r="69" spans="1:1" ht="15.6" x14ac:dyDescent="0.25">
      <c r="A69" s="298"/>
    </row>
  </sheetData>
  <sheetProtection sheet="1"/>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topLeftCell="A40" zoomScale="75" workbookViewId="0">
      <selection activeCell="F65" sqref="F65"/>
    </sheetView>
  </sheetViews>
  <sheetFormatPr defaultColWidth="8.9140625" defaultRowHeight="15.6" x14ac:dyDescent="0.25"/>
  <cols>
    <col min="1" max="1" width="27.5" style="50" customWidth="1"/>
    <col min="2" max="2" width="15.75" style="50" customWidth="1"/>
    <col min="3" max="3" width="10.75" style="50" customWidth="1"/>
    <col min="4" max="4" width="15.75" style="50" customWidth="1"/>
    <col min="5" max="5" width="10.75" style="50" customWidth="1"/>
    <col min="6" max="6" width="14.4140625" style="50" customWidth="1"/>
    <col min="7" max="7" width="12.75" style="50" customWidth="1"/>
    <col min="8" max="8" width="9.83203125" style="50" customWidth="1"/>
    <col min="9" max="9" width="8.9140625" style="50"/>
    <col min="10" max="10" width="12.4140625" style="50" customWidth="1"/>
    <col min="11" max="11" width="12.33203125" style="50" customWidth="1"/>
    <col min="12" max="12" width="10.58203125" style="50" customWidth="1"/>
    <col min="13" max="13" width="12.08203125" style="50" customWidth="1"/>
    <col min="14" max="16384" width="8.9140625" style="50"/>
  </cols>
  <sheetData>
    <row r="1" spans="1:9" x14ac:dyDescent="0.25">
      <c r="A1" s="863" t="s">
        <v>2</v>
      </c>
      <c r="B1" s="863"/>
      <c r="C1" s="863"/>
      <c r="D1" s="863"/>
      <c r="E1" s="863"/>
      <c r="F1" s="863"/>
      <c r="G1" s="863"/>
      <c r="H1" s="863"/>
      <c r="I1" s="273"/>
    </row>
    <row r="2" spans="1:9" ht="18" customHeight="1" x14ac:dyDescent="0.25">
      <c r="A2" s="845" t="s">
        <v>302</v>
      </c>
      <c r="B2" s="845"/>
      <c r="C2" s="845"/>
      <c r="D2" s="845"/>
      <c r="E2" s="845"/>
      <c r="F2" s="845"/>
      <c r="G2" s="845"/>
      <c r="H2" s="845"/>
    </row>
    <row r="3" spans="1:9" x14ac:dyDescent="0.25">
      <c r="A3" s="807" t="str">
        <f>inputPrYr!D3</f>
        <v>City of Bonner Springs</v>
      </c>
      <c r="B3" s="807"/>
      <c r="C3" s="807"/>
      <c r="D3" s="807"/>
      <c r="E3" s="807"/>
      <c r="F3" s="807"/>
      <c r="G3" s="807"/>
      <c r="H3" s="807"/>
    </row>
    <row r="4" spans="1:9" ht="18" customHeight="1" x14ac:dyDescent="0.25">
      <c r="A4" s="845" t="str">
        <f>CONCATENATE("will meet on the ",inputBudSum!B7," at ",inputBudSum!B9," at ",inputBudSum!B11," for the purpose of hearing and")</f>
        <v>will meet on the August 13, 2012 at 7:30 p.m. at 205 East Second Street for the purpose of hearing and</v>
      </c>
      <c r="B4" s="845"/>
      <c r="C4" s="845"/>
      <c r="D4" s="845"/>
      <c r="E4" s="845"/>
      <c r="F4" s="845"/>
      <c r="G4" s="845"/>
      <c r="H4" s="845"/>
    </row>
    <row r="5" spans="1:9" ht="16.5" customHeight="1" x14ac:dyDescent="0.25">
      <c r="A5" s="845" t="s">
        <v>641</v>
      </c>
      <c r="B5" s="845"/>
      <c r="C5" s="845"/>
      <c r="D5" s="845"/>
      <c r="E5" s="845"/>
      <c r="F5" s="845"/>
      <c r="G5" s="845"/>
      <c r="H5" s="845"/>
    </row>
    <row r="6" spans="1:9" ht="16.5" customHeight="1" x14ac:dyDescent="0.25">
      <c r="A6" s="899" t="s">
        <v>1184</v>
      </c>
      <c r="B6" s="899"/>
      <c r="C6" s="899"/>
      <c r="D6" s="899"/>
      <c r="E6" s="899"/>
      <c r="F6" s="899"/>
      <c r="G6" s="899"/>
      <c r="H6" s="780"/>
    </row>
    <row r="7" spans="1:9" ht="16.5" customHeight="1" x14ac:dyDescent="0.25">
      <c r="A7" s="845" t="str">
        <f>CONCATENATE("Detailed budget information is available at ",inputBudSum!B14," and will be available at this hearing.")</f>
        <v>Detailed budget information is available at City Clerk's Office and will be available at this hearing.</v>
      </c>
      <c r="B7" s="845"/>
      <c r="C7" s="845"/>
      <c r="D7" s="845"/>
      <c r="E7" s="845"/>
      <c r="F7" s="845"/>
      <c r="G7" s="845"/>
      <c r="H7" s="845"/>
    </row>
    <row r="8" spans="1:9" x14ac:dyDescent="0.25">
      <c r="A8" s="76" t="s">
        <v>3</v>
      </c>
      <c r="B8" s="77"/>
      <c r="C8" s="77"/>
      <c r="D8" s="77"/>
      <c r="E8" s="77"/>
      <c r="F8" s="77"/>
      <c r="G8" s="77"/>
      <c r="H8" s="77"/>
    </row>
    <row r="9" spans="1:9" x14ac:dyDescent="0.25">
      <c r="A9" s="67" t="s">
        <v>1183</v>
      </c>
      <c r="B9" s="67"/>
      <c r="C9" s="67"/>
      <c r="D9" s="67"/>
      <c r="E9" s="67"/>
      <c r="F9" s="67"/>
      <c r="G9" s="781"/>
      <c r="H9" s="781"/>
    </row>
    <row r="10" spans="1:9" x14ac:dyDescent="0.25">
      <c r="A10" s="179" t="s">
        <v>63</v>
      </c>
      <c r="B10" s="77"/>
      <c r="C10" s="77"/>
      <c r="D10" s="77"/>
      <c r="E10" s="77"/>
      <c r="F10" s="77"/>
      <c r="G10" s="77"/>
      <c r="H10" s="77"/>
    </row>
    <row r="11" spans="1:9" x14ac:dyDescent="0.25">
      <c r="A11" s="67"/>
      <c r="B11" s="274"/>
      <c r="C11" s="274"/>
      <c r="D11" s="274"/>
      <c r="E11" s="274"/>
      <c r="F11" s="274"/>
      <c r="G11" s="274"/>
      <c r="H11" s="274"/>
    </row>
    <row r="12" spans="1:9" x14ac:dyDescent="0.25">
      <c r="A12" s="67"/>
      <c r="B12" s="275" t="s">
        <v>1213</v>
      </c>
      <c r="C12" s="182"/>
      <c r="D12" s="799" t="s">
        <v>1214</v>
      </c>
      <c r="E12" s="798"/>
      <c r="F12" s="860" t="s">
        <v>1215</v>
      </c>
      <c r="G12" s="897"/>
      <c r="H12" s="898"/>
    </row>
    <row r="13" spans="1:9" ht="21" customHeight="1" x14ac:dyDescent="0.25">
      <c r="A13" s="67"/>
      <c r="B13" s="276"/>
      <c r="C13" s="185" t="s">
        <v>304</v>
      </c>
      <c r="D13" s="185"/>
      <c r="E13" s="185" t="s">
        <v>304</v>
      </c>
      <c r="F13" s="185" t="s">
        <v>664</v>
      </c>
      <c r="G13" s="185" t="s">
        <v>1216</v>
      </c>
      <c r="H13" s="185" t="s">
        <v>116</v>
      </c>
    </row>
    <row r="14" spans="1:9" x14ac:dyDescent="0.25">
      <c r="A14" s="87" t="s">
        <v>305</v>
      </c>
      <c r="B14" s="189" t="s">
        <v>306</v>
      </c>
      <c r="C14" s="189" t="s">
        <v>307</v>
      </c>
      <c r="D14" s="189" t="s">
        <v>306</v>
      </c>
      <c r="E14" s="189" t="s">
        <v>307</v>
      </c>
      <c r="F14" s="189" t="s">
        <v>665</v>
      </c>
      <c r="G14" s="190" t="s">
        <v>284</v>
      </c>
      <c r="H14" s="189" t="s">
        <v>307</v>
      </c>
    </row>
    <row r="15" spans="1:9" x14ac:dyDescent="0.25">
      <c r="A15" s="107" t="str">
        <f>inputPrYr!B22</f>
        <v>General</v>
      </c>
      <c r="B15" s="286">
        <f>IF(general!$C$85&lt;&gt;0,general!$C$85,"  ")</f>
        <v>5913296</v>
      </c>
      <c r="C15" s="471">
        <f>IF(inputPrYr!D92&gt;0,inputPrYr!D92,"  ")</f>
        <v>18.98</v>
      </c>
      <c r="D15" s="767">
        <f>IF(general!$D$85&lt;&gt;0,general!$D$85,"  ")</f>
        <v>6803931</v>
      </c>
      <c r="E15" s="471">
        <f>IF(inputOth!D29&gt;0,inputOth!D29,"  ")</f>
        <v>18.838999999999999</v>
      </c>
      <c r="F15" s="286">
        <f>IF(general!$E$85&lt;&gt;0,general!$E$85,"  ")</f>
        <v>7264267</v>
      </c>
      <c r="G15" s="286">
        <f>IF(general!$E$92&lt;&gt;0,general!$E$92,"  ")</f>
        <v>1226708.7800000003</v>
      </c>
      <c r="H15" s="471">
        <f>IF(general!E92&gt;0,ROUND(G15/$F$52*1000,3),"  ")</f>
        <v>18.516999999999999</v>
      </c>
    </row>
    <row r="16" spans="1:9" x14ac:dyDescent="0.25">
      <c r="A16" s="107" t="str">
        <f>inputPrYr!B23</f>
        <v>Debt Service</v>
      </c>
      <c r="B16" s="286">
        <f>IF('Debt Service'!$C$43&lt;&gt;0,'Debt Service'!$C$43,"  ")</f>
        <v>2682831</v>
      </c>
      <c r="C16" s="471">
        <f>IF(inputPrYr!D93&gt;0,inputPrYr!D93,"  ")</f>
        <v>6.5759999999999996</v>
      </c>
      <c r="D16" s="286">
        <f>IF('Debt Service'!$D$43&lt;&gt;0,'Debt Service'!$D$43,"  ")</f>
        <v>2691016</v>
      </c>
      <c r="E16" s="471">
        <f>IF(inputOth!D30&gt;0,inputOth!D30,"  ")</f>
        <v>6.9539999999999997</v>
      </c>
      <c r="F16" s="286">
        <f>IF('Debt Service'!$E$43&lt;&gt;0,'Debt Service'!$E$43,"  ")</f>
        <v>3576632</v>
      </c>
      <c r="G16" s="286">
        <f>IF('Debt Service'!$E$50&lt;&gt;0,'Debt Service'!$E$50,"  ")</f>
        <v>471744</v>
      </c>
      <c r="H16" s="471">
        <f>IF('Debt Service'!E50&gt;0,ROUND(G16/$F$52*1000,3),"  ")</f>
        <v>7.1210000000000004</v>
      </c>
    </row>
    <row r="17" spans="1:13" x14ac:dyDescent="0.25">
      <c r="A17" s="107" t="str">
        <f>IF(inputPrYr!$B24&gt;"  ",(inputPrYr!$B24),"  ")</f>
        <v>Library</v>
      </c>
      <c r="B17" s="286">
        <f>IF(Library!$B$23&lt;&gt;0,Library!$B$23,"  ")</f>
        <v>329865</v>
      </c>
      <c r="C17" s="471">
        <f>IF(inputPrYr!D94&gt;0,inputPrYr!D94,"  ")</f>
        <v>4.5449999999999999</v>
      </c>
      <c r="D17" s="286">
        <f>IF(Library!$C$23&lt;&gt;0,Library!$C$23,"  ")</f>
        <v>324257</v>
      </c>
      <c r="E17" s="471">
        <f>IF(inputOth!D31&gt;0,inputOth!D31,"  ")</f>
        <v>4.7850000000000001</v>
      </c>
      <c r="F17" s="286">
        <f>IF(Library!$D$23&lt;&gt;0,Library!$D$23,"  ")</f>
        <v>353748</v>
      </c>
      <c r="G17" s="286">
        <f>IF(Library!$D$30&lt;&gt;0,Library!$D$30,"  ")</f>
        <v>327283</v>
      </c>
      <c r="H17" s="471">
        <f>IF(Library!D30&lt;&gt;0,ROUND(G17/$F$52*1000,3),"  ")</f>
        <v>4.9400000000000004</v>
      </c>
    </row>
    <row r="18" spans="1:13" x14ac:dyDescent="0.25">
      <c r="A18" s="107" t="str">
        <f>IF(inputPrYr!$B29&gt;"  ",(inputPrYr!$B29),"  ")</f>
        <v>Spec. Rev. Aquatic Park Facility Sales Tax</v>
      </c>
      <c r="B18" s="286">
        <f>'AqFac Co Infra'!C30</f>
        <v>434769</v>
      </c>
      <c r="C18" s="196"/>
      <c r="D18" s="286">
        <f>'AqFac Co Infra'!D30</f>
        <v>442169</v>
      </c>
      <c r="E18" s="196"/>
      <c r="F18" s="286">
        <f>'AqFac Co Infra'!E30</f>
        <v>1252821</v>
      </c>
      <c r="G18" s="286"/>
      <c r="H18" s="471"/>
    </row>
    <row r="19" spans="1:13" x14ac:dyDescent="0.25">
      <c r="A19" s="107" t="str">
        <f>IF(inputPrYr!$B30&gt;"  ",(inputPrYr!$B30),"  ")</f>
        <v>Spec. Rev. County Infrastructure</v>
      </c>
      <c r="B19" s="286">
        <f>'AqFac Co Infra'!C63</f>
        <v>0</v>
      </c>
      <c r="C19" s="196"/>
      <c r="D19" s="286">
        <f>'AqFac Co Infra'!D63</f>
        <v>26134</v>
      </c>
      <c r="E19" s="196"/>
      <c r="F19" s="286">
        <f>'AqFac Co Infra'!E63</f>
        <v>0</v>
      </c>
      <c r="G19" s="286"/>
      <c r="H19" s="471"/>
    </row>
    <row r="20" spans="1:13" x14ac:dyDescent="0.25">
      <c r="A20" s="107" t="str">
        <f>IF(inputPrYr!$B31&gt;"  ",(inputPrYr!$B31),"  ")</f>
        <v>Spec. Rev. Convention &amp; Tourism</v>
      </c>
      <c r="B20" s="286">
        <f>'Conv Drug'!C30</f>
        <v>69272</v>
      </c>
      <c r="C20" s="196"/>
      <c r="D20" s="286">
        <f>'Conv Drug'!D30</f>
        <v>76127</v>
      </c>
      <c r="E20" s="196"/>
      <c r="F20" s="286">
        <f>'Conv Drug'!E30</f>
        <v>80196</v>
      </c>
      <c r="G20" s="286"/>
      <c r="H20" s="471"/>
    </row>
    <row r="21" spans="1:13" x14ac:dyDescent="0.25">
      <c r="A21" s="107" t="str">
        <f>IF(inputPrYr!$B32&gt;"  ",(inputPrYr!$B32),"  ")</f>
        <v>Spec. Rev. Drug &amp; Alcohol</v>
      </c>
      <c r="B21" s="286">
        <f>'Conv Drug'!C63</f>
        <v>65235</v>
      </c>
      <c r="C21" s="196"/>
      <c r="D21" s="286">
        <f>'Conv Drug'!D63</f>
        <v>75800</v>
      </c>
      <c r="E21" s="196"/>
      <c r="F21" s="286">
        <f>'Conv Drug'!E63</f>
        <v>79325</v>
      </c>
      <c r="G21" s="286"/>
      <c r="H21" s="471"/>
    </row>
    <row r="22" spans="1:13" x14ac:dyDescent="0.25">
      <c r="A22" s="107" t="str">
        <f>IF(inputPrYr!$B33&gt;"  ",(inputPrYr!$B33),"  ")</f>
        <v>Spec. Rev. Economic Development</v>
      </c>
      <c r="B22" s="286">
        <f>'ED EMS Cap'!C30</f>
        <v>18319</v>
      </c>
      <c r="C22" s="196"/>
      <c r="D22" s="286">
        <f>'ED EMS Cap'!D30</f>
        <v>9450</v>
      </c>
      <c r="E22" s="196"/>
      <c r="F22" s="286">
        <f>'ED EMS Cap'!E30</f>
        <v>11417</v>
      </c>
      <c r="G22" s="286"/>
      <c r="H22" s="196"/>
    </row>
    <row r="23" spans="1:13" x14ac:dyDescent="0.25">
      <c r="A23" s="107" t="str">
        <f>IF(inputPrYr!$B34&gt;"  ",(inputPrYr!$B34),"  ")</f>
        <v>Spec. Rev. Emergency Services Capital</v>
      </c>
      <c r="B23" s="286">
        <f>'ED EMS Cap'!C63</f>
        <v>641616</v>
      </c>
      <c r="C23" s="196"/>
      <c r="D23" s="767">
        <f>'ED EMS Cap'!D63</f>
        <v>481383</v>
      </c>
      <c r="E23" s="196"/>
      <c r="F23" s="286">
        <f>'ED EMS Cap'!E63</f>
        <v>714118</v>
      </c>
      <c r="G23" s="286"/>
      <c r="H23" s="196"/>
    </row>
    <row r="24" spans="1:13" x14ac:dyDescent="0.25">
      <c r="A24" s="107" t="str">
        <f>IF(inputPrYr!$B35&gt;"  ",(inputPrYr!$B35),"  ")</f>
        <v>Spec. Rev. Emergency Medical Services</v>
      </c>
      <c r="B24" s="286">
        <f>'EMS Lib Sales'!C30</f>
        <v>493448</v>
      </c>
      <c r="C24" s="196"/>
      <c r="D24" s="286">
        <f>'EMS Lib Sales'!D30</f>
        <v>531378</v>
      </c>
      <c r="E24" s="196"/>
      <c r="F24" s="286">
        <f>'EMS Lib Sales'!E30</f>
        <v>554947</v>
      </c>
      <c r="G24" s="286"/>
      <c r="H24" s="196"/>
    </row>
    <row r="25" spans="1:13" x14ac:dyDescent="0.25">
      <c r="A25" s="107" t="str">
        <f>IF(inputPrYr!$B36&gt;"  ",(inputPrYr!$B36),"  ")</f>
        <v>Spec. Rev. Library Sales Tax</v>
      </c>
      <c r="B25" s="286">
        <f>'EMS Lib Sales'!C63</f>
        <v>428609</v>
      </c>
      <c r="C25" s="196"/>
      <c r="D25" s="286">
        <f>'EMS Lib Sales'!D63</f>
        <v>429840</v>
      </c>
      <c r="E25" s="196"/>
      <c r="F25" s="286">
        <f>'EMS Lib Sales'!E63</f>
        <v>436530</v>
      </c>
      <c r="G25" s="286"/>
      <c r="H25" s="196"/>
    </row>
    <row r="26" spans="1:13" x14ac:dyDescent="0.25">
      <c r="A26" s="107" t="str">
        <f>IF(inputPrYr!$B37&gt;"  ",(inputPrYr!$B37),"  ")</f>
        <v>Spec. Rev. Park Dedication</v>
      </c>
      <c r="B26" s="286">
        <f>'Park Dec Rec Prog'!C30</f>
        <v>0</v>
      </c>
      <c r="C26" s="196"/>
      <c r="D26" s="286">
        <f>'Park Dec Rec Prog'!D30</f>
        <v>0</v>
      </c>
      <c r="E26" s="196"/>
      <c r="F26" s="286">
        <f>'Park Dec Rec Prog'!E30</f>
        <v>0</v>
      </c>
      <c r="G26" s="286"/>
      <c r="H26" s="196"/>
    </row>
    <row r="27" spans="1:13" x14ac:dyDescent="0.25">
      <c r="A27" s="107" t="str">
        <f>IF(inputPrYr!$B38&gt;"  ",(inputPrYr!$B38),"  ")</f>
        <v>Spec. Rev. Recreation Programs</v>
      </c>
      <c r="B27" s="286">
        <f>'Park Dec Rec Prog'!C63</f>
        <v>57313</v>
      </c>
      <c r="C27" s="196"/>
      <c r="D27" s="767">
        <f>'Park Dec Rec Prog'!D63</f>
        <v>63469</v>
      </c>
      <c r="E27" s="196"/>
      <c r="F27" s="286">
        <f>'Park Dec Rec Prog'!E63</f>
        <v>73460</v>
      </c>
      <c r="G27" s="286"/>
      <c r="H27" s="196"/>
    </row>
    <row r="28" spans="1:13" x14ac:dyDescent="0.25">
      <c r="A28" s="107" t="str">
        <f>IF(inputPrYr!$B39&gt;"  ",(inputPrYr!$B39),"  ")</f>
        <v>Spec. Rev. Risk Management</v>
      </c>
      <c r="B28" s="286">
        <f>'Risk Sen Ctr'!C30</f>
        <v>12244</v>
      </c>
      <c r="C28" s="196"/>
      <c r="D28" s="286">
        <f>'Risk Sen Ctr'!D30</f>
        <v>20000</v>
      </c>
      <c r="E28" s="196"/>
      <c r="F28" s="286">
        <f>'Risk Sen Ctr'!E30</f>
        <v>134289</v>
      </c>
      <c r="G28" s="286"/>
      <c r="H28" s="196"/>
    </row>
    <row r="29" spans="1:13" x14ac:dyDescent="0.3">
      <c r="A29" s="107" t="str">
        <f>IF(inputPrYr!$B40&gt;"  ",(inputPrYr!$B40),"  ")</f>
        <v>Spec. Rev. Senior Center</v>
      </c>
      <c r="B29" s="286">
        <f>'Risk Sen Ctr'!C63</f>
        <v>47158</v>
      </c>
      <c r="C29" s="196"/>
      <c r="D29" s="286">
        <f>'Risk Sen Ctr'!D63</f>
        <v>50574</v>
      </c>
      <c r="E29" s="196"/>
      <c r="F29" s="286">
        <f>'Risk Sen Ctr'!E63</f>
        <v>47450</v>
      </c>
      <c r="G29" s="286"/>
      <c r="H29" s="196"/>
      <c r="J29" s="900" t="e">
        <f>CONCATENATE("Estimated Value Of One Mill For ",#REF!,"")</f>
        <v>#REF!</v>
      </c>
      <c r="K29" s="901"/>
      <c r="L29" s="901"/>
      <c r="M29" s="902"/>
    </row>
    <row r="30" spans="1:13" x14ac:dyDescent="0.3">
      <c r="A30" s="107" t="str">
        <f>IF(inputPrYr!$B41&gt;"  ",(inputPrYr!$B41),"  ")</f>
        <v>Spec. Rev. Sidewalk Escrow</v>
      </c>
      <c r="B30" s="286">
        <f>'Side Soccer'!C30</f>
        <v>0</v>
      </c>
      <c r="C30" s="196"/>
      <c r="D30" s="286">
        <f>'Side Soccer'!D30</f>
        <v>0</v>
      </c>
      <c r="E30" s="196"/>
      <c r="F30" s="286">
        <f>'Side Soccer'!E30</f>
        <v>34383</v>
      </c>
      <c r="G30" s="286"/>
      <c r="H30" s="196"/>
      <c r="J30" s="508"/>
      <c r="K30" s="509"/>
      <c r="L30" s="509"/>
      <c r="M30" s="510"/>
    </row>
    <row r="31" spans="1:13" x14ac:dyDescent="0.3">
      <c r="A31" s="107" t="str">
        <f>IF(inputPrYr!$B42&gt;"  ",(inputPrYr!$B42),"  ")</f>
        <v>Spec. Rev. Soccer</v>
      </c>
      <c r="B31" s="286">
        <f>'Side Soccer'!C63</f>
        <v>9125</v>
      </c>
      <c r="C31" s="196"/>
      <c r="D31" s="286">
        <f>'Side Soccer'!D63</f>
        <v>9000</v>
      </c>
      <c r="E31" s="196"/>
      <c r="F31" s="286">
        <f>'Side Soccer'!E63</f>
        <v>8910</v>
      </c>
      <c r="G31" s="286"/>
      <c r="H31" s="196"/>
      <c r="J31" s="511" t="s">
        <v>755</v>
      </c>
      <c r="K31" s="512"/>
      <c r="L31" s="512"/>
      <c r="M31" s="513">
        <f>ROUND(F52/1000,0)</f>
        <v>66248</v>
      </c>
    </row>
    <row r="32" spans="1:13" x14ac:dyDescent="0.25">
      <c r="A32" s="107" t="str">
        <f>IF(inputPrYr!$B43&gt;"  ",(inputPrYr!$B43),"  ")</f>
        <v>Spec. Rev. Special Parks &amp; Recreation</v>
      </c>
      <c r="B32" s="286">
        <f>'Spec Park Street'!C30</f>
        <v>39212</v>
      </c>
      <c r="C32" s="196"/>
      <c r="D32" s="286">
        <f>'Spec Park Street'!D30</f>
        <v>59100</v>
      </c>
      <c r="E32" s="196"/>
      <c r="F32" s="286">
        <f>'Spec Park Street'!E30</f>
        <v>102900</v>
      </c>
      <c r="G32" s="286"/>
      <c r="H32" s="196"/>
    </row>
    <row r="33" spans="1:13" x14ac:dyDescent="0.3">
      <c r="A33" s="107" t="str">
        <f>IF(inputPrYr!$B44&gt;"  ",(inputPrYr!$B44),"  ")</f>
        <v>Spec. Rev. Street Projects</v>
      </c>
      <c r="B33" s="286">
        <f>'Spec Park Street'!C62</f>
        <v>465417</v>
      </c>
      <c r="C33" s="196"/>
      <c r="D33" s="767">
        <f>'Spec Park Street'!D62</f>
        <v>622600</v>
      </c>
      <c r="E33" s="196"/>
      <c r="F33" s="286">
        <f>'Spec Park Street'!E62</f>
        <v>537412</v>
      </c>
      <c r="G33" s="286"/>
      <c r="H33" s="196"/>
      <c r="J33" s="900" t="e">
        <f>CONCATENATE("Want The Mill Rate The Same As For ",#REF!-1,"?")</f>
        <v>#REF!</v>
      </c>
      <c r="K33" s="901"/>
      <c r="L33" s="901"/>
      <c r="M33" s="902"/>
    </row>
    <row r="34" spans="1:13" x14ac:dyDescent="0.3">
      <c r="A34" s="107" t="str">
        <f>IF(inputPrYr!$B45&gt;"  ",(inputPrYr!$B45),"  ")</f>
        <v>Spec. Rev. Summer Ball</v>
      </c>
      <c r="B34" s="286">
        <f>'Ball Pool'!C25</f>
        <v>24388</v>
      </c>
      <c r="C34" s="196"/>
      <c r="D34" s="286">
        <f>'Ball Pool'!D25</f>
        <v>31855</v>
      </c>
      <c r="E34" s="196"/>
      <c r="F34" s="286">
        <f>'Ball Pool'!E25</f>
        <v>42270</v>
      </c>
      <c r="G34" s="286"/>
      <c r="H34" s="196"/>
      <c r="J34" s="515"/>
      <c r="K34" s="509"/>
      <c r="L34" s="509"/>
      <c r="M34" s="516"/>
    </row>
    <row r="35" spans="1:13" x14ac:dyDescent="0.3">
      <c r="A35" s="107" t="str">
        <f>IF(inputPrYr!$B46&gt;"  ",(inputPrYr!$B46),"  ")</f>
        <v>Spec. Rev. Swimming Pool</v>
      </c>
      <c r="B35" s="286">
        <f>'Ball Pool'!C63</f>
        <v>234448</v>
      </c>
      <c r="C35" s="196"/>
      <c r="D35" s="286">
        <f>'Ball Pool'!D63</f>
        <v>233917</v>
      </c>
      <c r="E35" s="196"/>
      <c r="F35" s="286">
        <f>'Ball Pool'!E63</f>
        <v>245645</v>
      </c>
      <c r="G35" s="286"/>
      <c r="H35" s="196"/>
      <c r="J35" s="515" t="e">
        <f>CONCATENATE("",#REF!-1," Mill Rate Was:")</f>
        <v>#REF!</v>
      </c>
      <c r="K35" s="509"/>
      <c r="L35" s="509"/>
      <c r="M35" s="517">
        <f>E47</f>
        <v>30.577999999999999</v>
      </c>
    </row>
    <row r="36" spans="1:13" x14ac:dyDescent="0.3">
      <c r="A36" s="107" t="str">
        <f>IF(inputPrYr!$B47&gt;"  ",(inputPrYr!$B47),"  ")</f>
        <v>Spec. Rev. Tiblow Transit</v>
      </c>
      <c r="B36" s="286">
        <f>'Tiblow TIF Dev'!C30</f>
        <v>63779</v>
      </c>
      <c r="C36" s="196"/>
      <c r="D36" s="767">
        <f>'Tiblow TIF Dev'!D30</f>
        <v>79409</v>
      </c>
      <c r="E36" s="196"/>
      <c r="F36" s="286">
        <f>'Tiblow TIF Dev'!E30</f>
        <v>95389</v>
      </c>
      <c r="G36" s="286"/>
      <c r="H36" s="196"/>
      <c r="J36" s="518" t="e">
        <f>CONCATENATE("",#REF!," Tax Levy Fund Expenditures Must Be")</f>
        <v>#REF!</v>
      </c>
      <c r="K36" s="519"/>
      <c r="L36" s="519"/>
      <c r="M36" s="516"/>
    </row>
    <row r="37" spans="1:13" x14ac:dyDescent="0.3">
      <c r="A37" s="107" t="str">
        <f>IF(inputPrYr!$B48&gt;"  ",(inputPrYr!$B48),"  ")</f>
        <v>Spec. Rev. TIF Develop Funds</v>
      </c>
      <c r="B37" s="286">
        <f>'Tiblow TIF Dev'!C58</f>
        <v>0</v>
      </c>
      <c r="C37" s="196"/>
      <c r="D37" s="286">
        <f>'Tiblow TIF Dev'!D58</f>
        <v>0</v>
      </c>
      <c r="E37" s="196"/>
      <c r="F37" s="286">
        <f>'Tiblow TIF Dev'!E58</f>
        <v>0</v>
      </c>
      <c r="G37" s="286"/>
      <c r="H37" s="196"/>
      <c r="J37" s="518" t="str">
        <f>IF(M37&gt;0,"Increased By:","")</f>
        <v/>
      </c>
      <c r="K37" s="519"/>
      <c r="L37" s="519"/>
      <c r="M37" s="584">
        <f>IF(M49&lt;0,M49*-1,0)</f>
        <v>0</v>
      </c>
    </row>
    <row r="38" spans="1:13" x14ac:dyDescent="0.25">
      <c r="A38" s="107" t="str">
        <f>IF(inputPrYr!$B49&gt;"  ",(inputPrYr!$B49),"  ")</f>
        <v>Bonner Pointe TIF Increment</v>
      </c>
      <c r="B38" s="286">
        <f>'TIF Inc CID Dev Fees'!C30</f>
        <v>109168</v>
      </c>
      <c r="C38" s="196"/>
      <c r="D38" s="286">
        <f>'TIF Inc CID Dev Fees'!D30</f>
        <v>139500</v>
      </c>
      <c r="E38" s="196"/>
      <c r="F38" s="286">
        <f>'TIF Inc CID Dev Fees'!E30</f>
        <v>140000</v>
      </c>
      <c r="G38" s="286"/>
      <c r="H38" s="196"/>
      <c r="J38" s="585" t="str">
        <f>IF(M38&lt;0,"Reduced By:","")</f>
        <v>Reduced By:</v>
      </c>
      <c r="K38" s="586"/>
      <c r="L38" s="586"/>
      <c r="M38" s="587">
        <f>IF(M49&gt;0,M49*-1,0)</f>
        <v>-0.78000000026077032</v>
      </c>
    </row>
    <row r="39" spans="1:13" x14ac:dyDescent="0.3">
      <c r="A39" s="107" t="str">
        <f>IF(inputPrYr!$B50&gt;"  ",(inputPrYr!$B50),"  ")</f>
        <v>CID Development Fees</v>
      </c>
      <c r="B39" s="286">
        <f>'TIF Inc CID Dev Fees'!C63</f>
        <v>11475</v>
      </c>
      <c r="C39" s="196"/>
      <c r="D39" s="767">
        <f>'TIF Inc CID Dev Fees'!D63</f>
        <v>10000</v>
      </c>
      <c r="E39" s="196"/>
      <c r="F39" s="286">
        <f>'TIF Inc CID Dev Fees'!E63</f>
        <v>0</v>
      </c>
      <c r="G39" s="286"/>
      <c r="H39" s="196"/>
      <c r="J39" s="522"/>
      <c r="K39" s="522"/>
      <c r="L39" s="522"/>
      <c r="M39" s="522"/>
    </row>
    <row r="40" spans="1:13" x14ac:dyDescent="0.3">
      <c r="A40" s="107" t="str">
        <f>IF(inputPrYr!$B51&gt;"  ",(inputPrYr!$B51),"  ")</f>
        <v>Bonner Springs Center CID</v>
      </c>
      <c r="B40" s="286">
        <f>'CID  City Contrib'!C30</f>
        <v>20530</v>
      </c>
      <c r="C40" s="196"/>
      <c r="D40" s="286">
        <f>'CID  City Contrib'!D30</f>
        <v>160000</v>
      </c>
      <c r="E40" s="196"/>
      <c r="F40" s="286">
        <f>'CID  City Contrib'!E30</f>
        <v>100000</v>
      </c>
      <c r="G40" s="286"/>
      <c r="H40" s="196"/>
      <c r="J40" s="522"/>
      <c r="K40" s="522"/>
      <c r="L40" s="522"/>
      <c r="M40" s="522"/>
    </row>
    <row r="41" spans="1:13" x14ac:dyDescent="0.3">
      <c r="A41" s="107" t="str">
        <f>IF(inputPrYr!$B52&gt;"  ",(inputPrYr!$B52),"  ")</f>
        <v>Bonner Springs Ctr City Contribution</v>
      </c>
      <c r="B41" s="286">
        <f>'CID  City Contrib'!C63</f>
        <v>6607</v>
      </c>
      <c r="C41" s="196"/>
      <c r="D41" s="286">
        <f>'CID  City Contrib'!D63</f>
        <v>30000</v>
      </c>
      <c r="E41" s="196"/>
      <c r="F41" s="286">
        <f>'CID  City Contrib'!E63</f>
        <v>33000</v>
      </c>
      <c r="G41" s="286"/>
      <c r="H41" s="196"/>
      <c r="J41" s="522"/>
      <c r="K41" s="522"/>
      <c r="L41" s="522"/>
      <c r="M41" s="522"/>
    </row>
    <row r="42" spans="1:13" x14ac:dyDescent="0.3">
      <c r="A42" s="107" t="str">
        <f>IF(inputPrYr!$B53&gt;"  ",(inputPrYr!$B53),"  ")</f>
        <v>Enterprise Fund - Solid Waste</v>
      </c>
      <c r="B42" s="286">
        <f>'Waste Storm'!C30</f>
        <v>337076</v>
      </c>
      <c r="C42" s="196"/>
      <c r="D42" s="286">
        <f>'Waste Storm'!D30</f>
        <v>361964</v>
      </c>
      <c r="E42" s="196"/>
      <c r="F42" s="286">
        <f>'Waste Storm'!E30</f>
        <v>338184</v>
      </c>
      <c r="G42" s="286"/>
      <c r="H42" s="196"/>
      <c r="J42" s="522"/>
      <c r="K42" s="522"/>
      <c r="L42" s="522"/>
      <c r="M42" s="522"/>
    </row>
    <row r="43" spans="1:13" x14ac:dyDescent="0.3">
      <c r="A43" s="107" t="str">
        <f>IF(inputPrYr!$B54&gt;"  ",(inputPrYr!$B54),"  ")</f>
        <v>Enterprise Fund - Storm Water</v>
      </c>
      <c r="B43" s="286">
        <f>'Waste Storm'!C62</f>
        <v>47825</v>
      </c>
      <c r="C43" s="196"/>
      <c r="D43" s="286">
        <f>'Waste Storm'!D62</f>
        <v>124976</v>
      </c>
      <c r="E43" s="196"/>
      <c r="F43" s="286">
        <f>'Waste Storm'!E62</f>
        <v>110293</v>
      </c>
      <c r="G43" s="286"/>
      <c r="H43" s="196"/>
      <c r="J43" s="522"/>
      <c r="K43" s="522"/>
      <c r="L43" s="522"/>
      <c r="M43" s="522"/>
    </row>
    <row r="44" spans="1:13" x14ac:dyDescent="0.3">
      <c r="A44" s="107" t="str">
        <f>IF(inputPrYr!$B55&gt;"  ",(inputPrYr!$B55),"  ")</f>
        <v>Enterprise Fund - Waste Water</v>
      </c>
      <c r="B44" s="286">
        <f>'Waste Water'!C44</f>
        <v>1300942</v>
      </c>
      <c r="C44" s="196"/>
      <c r="D44" s="767">
        <f>'Waste Water'!D44</f>
        <v>1575843</v>
      </c>
      <c r="E44" s="196"/>
      <c r="F44" s="286">
        <f>'Waste Water'!E44</f>
        <v>1481719</v>
      </c>
      <c r="G44" s="286"/>
      <c r="H44" s="196"/>
      <c r="J44" s="522"/>
      <c r="K44" s="522"/>
      <c r="L44" s="522"/>
      <c r="M44" s="522"/>
    </row>
    <row r="45" spans="1:13" x14ac:dyDescent="0.3">
      <c r="A45" s="107" t="str">
        <f>IF(inputPrYr!$B56&gt;"  ",(inputPrYr!$B56),"  ")</f>
        <v>Enterprise Fund - Water</v>
      </c>
      <c r="B45" s="286">
        <f>Water!C42</f>
        <v>1666469</v>
      </c>
      <c r="C45" s="196"/>
      <c r="D45" s="286">
        <f>Water!D42</f>
        <v>1827409</v>
      </c>
      <c r="E45" s="196"/>
      <c r="F45" s="286">
        <f>Water!E42</f>
        <v>1665041</v>
      </c>
      <c r="G45" s="286"/>
      <c r="H45" s="196"/>
      <c r="J45" s="522"/>
      <c r="K45" s="522"/>
      <c r="L45" s="522"/>
      <c r="M45" s="522"/>
    </row>
    <row r="46" spans="1:13" ht="16.2" thickBot="1" x14ac:dyDescent="0.35">
      <c r="A46" s="107" t="str">
        <f>IF(inputPrYr!$B57&gt;"  ",(inputPrYr!$B57),"  ")</f>
        <v>Non Budgeted Funds</v>
      </c>
      <c r="B46" s="286">
        <f>NonBudA!K28</f>
        <v>2249689</v>
      </c>
      <c r="C46" s="196"/>
      <c r="D46" s="286">
        <v>0</v>
      </c>
      <c r="E46" s="196"/>
      <c r="F46" s="286">
        <v>0</v>
      </c>
      <c r="G46" s="286"/>
      <c r="H46" s="196"/>
      <c r="J46" s="522"/>
      <c r="K46" s="522"/>
      <c r="L46" s="522"/>
      <c r="M46" s="522"/>
    </row>
    <row r="47" spans="1:13" x14ac:dyDescent="0.3">
      <c r="A47" s="550" t="s">
        <v>765</v>
      </c>
      <c r="B47" s="554">
        <f>SUM(B15:B46)</f>
        <v>17780125</v>
      </c>
      <c r="C47" s="555">
        <f>SUM(C15:C17)</f>
        <v>30.100999999999999</v>
      </c>
      <c r="D47" s="554">
        <f>SUM(D15:D46)</f>
        <v>17291101</v>
      </c>
      <c r="E47" s="555">
        <f>SUM(E15:E17)</f>
        <v>30.577999999999999</v>
      </c>
      <c r="F47" s="554">
        <f>SUM(F15:F46)</f>
        <v>19514346</v>
      </c>
      <c r="G47" s="554">
        <f>SUM(G15:G46)</f>
        <v>2025735.7800000003</v>
      </c>
      <c r="H47" s="555">
        <f>SUM(H15:H17)</f>
        <v>30.577999999999999</v>
      </c>
      <c r="J47" s="515" t="e">
        <f>CONCATENATE("",#REF!," Ad Valorem Tax Revenue:")</f>
        <v>#REF!</v>
      </c>
      <c r="K47" s="509"/>
      <c r="L47" s="509"/>
      <c r="M47" s="510">
        <f>G47</f>
        <v>2025735.7800000003</v>
      </c>
    </row>
    <row r="48" spans="1:13" x14ac:dyDescent="0.3">
      <c r="A48" s="74" t="s">
        <v>308</v>
      </c>
      <c r="B48" s="473">
        <f>transfers!$C$40</f>
        <v>2914573</v>
      </c>
      <c r="C48" s="542"/>
      <c r="D48" s="473">
        <f>transfers!$D$40</f>
        <v>3058311</v>
      </c>
      <c r="E48" s="542"/>
      <c r="F48" s="473">
        <f>transfers!$E$40</f>
        <v>3861366</v>
      </c>
      <c r="G48" s="474"/>
      <c r="H48" s="551"/>
      <c r="I48" s="475"/>
      <c r="J48" s="515" t="e">
        <f>CONCATENATE("",#REF!-1," Ad Valorem Tax Revenue:")</f>
        <v>#REF!</v>
      </c>
      <c r="K48" s="509"/>
      <c r="L48" s="509"/>
      <c r="M48" s="523">
        <f>ROUND(F52*M35/1000,0)</f>
        <v>2025735</v>
      </c>
    </row>
    <row r="49" spans="1:13" ht="16.2" thickBot="1" x14ac:dyDescent="0.35">
      <c r="A49" s="74" t="s">
        <v>309</v>
      </c>
      <c r="B49" s="288">
        <f>B47-B48</f>
        <v>14865552</v>
      </c>
      <c r="C49" s="154"/>
      <c r="D49" s="288">
        <f>D47-D48</f>
        <v>14232790</v>
      </c>
      <c r="E49" s="472"/>
      <c r="F49" s="288">
        <f>F47-F48</f>
        <v>15652980</v>
      </c>
      <c r="G49" s="67"/>
      <c r="H49" s="67"/>
      <c r="J49" s="520" t="s">
        <v>756</v>
      </c>
      <c r="K49" s="521"/>
      <c r="L49" s="521"/>
      <c r="M49" s="513">
        <f>SUM(M47-M48)</f>
        <v>0.78000000026077032</v>
      </c>
    </row>
    <row r="50" spans="1:13" ht="16.2" thickTop="1" x14ac:dyDescent="0.3">
      <c r="A50" s="74" t="s">
        <v>310</v>
      </c>
      <c r="B50" s="473">
        <f>inputPrYr!$E$97</f>
        <v>2048716</v>
      </c>
      <c r="C50" s="470"/>
      <c r="D50" s="473">
        <f>inputPrYr!$E$26</f>
        <v>2034437</v>
      </c>
      <c r="E50" s="470"/>
      <c r="F50" s="277" t="s">
        <v>273</v>
      </c>
      <c r="G50" s="474"/>
      <c r="H50" s="470"/>
      <c r="J50" s="514"/>
      <c r="K50" s="514"/>
      <c r="L50" s="514"/>
      <c r="M50" s="522"/>
    </row>
    <row r="51" spans="1:13" x14ac:dyDescent="0.3">
      <c r="A51" s="74" t="s">
        <v>311</v>
      </c>
      <c r="B51" s="499"/>
      <c r="C51" s="154"/>
      <c r="D51" s="499"/>
      <c r="E51" s="154"/>
      <c r="F51" s="238"/>
      <c r="G51" s="340"/>
      <c r="H51" s="154"/>
      <c r="J51" s="900" t="s">
        <v>757</v>
      </c>
      <c r="K51" s="903"/>
      <c r="L51" s="903"/>
      <c r="M51" s="904"/>
    </row>
    <row r="52" spans="1:13" x14ac:dyDescent="0.3">
      <c r="A52" s="74" t="s">
        <v>312</v>
      </c>
      <c r="B52" s="473">
        <f>inputPrYr!$E$98</f>
        <v>68062608</v>
      </c>
      <c r="C52" s="154"/>
      <c r="D52" s="473">
        <f>inputOth!$D$40</f>
        <v>66538069</v>
      </c>
      <c r="E52" s="154"/>
      <c r="F52" s="473">
        <f>inputOth!$B$14</f>
        <v>66248104</v>
      </c>
      <c r="G52" s="154"/>
      <c r="H52" s="154"/>
      <c r="J52" s="515"/>
      <c r="K52" s="509"/>
      <c r="L52" s="509"/>
      <c r="M52" s="516"/>
    </row>
    <row r="53" spans="1:13" x14ac:dyDescent="0.3">
      <c r="A53" s="74" t="s">
        <v>313</v>
      </c>
      <c r="B53" s="67"/>
      <c r="C53" s="67"/>
      <c r="D53" s="67"/>
      <c r="E53" s="67"/>
      <c r="F53" s="67"/>
      <c r="G53" s="154"/>
      <c r="H53" s="154"/>
      <c r="J53" s="515" t="e">
        <f>CONCATENATE("Current ",#REF!," Estimated Mill Rate:")</f>
        <v>#REF!</v>
      </c>
      <c r="K53" s="509"/>
      <c r="L53" s="509"/>
      <c r="M53" s="517">
        <f>H47</f>
        <v>30.577999999999999</v>
      </c>
    </row>
    <row r="54" spans="1:13" x14ac:dyDescent="0.3">
      <c r="A54" s="74" t="s">
        <v>314</v>
      </c>
      <c r="B54" s="278">
        <f>inputPrYr!D101</f>
        <v>2010</v>
      </c>
      <c r="C54" s="67"/>
      <c r="D54" s="278">
        <f>inputPrYr!E101</f>
        <v>2011</v>
      </c>
      <c r="E54" s="67"/>
      <c r="F54" s="278">
        <v>2012</v>
      </c>
      <c r="G54" s="154"/>
      <c r="H54" s="154"/>
      <c r="J54" s="515" t="e">
        <f>CONCATENATE("Desired ",#REF!," Mill Rate:")</f>
        <v>#REF!</v>
      </c>
      <c r="K54" s="509"/>
      <c r="L54" s="509"/>
      <c r="M54" s="524">
        <v>35</v>
      </c>
    </row>
    <row r="55" spans="1:13" ht="15.75" customHeight="1" x14ac:dyDescent="0.3">
      <c r="A55" s="74" t="s">
        <v>315</v>
      </c>
      <c r="B55" s="286">
        <f>inputPrYr!$D$102</f>
        <v>21165000</v>
      </c>
      <c r="C55" s="154"/>
      <c r="D55" s="286">
        <f>inputPrYr!$E$102</f>
        <v>19585000</v>
      </c>
      <c r="E55" s="154"/>
      <c r="F55" s="286">
        <f>debt!$G$20</f>
        <v>22570000</v>
      </c>
      <c r="G55" s="67"/>
      <c r="H55" s="67"/>
      <c r="J55" s="515" t="e">
        <f>CONCATENATE("",#REF!," Ad Valorem Tax:")</f>
        <v>#REF!</v>
      </c>
      <c r="K55" s="509"/>
      <c r="L55" s="509"/>
      <c r="M55" s="523">
        <f>ROUND(F52*M54/1000,0)</f>
        <v>2318684</v>
      </c>
    </row>
    <row r="56" spans="1:13" ht="15.75" customHeight="1" x14ac:dyDescent="0.3">
      <c r="A56" s="74" t="s">
        <v>316</v>
      </c>
      <c r="B56" s="473">
        <f>inputPrYr!$D$103</f>
        <v>0</v>
      </c>
      <c r="C56" s="154"/>
      <c r="D56" s="473">
        <f>inputPrYr!$E$103</f>
        <v>0</v>
      </c>
      <c r="E56" s="154"/>
      <c r="F56" s="286">
        <f>debt!$G$32</f>
        <v>0</v>
      </c>
      <c r="G56" s="67"/>
      <c r="H56" s="67"/>
      <c r="J56" s="520" t="e">
        <f>CONCATENATE("",#REF!," Tax Levy Fund Exp. Changed By:")</f>
        <v>#REF!</v>
      </c>
      <c r="K56" s="521"/>
      <c r="L56" s="521"/>
      <c r="M56" s="513">
        <f>IF(M54=0,0,(M55-G47))</f>
        <v>292948.21999999974</v>
      </c>
    </row>
    <row r="57" spans="1:13" ht="15.75" customHeight="1" x14ac:dyDescent="0.25">
      <c r="A57" s="67" t="s">
        <v>334</v>
      </c>
      <c r="B57" s="473">
        <f>inputPrYr!$D$104</f>
        <v>4890000</v>
      </c>
      <c r="C57" s="154"/>
      <c r="D57" s="473">
        <f>inputPrYr!$E$104</f>
        <v>4890000</v>
      </c>
      <c r="E57" s="154"/>
      <c r="F57" s="286">
        <f>debt!$G$42</f>
        <v>0</v>
      </c>
      <c r="G57" s="67"/>
      <c r="H57" s="67"/>
    </row>
    <row r="58" spans="1:13" ht="15.75" customHeight="1" x14ac:dyDescent="0.25">
      <c r="A58" s="74" t="s">
        <v>64</v>
      </c>
      <c r="B58" s="473">
        <f>inputPrYr!$D$105</f>
        <v>643562</v>
      </c>
      <c r="C58" s="154"/>
      <c r="D58" s="473">
        <f>inputPrYr!$E$105</f>
        <v>435560</v>
      </c>
      <c r="E58" s="154"/>
      <c r="F58" s="286">
        <f>lpform!$G$28</f>
        <v>279147</v>
      </c>
      <c r="G58" s="67"/>
      <c r="H58" s="67"/>
    </row>
    <row r="59" spans="1:13" ht="18.75" customHeight="1" thickBot="1" x14ac:dyDescent="0.3">
      <c r="A59" s="74" t="s">
        <v>317</v>
      </c>
      <c r="B59" s="525">
        <f>SUM(B55:B58)</f>
        <v>26698562</v>
      </c>
      <c r="C59" s="154"/>
      <c r="D59" s="525">
        <f>SUM(D55:D58)</f>
        <v>24910560</v>
      </c>
      <c r="E59" s="154"/>
      <c r="F59" s="525">
        <f>SUM(F55:F58)</f>
        <v>22849147</v>
      </c>
      <c r="G59" s="67"/>
      <c r="H59" s="67"/>
    </row>
    <row r="60" spans="1:13" ht="18.75" customHeight="1" thickTop="1" x14ac:dyDescent="0.25">
      <c r="A60" s="74" t="s">
        <v>318</v>
      </c>
      <c r="B60" s="67"/>
      <c r="C60" s="67"/>
      <c r="D60" s="67"/>
      <c r="E60" s="67"/>
      <c r="F60" s="67"/>
      <c r="G60" s="67"/>
      <c r="H60" s="67"/>
    </row>
    <row r="61" spans="1:13" ht="18" customHeight="1" x14ac:dyDescent="0.25">
      <c r="A61" s="74"/>
      <c r="B61" s="96"/>
      <c r="C61" s="67"/>
      <c r="D61" s="67"/>
      <c r="E61" s="67"/>
      <c r="F61" s="67"/>
      <c r="G61" s="67"/>
      <c r="H61" s="67"/>
    </row>
    <row r="62" spans="1:13" ht="19.5" customHeight="1" x14ac:dyDescent="0.25">
      <c r="A62" s="909" t="str">
        <f>inputBudSum!B3</f>
        <v>City of Bonner Springs</v>
      </c>
      <c r="B62" s="910"/>
      <c r="C62" s="543"/>
      <c r="D62" s="67"/>
      <c r="E62" s="67"/>
      <c r="F62" s="67"/>
      <c r="G62" s="67"/>
      <c r="H62" s="67"/>
    </row>
    <row r="63" spans="1:13" ht="18.75" customHeight="1" x14ac:dyDescent="0.25">
      <c r="A63" s="908" t="str">
        <f>CONCATENATE("City Official Title: ",inputBudSum!B5,"")</f>
        <v>City Official Title: City Clerk</v>
      </c>
      <c r="B63" s="890"/>
      <c r="C63" s="96"/>
      <c r="D63" s="67"/>
      <c r="E63" s="67"/>
      <c r="F63" s="67"/>
      <c r="G63" s="67"/>
      <c r="H63" s="67"/>
    </row>
    <row r="64" spans="1:13" x14ac:dyDescent="0.25">
      <c r="A64" s="209"/>
      <c r="B64" s="906"/>
      <c r="C64" s="907"/>
      <c r="D64" s="67"/>
      <c r="E64" s="67"/>
      <c r="F64" s="67"/>
      <c r="G64" s="67"/>
      <c r="H64" s="67"/>
    </row>
    <row r="65" spans="1:8" x14ac:dyDescent="0.25">
      <c r="A65" s="905"/>
      <c r="B65" s="905"/>
      <c r="C65" s="178" t="s">
        <v>291</v>
      </c>
      <c r="D65" s="280">
        <v>27</v>
      </c>
      <c r="E65" s="67"/>
      <c r="F65" s="67"/>
      <c r="G65" s="67"/>
      <c r="H65" s="67"/>
    </row>
    <row r="66" spans="1:8" x14ac:dyDescent="0.25">
      <c r="A66" s="553"/>
      <c r="B66" s="552"/>
      <c r="C66" s="543"/>
      <c r="D66" s="67"/>
      <c r="E66" s="67"/>
      <c r="F66" s="67"/>
      <c r="G66" s="67"/>
      <c r="H66" s="67"/>
    </row>
    <row r="67" spans="1:8" x14ac:dyDescent="0.25">
      <c r="A67" s="67"/>
      <c r="B67" s="67"/>
      <c r="C67" s="67"/>
      <c r="D67" s="67"/>
      <c r="E67" s="67"/>
      <c r="F67" s="67"/>
      <c r="G67" s="67"/>
      <c r="H67" s="67"/>
    </row>
  </sheetData>
  <mergeCells count="15">
    <mergeCell ref="J29:M29"/>
    <mergeCell ref="J33:M33"/>
    <mergeCell ref="J51:M51"/>
    <mergeCell ref="A65:B65"/>
    <mergeCell ref="B64:C64"/>
    <mergeCell ref="A63:B63"/>
    <mergeCell ref="A62:B62"/>
    <mergeCell ref="F12:H12"/>
    <mergeCell ref="A1:H1"/>
    <mergeCell ref="A3:H3"/>
    <mergeCell ref="A4:H4"/>
    <mergeCell ref="A5:H5"/>
    <mergeCell ref="A7:H7"/>
    <mergeCell ref="A2:H2"/>
    <mergeCell ref="A6:G6"/>
  </mergeCells>
  <phoneticPr fontId="0" type="noConversion"/>
  <pageMargins left="0.5" right="0.5" top="1" bottom="0.5" header="0.5" footer="0.5"/>
  <pageSetup scale="61" orientation="portrait" blackAndWhite="1" horizontalDpi="120" verticalDpi="144"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selection activeCell="C40" sqref="C40"/>
    </sheetView>
  </sheetViews>
  <sheetFormatPr defaultColWidth="8.9140625" defaultRowHeight="15" x14ac:dyDescent="0.25"/>
  <cols>
    <col min="1" max="1" width="9.58203125" style="127" customWidth="1"/>
    <col min="2" max="2" width="18.25" style="127" customWidth="1"/>
    <col min="3" max="3" width="11.75" style="127" customWidth="1"/>
    <col min="4" max="4" width="12.75" style="127" customWidth="1"/>
    <col min="5" max="5" width="11.75" style="127" customWidth="1"/>
    <col min="6" max="16384" width="8.9140625" style="127"/>
  </cols>
  <sheetData>
    <row r="1" spans="1:6" ht="15.6" x14ac:dyDescent="0.25">
      <c r="A1" s="235" t="str">
        <f>inputPrYr!D3</f>
        <v>City of Bonner Springs</v>
      </c>
      <c r="B1" s="67"/>
      <c r="C1" s="67"/>
      <c r="D1" s="67"/>
      <c r="E1" s="67"/>
      <c r="F1" s="67">
        <f>inputPrYr!C10</f>
        <v>2013</v>
      </c>
    </row>
    <row r="2" spans="1:6" ht="15.6" x14ac:dyDescent="0.25">
      <c r="A2" s="67"/>
      <c r="B2" s="67"/>
      <c r="C2" s="67"/>
      <c r="D2" s="67"/>
      <c r="E2" s="67"/>
      <c r="F2" s="67"/>
    </row>
    <row r="3" spans="1:6" ht="15.6" x14ac:dyDescent="0.25">
      <c r="A3" s="67"/>
      <c r="B3" s="864" t="str">
        <f>CONCATENATE("",F1," Neighborhood Revitalization Rebate")</f>
        <v>2013 Neighborhood Revitalization Rebate</v>
      </c>
      <c r="C3" s="912"/>
      <c r="D3" s="912"/>
      <c r="E3" s="912"/>
      <c r="F3" s="67"/>
    </row>
    <row r="4" spans="1:6" ht="15.6" x14ac:dyDescent="0.25">
      <c r="A4" s="67"/>
      <c r="B4" s="67"/>
      <c r="C4" s="67"/>
      <c r="D4" s="67"/>
      <c r="E4" s="67"/>
      <c r="F4" s="67"/>
    </row>
    <row r="5" spans="1:6" ht="51" customHeight="1" x14ac:dyDescent="0.25">
      <c r="A5" s="67"/>
      <c r="B5" s="281" t="str">
        <f>CONCATENATE("Budgeted Funds                     for ",F1,"")</f>
        <v>Budgeted Funds                     for 2013</v>
      </c>
      <c r="C5" s="281" t="str">
        <f>CONCATENATE("",F1-1," Ad Valorem before Rebate**")</f>
        <v>2012 Ad Valorem before Rebate**</v>
      </c>
      <c r="D5" s="282" t="str">
        <f>CONCATENATE("",F1-1," Mil Rate before Rebate")</f>
        <v>2012 Mil Rate before Rebate</v>
      </c>
      <c r="E5" s="283" t="str">
        <f>CONCATENATE("Estimate ",F1," NR Rebate")</f>
        <v>Estimate 2013 NR Rebate</v>
      </c>
      <c r="F5" s="120"/>
    </row>
    <row r="6" spans="1:6" ht="15.6" x14ac:dyDescent="0.25">
      <c r="A6" s="67"/>
      <c r="B6" s="87" t="str">
        <f>inputPrYr!B22</f>
        <v>General</v>
      </c>
      <c r="C6" s="284"/>
      <c r="D6" s="285" t="str">
        <f>IF(C6&gt;0,C6/$D$24,"")</f>
        <v/>
      </c>
      <c r="E6" s="286" t="str">
        <f t="shared" ref="E6:E17" si="0">IF(C6&gt;0,ROUND(D6*$D$28,0),"")</f>
        <v/>
      </c>
      <c r="F6" s="120"/>
    </row>
    <row r="7" spans="1:6" ht="15.6" x14ac:dyDescent="0.25">
      <c r="A7" s="67"/>
      <c r="B7" s="87" t="str">
        <f>inputPrYr!B23</f>
        <v>Debt Service</v>
      </c>
      <c r="C7" s="284"/>
      <c r="D7" s="285" t="str">
        <f t="shared" ref="D7:D17" si="1">IF(C7&gt;0,C7/$D$24,"")</f>
        <v/>
      </c>
      <c r="E7" s="286" t="str">
        <f t="shared" si="0"/>
        <v/>
      </c>
      <c r="F7" s="120"/>
    </row>
    <row r="8" spans="1:6" ht="15.6" x14ac:dyDescent="0.25">
      <c r="A8" s="67"/>
      <c r="B8" s="107" t="str">
        <f>inputPrYr!B24</f>
        <v>Library</v>
      </c>
      <c r="C8" s="284"/>
      <c r="D8" s="285" t="str">
        <f t="shared" si="1"/>
        <v/>
      </c>
      <c r="E8" s="286" t="str">
        <f t="shared" si="0"/>
        <v/>
      </c>
      <c r="F8" s="120"/>
    </row>
    <row r="9" spans="1:6" ht="15.6" x14ac:dyDescent="0.25">
      <c r="A9" s="67"/>
      <c r="B9" s="107" t="e">
        <f>inputPrYr!#REF!</f>
        <v>#REF!</v>
      </c>
      <c r="C9" s="284"/>
      <c r="D9" s="285" t="str">
        <f t="shared" si="1"/>
        <v/>
      </c>
      <c r="E9" s="286" t="str">
        <f t="shared" si="0"/>
        <v/>
      </c>
      <c r="F9" s="120"/>
    </row>
    <row r="10" spans="1:6" ht="15.6" x14ac:dyDescent="0.25">
      <c r="A10" s="67"/>
      <c r="B10" s="107" t="e">
        <f>inputPrYr!#REF!</f>
        <v>#REF!</v>
      </c>
      <c r="C10" s="284"/>
      <c r="D10" s="285" t="str">
        <f t="shared" si="1"/>
        <v/>
      </c>
      <c r="E10" s="286" t="str">
        <f t="shared" si="0"/>
        <v/>
      </c>
      <c r="F10" s="120"/>
    </row>
    <row r="11" spans="1:6" ht="15.6" x14ac:dyDescent="0.25">
      <c r="A11" s="67"/>
      <c r="B11" s="107" t="e">
        <f>inputPrYr!#REF!</f>
        <v>#REF!</v>
      </c>
      <c r="C11" s="284"/>
      <c r="D11" s="285" t="str">
        <f t="shared" si="1"/>
        <v/>
      </c>
      <c r="E11" s="286" t="str">
        <f t="shared" si="0"/>
        <v/>
      </c>
      <c r="F11" s="120"/>
    </row>
    <row r="12" spans="1:6" ht="15.6" x14ac:dyDescent="0.25">
      <c r="A12" s="67"/>
      <c r="B12" s="107" t="e">
        <f>inputPrYr!#REF!</f>
        <v>#REF!</v>
      </c>
      <c r="C12" s="287"/>
      <c r="D12" s="285" t="str">
        <f t="shared" si="1"/>
        <v/>
      </c>
      <c r="E12" s="286" t="str">
        <f t="shared" si="0"/>
        <v/>
      </c>
      <c r="F12" s="120"/>
    </row>
    <row r="13" spans="1:6" ht="15.6" x14ac:dyDescent="0.25">
      <c r="A13" s="67"/>
      <c r="B13" s="107" t="e">
        <f>inputPrYr!#REF!</f>
        <v>#REF!</v>
      </c>
      <c r="C13" s="287"/>
      <c r="D13" s="285" t="str">
        <f t="shared" si="1"/>
        <v/>
      </c>
      <c r="E13" s="286" t="str">
        <f t="shared" si="0"/>
        <v/>
      </c>
      <c r="F13" s="120"/>
    </row>
    <row r="14" spans="1:6" ht="15.6" x14ac:dyDescent="0.25">
      <c r="A14" s="67"/>
      <c r="B14" s="107" t="e">
        <f>inputPrYr!#REF!</f>
        <v>#REF!</v>
      </c>
      <c r="C14" s="287"/>
      <c r="D14" s="285" t="str">
        <f t="shared" si="1"/>
        <v/>
      </c>
      <c r="E14" s="286" t="str">
        <f t="shared" si="0"/>
        <v/>
      </c>
      <c r="F14" s="120"/>
    </row>
    <row r="15" spans="1:6" ht="15.6" x14ac:dyDescent="0.25">
      <c r="A15" s="67"/>
      <c r="B15" s="107" t="e">
        <f>inputPrYr!#REF!</f>
        <v>#REF!</v>
      </c>
      <c r="C15" s="287"/>
      <c r="D15" s="285" t="str">
        <f t="shared" si="1"/>
        <v/>
      </c>
      <c r="E15" s="286" t="str">
        <f t="shared" si="0"/>
        <v/>
      </c>
      <c r="F15" s="120"/>
    </row>
    <row r="16" spans="1:6" ht="15.6" x14ac:dyDescent="0.25">
      <c r="A16" s="67"/>
      <c r="B16" s="107" t="e">
        <f>inputPrYr!#REF!</f>
        <v>#REF!</v>
      </c>
      <c r="C16" s="287"/>
      <c r="D16" s="285" t="str">
        <f t="shared" si="1"/>
        <v/>
      </c>
      <c r="E16" s="286" t="str">
        <f t="shared" si="0"/>
        <v/>
      </c>
      <c r="F16" s="120"/>
    </row>
    <row r="17" spans="1:6" ht="15.6" x14ac:dyDescent="0.25">
      <c r="A17" s="67"/>
      <c r="B17" s="107" t="e">
        <f>inputPrYr!#REF!</f>
        <v>#REF!</v>
      </c>
      <c r="C17" s="287"/>
      <c r="D17" s="285" t="str">
        <f t="shared" si="1"/>
        <v/>
      </c>
      <c r="E17" s="286" t="str">
        <f t="shared" si="0"/>
        <v/>
      </c>
      <c r="F17" s="120"/>
    </row>
    <row r="18" spans="1:6" ht="15.6" x14ac:dyDescent="0.25">
      <c r="A18" s="67"/>
      <c r="B18" s="107" t="e">
        <f>inputPrYr!#REF!</f>
        <v>#REF!</v>
      </c>
      <c r="C18" s="287"/>
      <c r="D18" s="285" t="str">
        <f>IF(C18&gt;0,C18/$D$24,"")</f>
        <v/>
      </c>
      <c r="E18" s="286" t="str">
        <f>IF(C18&gt;0,ROUND(D18*$D$28,0),"")</f>
        <v/>
      </c>
      <c r="F18" s="120"/>
    </row>
    <row r="19" spans="1:6" ht="16.2" thickBot="1" x14ac:dyDescent="0.3">
      <c r="A19" s="67"/>
      <c r="B19" s="88" t="s">
        <v>278</v>
      </c>
      <c r="C19" s="288">
        <f>SUM(C6:C18)</f>
        <v>0</v>
      </c>
      <c r="D19" s="289">
        <f>SUM(D6:D18)</f>
        <v>0</v>
      </c>
      <c r="E19" s="288">
        <f>SUM(E6:E18)</f>
        <v>0</v>
      </c>
      <c r="F19" s="120"/>
    </row>
    <row r="20" spans="1:6" ht="16.2" thickTop="1" x14ac:dyDescent="0.25">
      <c r="A20" s="67"/>
      <c r="B20" s="67"/>
      <c r="C20" s="67"/>
      <c r="D20" s="67"/>
      <c r="E20" s="67"/>
      <c r="F20" s="120"/>
    </row>
    <row r="21" spans="1:6" ht="15.6" x14ac:dyDescent="0.25">
      <c r="A21" s="67"/>
      <c r="B21" s="67"/>
      <c r="C21" s="67"/>
      <c r="D21" s="67"/>
      <c r="E21" s="67"/>
      <c r="F21" s="120"/>
    </row>
    <row r="22" spans="1:6" ht="15.6" x14ac:dyDescent="0.25">
      <c r="A22" s="913" t="str">
        <f>CONCATENATE("",F1-1," July 1 Valuation:")</f>
        <v>2012 July 1 Valuation:</v>
      </c>
      <c r="B22" s="878"/>
      <c r="C22" s="913"/>
      <c r="D22" s="279">
        <f>inputOth!B14</f>
        <v>66248104</v>
      </c>
      <c r="E22" s="67"/>
      <c r="F22" s="120"/>
    </row>
    <row r="23" spans="1:6" ht="15.6" x14ac:dyDescent="0.25">
      <c r="A23" s="67"/>
      <c r="B23" s="67"/>
      <c r="C23" s="67"/>
      <c r="D23" s="67"/>
      <c r="E23" s="67"/>
      <c r="F23" s="120"/>
    </row>
    <row r="24" spans="1:6" ht="15.6" x14ac:dyDescent="0.25">
      <c r="A24" s="67"/>
      <c r="B24" s="913" t="s">
        <v>354</v>
      </c>
      <c r="C24" s="913"/>
      <c r="D24" s="290">
        <f>IF(D22&gt;0,(D22*0.001),"")</f>
        <v>66248.104000000007</v>
      </c>
      <c r="E24" s="67"/>
      <c r="F24" s="120"/>
    </row>
    <row r="25" spans="1:6" ht="15.6" x14ac:dyDescent="0.25">
      <c r="A25" s="67"/>
      <c r="B25" s="178"/>
      <c r="C25" s="178"/>
      <c r="D25" s="291"/>
      <c r="E25" s="67"/>
      <c r="F25" s="120"/>
    </row>
    <row r="26" spans="1:6" ht="15.6" x14ac:dyDescent="0.25">
      <c r="A26" s="911" t="s">
        <v>355</v>
      </c>
      <c r="B26" s="839"/>
      <c r="C26" s="839"/>
      <c r="D26" s="292">
        <f>inputOth!E25</f>
        <v>0</v>
      </c>
      <c r="E26" s="90"/>
      <c r="F26" s="90"/>
    </row>
    <row r="27" spans="1:6" x14ac:dyDescent="0.25">
      <c r="A27" s="90"/>
      <c r="B27" s="90"/>
      <c r="C27" s="90"/>
      <c r="D27" s="293"/>
      <c r="E27" s="90"/>
      <c r="F27" s="90"/>
    </row>
    <row r="28" spans="1:6" ht="15.6" x14ac:dyDescent="0.25">
      <c r="A28" s="90"/>
      <c r="B28" s="911" t="s">
        <v>356</v>
      </c>
      <c r="C28" s="878"/>
      <c r="D28" s="294" t="str">
        <f>IF(D26&gt;0,(D26*0.001),"")</f>
        <v/>
      </c>
      <c r="E28" s="90"/>
      <c r="F28" s="90"/>
    </row>
    <row r="29" spans="1:6" x14ac:dyDescent="0.25">
      <c r="A29" s="90"/>
      <c r="B29" s="90"/>
      <c r="C29" s="90"/>
      <c r="D29" s="90"/>
      <c r="E29" s="90"/>
      <c r="F29" s="90"/>
    </row>
    <row r="30" spans="1:6" x14ac:dyDescent="0.25">
      <c r="A30" s="90"/>
      <c r="B30" s="90"/>
      <c r="C30" s="90"/>
      <c r="D30" s="90"/>
      <c r="E30" s="90"/>
      <c r="F30" s="90"/>
    </row>
    <row r="31" spans="1:6" x14ac:dyDescent="0.25">
      <c r="A31" s="90"/>
      <c r="B31" s="90"/>
      <c r="C31" s="90"/>
      <c r="D31" s="90"/>
      <c r="E31" s="90"/>
      <c r="F31" s="90"/>
    </row>
    <row r="32" spans="1:6" ht="15.6" x14ac:dyDescent="0.3">
      <c r="A32" s="412" t="str">
        <f>CONCATENATE("**This information comes from the ",F1," Budget Summary page.  See instructions tab #13 for completing")</f>
        <v>**This information comes from the 2013 Budget Summary page.  See instructions tab #13 for completing</v>
      </c>
      <c r="B32" s="90"/>
      <c r="C32" s="90"/>
      <c r="D32" s="90"/>
      <c r="E32" s="90"/>
      <c r="F32" s="90"/>
    </row>
    <row r="33" spans="1:6" ht="15.6" x14ac:dyDescent="0.3">
      <c r="A33" s="412" t="s">
        <v>643</v>
      </c>
      <c r="B33" s="90"/>
      <c r="C33" s="90"/>
      <c r="D33" s="90"/>
      <c r="E33" s="90"/>
      <c r="F33" s="90"/>
    </row>
    <row r="34" spans="1:6" ht="15.6" x14ac:dyDescent="0.3">
      <c r="A34" s="412"/>
      <c r="B34" s="90"/>
      <c r="C34" s="90"/>
      <c r="D34" s="90"/>
      <c r="E34" s="90"/>
      <c r="F34" s="90"/>
    </row>
    <row r="35" spans="1:6" ht="15.6" x14ac:dyDescent="0.3">
      <c r="A35" s="412"/>
      <c r="B35" s="90"/>
      <c r="C35" s="90"/>
      <c r="D35" s="90"/>
      <c r="E35" s="90"/>
      <c r="F35" s="90"/>
    </row>
    <row r="36" spans="1:6" ht="15.6" x14ac:dyDescent="0.3">
      <c r="A36" s="412"/>
      <c r="B36" s="90"/>
      <c r="C36" s="90"/>
      <c r="D36" s="90"/>
      <c r="E36" s="90"/>
      <c r="F36" s="90"/>
    </row>
    <row r="37" spans="1:6" ht="15.6" x14ac:dyDescent="0.3">
      <c r="A37" s="412"/>
      <c r="B37" s="90"/>
      <c r="C37" s="90"/>
      <c r="D37" s="90"/>
      <c r="E37" s="90"/>
      <c r="F37" s="90"/>
    </row>
    <row r="38" spans="1:6" ht="15.6" x14ac:dyDescent="0.3">
      <c r="A38" s="412"/>
      <c r="B38" s="90"/>
      <c r="C38" s="90"/>
      <c r="D38" s="90"/>
      <c r="E38" s="90"/>
      <c r="F38" s="90"/>
    </row>
    <row r="39" spans="1:6" x14ac:dyDescent="0.25">
      <c r="A39" s="90"/>
      <c r="B39" s="90"/>
      <c r="C39" s="90"/>
      <c r="D39" s="90"/>
      <c r="E39" s="90"/>
      <c r="F39" s="90"/>
    </row>
    <row r="40" spans="1:6" ht="15.6" x14ac:dyDescent="0.25">
      <c r="A40" s="90"/>
      <c r="B40" s="225" t="s">
        <v>299</v>
      </c>
      <c r="C40" s="280"/>
      <c r="D40" s="90"/>
      <c r="E40" s="90"/>
      <c r="F40" s="90"/>
    </row>
    <row r="41" spans="1:6" ht="15.6" x14ac:dyDescent="0.25">
      <c r="A41" s="120"/>
      <c r="B41" s="67"/>
      <c r="C41" s="67"/>
      <c r="D41" s="295"/>
      <c r="E41" s="120"/>
      <c r="F41" s="120"/>
    </row>
  </sheetData>
  <sheetProtection sheet="1"/>
  <mergeCells count="5">
    <mergeCell ref="B28:C28"/>
    <mergeCell ref="B3:E3"/>
    <mergeCell ref="A22:C22"/>
    <mergeCell ref="B24:C24"/>
    <mergeCell ref="A26:C26"/>
  </mergeCells>
  <phoneticPr fontId="9" type="noConversion"/>
  <pageMargins left="0.75" right="0.75" top="1" bottom="1" header="0.5" footer="0.5"/>
  <pageSetup scale="91" orientation="portrait" blackAndWhite="1"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activeCell="H4" sqref="H4"/>
    </sheetView>
  </sheetViews>
  <sheetFormatPr defaultColWidth="8.9140625" defaultRowHeight="15.6" x14ac:dyDescent="0.3"/>
  <cols>
    <col min="1" max="16384" width="8.9140625" style="1"/>
  </cols>
  <sheetData>
    <row r="1" spans="1:14" ht="16.5" customHeight="1" x14ac:dyDescent="0.3">
      <c r="A1" s="914" t="s">
        <v>66</v>
      </c>
      <c r="B1" s="914"/>
      <c r="C1" s="914"/>
      <c r="D1" s="914"/>
      <c r="E1" s="914"/>
      <c r="F1" s="914"/>
      <c r="G1" s="914"/>
    </row>
    <row r="2" spans="1:14" ht="16.5" customHeight="1" x14ac:dyDescent="0.3">
      <c r="A2" s="914"/>
      <c r="B2" s="914"/>
      <c r="C2" s="914"/>
      <c r="D2" s="914"/>
      <c r="E2" s="914"/>
      <c r="F2" s="914"/>
      <c r="G2" s="914"/>
    </row>
    <row r="3" spans="1:14" ht="16.5" customHeight="1" x14ac:dyDescent="0.3">
      <c r="A3" s="915"/>
      <c r="B3" s="915"/>
      <c r="C3" s="915"/>
      <c r="D3" s="915"/>
      <c r="E3" s="915"/>
      <c r="F3" s="915"/>
      <c r="G3" s="915"/>
    </row>
    <row r="4" spans="1:14" ht="16.5" customHeight="1" x14ac:dyDescent="0.3">
      <c r="A4" s="916" t="str">
        <f>CONCATENATE("AN ORDINANCE ATTESTING TO AN INCREASE IN TAX REVENUES FOR BUDGET YEAR ",inputPrYr!C10," FOR THE ",(inputPrYr!$D$3))</f>
        <v>AN ORDINANCE ATTESTING TO AN INCREASE IN TAX REVENUES FOR BUDGET YEAR 2013 FOR THE City of Bonner Springs</v>
      </c>
      <c r="B4" s="916"/>
      <c r="C4" s="916"/>
      <c r="D4" s="916"/>
      <c r="E4" s="916"/>
      <c r="F4" s="916"/>
      <c r="G4" s="916"/>
    </row>
    <row r="5" spans="1:14" ht="16.5" customHeight="1" x14ac:dyDescent="0.3">
      <c r="A5" s="916"/>
      <c r="B5" s="916"/>
      <c r="C5" s="916"/>
      <c r="D5" s="916"/>
      <c r="E5" s="916"/>
      <c r="F5" s="916"/>
      <c r="G5" s="916"/>
    </row>
    <row r="6" spans="1:14" ht="16.5" customHeight="1" x14ac:dyDescent="0.3">
      <c r="A6" s="914"/>
      <c r="B6" s="914"/>
      <c r="C6" s="914"/>
      <c r="D6" s="914"/>
      <c r="E6" s="914"/>
      <c r="F6" s="914"/>
      <c r="G6" s="914"/>
    </row>
    <row r="7" spans="1:14" ht="16.5" customHeight="1" x14ac:dyDescent="0.3">
      <c r="A7" s="916" t="str">
        <f>CONCATENATE("WHEREAS, the ",(inputPrYr!$D$3)," must continue to provide services to protect the health, safety, and welfare of the citizens of this community; and")</f>
        <v>WHEREAS, the City of Bonner Springs must continue to provide services to protect the health, safety, and welfare of the citizens of this community; and</v>
      </c>
      <c r="B7" s="916"/>
      <c r="C7" s="916"/>
      <c r="D7" s="916"/>
      <c r="E7" s="916"/>
      <c r="F7" s="916"/>
      <c r="G7" s="916"/>
      <c r="H7" s="41"/>
      <c r="I7" s="41"/>
      <c r="J7" s="41"/>
      <c r="K7" s="41"/>
      <c r="L7" s="41"/>
      <c r="M7" s="41"/>
      <c r="N7" s="41"/>
    </row>
    <row r="8" spans="1:14" ht="16.5" customHeight="1" x14ac:dyDescent="0.3">
      <c r="A8" s="916"/>
      <c r="B8" s="916"/>
      <c r="C8" s="916"/>
      <c r="D8" s="916"/>
      <c r="E8" s="916"/>
      <c r="F8" s="916"/>
      <c r="G8" s="916"/>
      <c r="H8" s="41"/>
      <c r="I8" s="41"/>
      <c r="J8" s="41"/>
      <c r="K8" s="41"/>
      <c r="L8" s="41"/>
      <c r="M8" s="41"/>
      <c r="N8" s="41"/>
    </row>
    <row r="9" spans="1:14" ht="16.5" customHeight="1" x14ac:dyDescent="0.3">
      <c r="A9" s="42"/>
      <c r="B9" s="42"/>
      <c r="C9" s="42"/>
      <c r="D9" s="42"/>
      <c r="E9" s="42"/>
      <c r="F9" s="42"/>
      <c r="G9" s="42"/>
    </row>
    <row r="10" spans="1:14" ht="16.5" customHeight="1" x14ac:dyDescent="0.3">
      <c r="A10" s="916" t="s">
        <v>67</v>
      </c>
      <c r="B10" s="916"/>
      <c r="C10" s="916"/>
      <c r="D10" s="916"/>
      <c r="E10" s="916"/>
      <c r="F10" s="916"/>
      <c r="G10" s="916"/>
    </row>
    <row r="11" spans="1:14" ht="16.5" customHeight="1" x14ac:dyDescent="0.3">
      <c r="A11" s="916"/>
      <c r="B11" s="916"/>
      <c r="C11" s="916"/>
      <c r="D11" s="916"/>
      <c r="E11" s="916"/>
      <c r="F11" s="916"/>
      <c r="G11" s="916"/>
    </row>
    <row r="12" spans="1:14" ht="16.5" customHeight="1" x14ac:dyDescent="0.3">
      <c r="A12" s="42"/>
      <c r="B12" s="42"/>
      <c r="C12" s="42"/>
      <c r="D12" s="42"/>
      <c r="E12" s="42"/>
      <c r="F12" s="42"/>
      <c r="G12" s="42"/>
    </row>
    <row r="13" spans="1:14" ht="16.5" customHeight="1" x14ac:dyDescent="0.3">
      <c r="A13" s="916" t="str">
        <f>CONCATENATE("NOW THEREFORE, be it ordained by the Governing Body of the ",(inputPrYr!$D$3),":")</f>
        <v>NOW THEREFORE, be it ordained by the Governing Body of the City of Bonner Springs:</v>
      </c>
      <c r="B13" s="916"/>
      <c r="C13" s="916"/>
      <c r="D13" s="916"/>
      <c r="E13" s="916"/>
      <c r="F13" s="916"/>
      <c r="G13" s="916"/>
      <c r="H13" s="41"/>
      <c r="I13" s="41"/>
      <c r="J13" s="41"/>
      <c r="K13" s="41"/>
      <c r="L13" s="41"/>
      <c r="M13" s="41"/>
      <c r="N13" s="41"/>
    </row>
    <row r="14" spans="1:14" ht="16.5" customHeight="1" x14ac:dyDescent="0.3">
      <c r="A14" s="916"/>
      <c r="B14" s="916"/>
      <c r="C14" s="916"/>
      <c r="D14" s="916"/>
      <c r="E14" s="916"/>
      <c r="F14" s="916"/>
      <c r="G14" s="916"/>
      <c r="H14" s="41"/>
      <c r="I14" s="41"/>
      <c r="J14" s="41"/>
      <c r="K14" s="41"/>
      <c r="L14" s="41"/>
      <c r="M14" s="41"/>
      <c r="N14" s="41"/>
    </row>
    <row r="15" spans="1:14" ht="16.5" customHeight="1" x14ac:dyDescent="0.3">
      <c r="A15" s="916" t="str">
        <f>CONCATENATE("Section One.  In accordance with state law, the ",(inputPrYr!$D$3),"  has scheduled a public hearing and has prepared the proposed budget necessary to fund city services from January 1, ",inputPrYr!C10," until December 31, ",inputPrYr!C10,".")</f>
        <v>Section One.  In accordance with state law, the City of Bonner Springs  has scheduled a public hearing and has prepared the proposed budget necessary to fund city services from January 1, 2013 until December 31, 2013.</v>
      </c>
      <c r="B15" s="916"/>
      <c r="C15" s="916"/>
      <c r="D15" s="916"/>
      <c r="E15" s="916"/>
      <c r="F15" s="916"/>
      <c r="G15" s="916"/>
      <c r="H15" s="41"/>
      <c r="I15" s="41"/>
      <c r="J15" s="41"/>
      <c r="K15" s="41"/>
      <c r="L15" s="41"/>
      <c r="M15" s="41"/>
      <c r="N15" s="41"/>
    </row>
    <row r="16" spans="1:14" ht="16.5" customHeight="1" x14ac:dyDescent="0.3">
      <c r="A16" s="916"/>
      <c r="B16" s="916"/>
      <c r="C16" s="916"/>
      <c r="D16" s="916"/>
      <c r="E16" s="916"/>
      <c r="F16" s="916"/>
      <c r="G16" s="916"/>
      <c r="H16" s="41"/>
      <c r="I16" s="41"/>
      <c r="J16" s="41"/>
      <c r="K16" s="41"/>
      <c r="L16" s="41"/>
      <c r="M16" s="41"/>
      <c r="N16" s="41"/>
    </row>
    <row r="17" spans="1:14" ht="16.5" customHeight="1" x14ac:dyDescent="0.3">
      <c r="A17" s="916"/>
      <c r="B17" s="916"/>
      <c r="C17" s="916"/>
      <c r="D17" s="916"/>
      <c r="E17" s="916"/>
      <c r="F17" s="916"/>
      <c r="G17" s="916"/>
      <c r="H17" s="41"/>
      <c r="I17" s="41"/>
      <c r="J17" s="41"/>
      <c r="K17" s="41"/>
      <c r="L17" s="41"/>
      <c r="M17" s="41"/>
      <c r="N17" s="41"/>
    </row>
    <row r="18" spans="1:14" ht="16.5" customHeight="1" x14ac:dyDescent="0.3">
      <c r="A18" s="41"/>
      <c r="B18" s="41"/>
      <c r="C18" s="41"/>
      <c r="D18" s="41"/>
      <c r="E18" s="41"/>
      <c r="F18" s="41"/>
      <c r="G18" s="41"/>
    </row>
    <row r="19" spans="1:14" ht="16.5" customHeight="1" x14ac:dyDescent="0.3">
      <c r="A19" s="918" t="s">
        <v>117</v>
      </c>
      <c r="B19" s="918"/>
      <c r="C19" s="918"/>
      <c r="D19" s="918"/>
      <c r="E19" s="918"/>
      <c r="F19" s="918"/>
      <c r="G19" s="918"/>
    </row>
    <row r="20" spans="1:14" ht="16.5" customHeight="1" x14ac:dyDescent="0.3">
      <c r="A20" s="918" t="s">
        <v>118</v>
      </c>
      <c r="B20" s="918"/>
      <c r="C20" s="918"/>
      <c r="D20" s="918"/>
      <c r="E20" s="918"/>
      <c r="F20" s="918"/>
      <c r="G20" s="918"/>
    </row>
    <row r="21" spans="1:14" ht="16.5" customHeight="1" x14ac:dyDescent="0.3">
      <c r="A21" s="918" t="str">
        <f>CONCATENATE("necessary to budget property tax revenues in an amount exceeding the levy in the ",inputPrYr!C10-1,"")</f>
        <v>necessary to budget property tax revenues in an amount exceeding the levy in the 2012</v>
      </c>
      <c r="B21" s="918"/>
      <c r="C21" s="918"/>
      <c r="D21" s="918"/>
      <c r="E21" s="918"/>
      <c r="F21" s="918"/>
      <c r="G21" s="918"/>
    </row>
    <row r="22" spans="1:14" ht="16.5" customHeight="1" x14ac:dyDescent="0.3">
      <c r="A22" s="43" t="s">
        <v>119</v>
      </c>
      <c r="B22" s="43"/>
      <c r="C22" s="43"/>
      <c r="D22" s="43"/>
      <c r="E22" s="43"/>
      <c r="F22" s="43"/>
      <c r="G22" s="43"/>
    </row>
    <row r="23" spans="1:14" ht="16.5" customHeight="1" x14ac:dyDescent="0.3">
      <c r="A23" s="41"/>
      <c r="B23" s="41"/>
      <c r="C23" s="41"/>
      <c r="D23" s="41"/>
      <c r="E23" s="41"/>
      <c r="F23" s="41"/>
      <c r="G23" s="41"/>
    </row>
    <row r="24" spans="1:14" ht="16.5" customHeight="1" x14ac:dyDescent="0.3">
      <c r="A24" s="916" t="s">
        <v>68</v>
      </c>
      <c r="B24" s="916"/>
      <c r="C24" s="916"/>
      <c r="D24" s="916"/>
      <c r="E24" s="916"/>
      <c r="F24" s="916"/>
      <c r="G24" s="916"/>
    </row>
    <row r="25" spans="1:14" ht="16.5" customHeight="1" x14ac:dyDescent="0.3">
      <c r="A25" s="916"/>
      <c r="B25" s="916"/>
      <c r="C25" s="916"/>
      <c r="D25" s="916"/>
      <c r="E25" s="916"/>
      <c r="F25" s="916"/>
      <c r="G25" s="916"/>
    </row>
    <row r="26" spans="1:14" ht="16.5" customHeight="1" x14ac:dyDescent="0.3">
      <c r="A26" s="41"/>
      <c r="B26" s="41"/>
      <c r="C26" s="41"/>
      <c r="D26" s="41"/>
      <c r="E26" s="41"/>
      <c r="F26" s="41"/>
      <c r="G26" s="41"/>
    </row>
    <row r="27" spans="1:14" ht="16.5" customHeight="1" x14ac:dyDescent="0.3">
      <c r="A27" s="916" t="str">
        <f>CONCATENATE("Passed and approved by the Governing Body on this ______ day of __________, ",inputPrYr!C10-1,".")</f>
        <v>Passed and approved by the Governing Body on this ______ day of __________, 2012.</v>
      </c>
      <c r="B27" s="916"/>
      <c r="C27" s="916"/>
      <c r="D27" s="916"/>
      <c r="E27" s="916"/>
      <c r="F27" s="916"/>
      <c r="G27" s="916"/>
    </row>
    <row r="28" spans="1:14" ht="16.5" customHeight="1" x14ac:dyDescent="0.3">
      <c r="A28" s="916"/>
      <c r="B28" s="916"/>
      <c r="C28" s="916"/>
      <c r="D28" s="916"/>
      <c r="E28" s="916"/>
      <c r="F28" s="916"/>
      <c r="G28" s="916"/>
    </row>
    <row r="29" spans="1:14" ht="16.5" customHeight="1" x14ac:dyDescent="0.3"/>
    <row r="30" spans="1:14" ht="16.5" customHeight="1" x14ac:dyDescent="0.3">
      <c r="A30" s="917" t="s">
        <v>69</v>
      </c>
      <c r="B30" s="917"/>
      <c r="C30" s="917"/>
      <c r="D30" s="917"/>
      <c r="E30" s="917"/>
      <c r="F30" s="917"/>
      <c r="G30" s="917"/>
    </row>
    <row r="31" spans="1:14" ht="16.5" customHeight="1" x14ac:dyDescent="0.3">
      <c r="A31" s="917" t="s">
        <v>74</v>
      </c>
      <c r="B31" s="917"/>
      <c r="C31" s="917"/>
      <c r="D31" s="917"/>
      <c r="E31" s="917"/>
      <c r="F31" s="917"/>
      <c r="G31" s="917"/>
    </row>
    <row r="32" spans="1:14" ht="16.5" customHeight="1" x14ac:dyDescent="0.3">
      <c r="A32" s="1" t="s">
        <v>70</v>
      </c>
    </row>
    <row r="33" spans="1:2" ht="16.5" customHeight="1" x14ac:dyDescent="0.3">
      <c r="B33" s="1" t="s">
        <v>71</v>
      </c>
    </row>
    <row r="34" spans="1:2" ht="16.5" customHeight="1" x14ac:dyDescent="0.3"/>
    <row r="35" spans="1:2" ht="16.5" customHeight="1" x14ac:dyDescent="0.3"/>
    <row r="36" spans="1:2" ht="16.5" customHeight="1" x14ac:dyDescent="0.3">
      <c r="A36" s="1" t="s">
        <v>72</v>
      </c>
    </row>
    <row r="37" spans="1:2" ht="16.5" customHeight="1" x14ac:dyDescent="0.3"/>
    <row r="38" spans="1:2" ht="16.5" customHeight="1" x14ac:dyDescent="0.3"/>
    <row r="39" spans="1:2" ht="16.5" customHeight="1" x14ac:dyDescent="0.3"/>
    <row r="40" spans="1:2" ht="16.5" customHeight="1" x14ac:dyDescent="0.3">
      <c r="A40" s="1" t="s">
        <v>73</v>
      </c>
    </row>
  </sheetData>
  <sheetProtection sheet="1" objects="1" scenarios="1"/>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honeticPr fontId="9" type="noConversion"/>
  <pageMargins left="1" right="1" top="1" bottom="1" header="0.5" footer="0.5"/>
  <pageSetup orientation="portrait" blackAndWhite="1" r:id="rId1"/>
  <headerFooter alignWithMargins="0">
    <oddFooter>&amp;Lrevised 8/06/07</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topLeftCell="A3" workbookViewId="0">
      <selection activeCell="A33" sqref="A33"/>
    </sheetView>
  </sheetViews>
  <sheetFormatPr defaultRowHeight="15" x14ac:dyDescent="0.25"/>
  <cols>
    <col min="1" max="1" width="71.33203125" customWidth="1"/>
  </cols>
  <sheetData>
    <row r="3" spans="1:12" x14ac:dyDescent="0.25">
      <c r="A3" s="398" t="s">
        <v>420</v>
      </c>
      <c r="B3" s="398"/>
      <c r="C3" s="398"/>
      <c r="D3" s="398"/>
      <c r="E3" s="398"/>
      <c r="F3" s="398"/>
      <c r="G3" s="398"/>
      <c r="H3" s="398"/>
      <c r="I3" s="398"/>
      <c r="J3" s="398"/>
      <c r="K3" s="398"/>
      <c r="L3" s="398"/>
    </row>
    <row r="5" spans="1:12" x14ac:dyDescent="0.25">
      <c r="A5" s="399" t="s">
        <v>421</v>
      </c>
    </row>
    <row r="6" spans="1:12" x14ac:dyDescent="0.25">
      <c r="A6" s="399" t="str">
        <f>CONCATENATE(inputPrYr!C10-2," 'total expenditures' exceed your ",inputPrYr!C10-2," 'budget authority.'")</f>
        <v>2011 'total expenditures' exceed your 2011 'budget authority.'</v>
      </c>
    </row>
    <row r="7" spans="1:12" x14ac:dyDescent="0.25">
      <c r="A7" s="399"/>
    </row>
    <row r="8" spans="1:12" x14ac:dyDescent="0.25">
      <c r="A8" s="399" t="s">
        <v>422</v>
      </c>
    </row>
    <row r="9" spans="1:12" x14ac:dyDescent="0.25">
      <c r="A9" s="399" t="s">
        <v>423</v>
      </c>
    </row>
    <row r="10" spans="1:12" x14ac:dyDescent="0.25">
      <c r="A10" s="399" t="s">
        <v>424</v>
      </c>
    </row>
    <row r="11" spans="1:12" x14ac:dyDescent="0.25">
      <c r="A11" s="399"/>
    </row>
    <row r="12" spans="1:12" x14ac:dyDescent="0.25">
      <c r="A12" s="399"/>
    </row>
    <row r="13" spans="1:12" x14ac:dyDescent="0.25">
      <c r="A13" s="400" t="s">
        <v>425</v>
      </c>
    </row>
    <row r="15" spans="1:12" x14ac:dyDescent="0.25">
      <c r="A15" s="399" t="s">
        <v>426</v>
      </c>
    </row>
    <row r="16" spans="1:12" x14ac:dyDescent="0.25">
      <c r="A16" s="399" t="str">
        <f>CONCATENATE("(i.e. an audit has not been completed, or the ",inputPrYr!C10," adopted")</f>
        <v>(i.e. an audit has not been completed, or the 2013 adopted</v>
      </c>
    </row>
    <row r="17" spans="1:1" x14ac:dyDescent="0.25">
      <c r="A17" s="399" t="s">
        <v>427</v>
      </c>
    </row>
    <row r="18" spans="1:1" x14ac:dyDescent="0.25">
      <c r="A18" s="399" t="s">
        <v>428</v>
      </c>
    </row>
    <row r="19" spans="1:1" x14ac:dyDescent="0.25">
      <c r="A19" s="399" t="s">
        <v>429</v>
      </c>
    </row>
    <row r="21" spans="1:1" x14ac:dyDescent="0.25">
      <c r="A21" s="400" t="s">
        <v>430</v>
      </c>
    </row>
    <row r="22" spans="1:1" x14ac:dyDescent="0.25">
      <c r="A22" s="400"/>
    </row>
    <row r="23" spans="1:1" x14ac:dyDescent="0.25">
      <c r="A23" s="399" t="s">
        <v>431</v>
      </c>
    </row>
    <row r="24" spans="1:1" x14ac:dyDescent="0.25">
      <c r="A24" s="399" t="s">
        <v>432</v>
      </c>
    </row>
    <row r="25" spans="1:1" x14ac:dyDescent="0.25">
      <c r="A25" s="399" t="str">
        <f>CONCATENATE("particular fund.  If your ",inputPrYr!C10-2," budget was amended, did you")</f>
        <v>particular fund.  If your 2011 budget was amended, did you</v>
      </c>
    </row>
    <row r="26" spans="1:1" x14ac:dyDescent="0.25">
      <c r="A26" s="399" t="s">
        <v>433</v>
      </c>
    </row>
    <row r="27" spans="1:1" x14ac:dyDescent="0.25">
      <c r="A27" s="399"/>
    </row>
    <row r="28" spans="1:1" x14ac:dyDescent="0.25">
      <c r="A28" s="399" t="str">
        <f>CONCATENATE("Next, look to see if any of your ",inputPrYr!C10-2," expenditures can be")</f>
        <v>Next, look to see if any of your 2011 expenditures can be</v>
      </c>
    </row>
    <row r="29" spans="1:1" x14ac:dyDescent="0.25">
      <c r="A29" s="399" t="s">
        <v>434</v>
      </c>
    </row>
    <row r="30" spans="1:1" x14ac:dyDescent="0.25">
      <c r="A30" s="399" t="s">
        <v>435</v>
      </c>
    </row>
    <row r="31" spans="1:1" x14ac:dyDescent="0.25">
      <c r="A31" s="399" t="s">
        <v>436</v>
      </c>
    </row>
    <row r="32" spans="1:1" x14ac:dyDescent="0.25">
      <c r="A32" s="399"/>
    </row>
    <row r="33" spans="1:1" x14ac:dyDescent="0.25">
      <c r="A33" s="399" t="str">
        <f>CONCATENATE("Additionally, do your ",inputPrYr!C10-2," receipts contain a reimbursement")</f>
        <v>Additionally, do your 2011 receipts contain a reimbursement</v>
      </c>
    </row>
    <row r="34" spans="1:1" x14ac:dyDescent="0.25">
      <c r="A34" s="399" t="s">
        <v>437</v>
      </c>
    </row>
    <row r="35" spans="1:1" x14ac:dyDescent="0.25">
      <c r="A35" s="399" t="s">
        <v>438</v>
      </c>
    </row>
    <row r="36" spans="1:1" x14ac:dyDescent="0.25">
      <c r="A36" s="399"/>
    </row>
    <row r="37" spans="1:1" x14ac:dyDescent="0.25">
      <c r="A37" s="399" t="s">
        <v>439</v>
      </c>
    </row>
    <row r="38" spans="1:1" x14ac:dyDescent="0.25">
      <c r="A38" s="399" t="s">
        <v>440</v>
      </c>
    </row>
    <row r="39" spans="1:1" x14ac:dyDescent="0.25">
      <c r="A39" s="399" t="s">
        <v>441</v>
      </c>
    </row>
    <row r="40" spans="1:1" x14ac:dyDescent="0.25">
      <c r="A40" s="399" t="s">
        <v>442</v>
      </c>
    </row>
    <row r="41" spans="1:1" x14ac:dyDescent="0.25">
      <c r="A41" s="399" t="s">
        <v>443</v>
      </c>
    </row>
    <row r="42" spans="1:1" x14ac:dyDescent="0.25">
      <c r="A42" s="399" t="s">
        <v>444</v>
      </c>
    </row>
    <row r="43" spans="1:1" x14ac:dyDescent="0.25">
      <c r="A43" s="399" t="s">
        <v>445</v>
      </c>
    </row>
    <row r="44" spans="1:1" x14ac:dyDescent="0.25">
      <c r="A44" s="399" t="s">
        <v>446</v>
      </c>
    </row>
    <row r="45" spans="1:1" x14ac:dyDescent="0.25">
      <c r="A45" s="399"/>
    </row>
    <row r="46" spans="1:1" x14ac:dyDescent="0.25">
      <c r="A46" s="399" t="s">
        <v>447</v>
      </c>
    </row>
    <row r="47" spans="1:1" x14ac:dyDescent="0.25">
      <c r="A47" s="399" t="s">
        <v>448</v>
      </c>
    </row>
    <row r="48" spans="1:1" x14ac:dyDescent="0.25">
      <c r="A48" s="399" t="s">
        <v>449</v>
      </c>
    </row>
    <row r="49" spans="1:1" x14ac:dyDescent="0.25">
      <c r="A49" s="399"/>
    </row>
    <row r="50" spans="1:1" x14ac:dyDescent="0.25">
      <c r="A50" s="399" t="s">
        <v>450</v>
      </c>
    </row>
    <row r="51" spans="1:1" x14ac:dyDescent="0.25">
      <c r="A51" s="399" t="s">
        <v>451</v>
      </c>
    </row>
    <row r="52" spans="1:1" x14ac:dyDescent="0.25">
      <c r="A52" s="399" t="s">
        <v>452</v>
      </c>
    </row>
    <row r="53" spans="1:1" x14ac:dyDescent="0.25">
      <c r="A53" s="399"/>
    </row>
    <row r="54" spans="1:1" x14ac:dyDescent="0.25">
      <c r="A54" s="400" t="s">
        <v>453</v>
      </c>
    </row>
    <row r="55" spans="1:1" x14ac:dyDescent="0.25">
      <c r="A55" s="399"/>
    </row>
    <row r="56" spans="1:1" x14ac:dyDescent="0.25">
      <c r="A56" s="399" t="s">
        <v>454</v>
      </c>
    </row>
    <row r="57" spans="1:1" x14ac:dyDescent="0.25">
      <c r="A57" s="399" t="s">
        <v>455</v>
      </c>
    </row>
    <row r="58" spans="1:1" x14ac:dyDescent="0.25">
      <c r="A58" s="399" t="s">
        <v>456</v>
      </c>
    </row>
    <row r="59" spans="1:1" x14ac:dyDescent="0.25">
      <c r="A59" s="399" t="s">
        <v>457</v>
      </c>
    </row>
    <row r="60" spans="1:1" x14ac:dyDescent="0.25">
      <c r="A60" s="399" t="s">
        <v>458</v>
      </c>
    </row>
    <row r="61" spans="1:1" x14ac:dyDescent="0.25">
      <c r="A61" s="399" t="s">
        <v>459</v>
      </c>
    </row>
    <row r="62" spans="1:1" x14ac:dyDescent="0.25">
      <c r="A62" s="399" t="s">
        <v>460</v>
      </c>
    </row>
    <row r="63" spans="1:1" x14ac:dyDescent="0.25">
      <c r="A63" s="399" t="s">
        <v>461</v>
      </c>
    </row>
    <row r="64" spans="1:1" x14ac:dyDescent="0.25">
      <c r="A64" s="399" t="s">
        <v>462</v>
      </c>
    </row>
    <row r="65" spans="1:1" x14ac:dyDescent="0.25">
      <c r="A65" s="399" t="s">
        <v>463</v>
      </c>
    </row>
    <row r="66" spans="1:1" x14ac:dyDescent="0.25">
      <c r="A66" s="399" t="s">
        <v>464</v>
      </c>
    </row>
    <row r="67" spans="1:1" x14ac:dyDescent="0.25">
      <c r="A67" s="399" t="s">
        <v>465</v>
      </c>
    </row>
    <row r="68" spans="1:1" x14ac:dyDescent="0.25">
      <c r="A68" s="399" t="s">
        <v>466</v>
      </c>
    </row>
    <row r="69" spans="1:1" x14ac:dyDescent="0.25">
      <c r="A69" s="399"/>
    </row>
    <row r="70" spans="1:1" x14ac:dyDescent="0.25">
      <c r="A70" s="399" t="s">
        <v>467</v>
      </c>
    </row>
    <row r="71" spans="1:1" x14ac:dyDescent="0.25">
      <c r="A71" s="399" t="s">
        <v>468</v>
      </c>
    </row>
    <row r="72" spans="1:1" x14ac:dyDescent="0.25">
      <c r="A72" s="399" t="s">
        <v>469</v>
      </c>
    </row>
    <row r="73" spans="1:1" x14ac:dyDescent="0.25">
      <c r="A73" s="399"/>
    </row>
    <row r="74" spans="1:1" x14ac:dyDescent="0.25">
      <c r="A74" s="400" t="str">
        <f>CONCATENATE("What if the ",inputPrYr!C10-2," financial records have been closed?")</f>
        <v>What if the 2011 financial records have been closed?</v>
      </c>
    </row>
    <row r="76" spans="1:1" x14ac:dyDescent="0.25">
      <c r="A76" s="399" t="s">
        <v>470</v>
      </c>
    </row>
    <row r="77" spans="1:1" x14ac:dyDescent="0.25">
      <c r="A77" s="399" t="str">
        <f>CONCATENATE("(i.e. an audit for ",inputPrYr!C10-2," has been completed, or the ",inputPrYr!C10)</f>
        <v>(i.e. an audit for 2011 has been completed, or the 2013</v>
      </c>
    </row>
    <row r="78" spans="1:1" x14ac:dyDescent="0.25">
      <c r="A78" s="399" t="s">
        <v>471</v>
      </c>
    </row>
    <row r="79" spans="1:1" x14ac:dyDescent="0.25">
      <c r="A79" s="399" t="s">
        <v>472</v>
      </c>
    </row>
    <row r="80" spans="1:1" x14ac:dyDescent="0.25">
      <c r="A80" s="399"/>
    </row>
    <row r="81" spans="1:1" x14ac:dyDescent="0.25">
      <c r="A81" s="399" t="s">
        <v>473</v>
      </c>
    </row>
    <row r="82" spans="1:1" x14ac:dyDescent="0.25">
      <c r="A82" s="399" t="s">
        <v>474</v>
      </c>
    </row>
    <row r="83" spans="1:1" x14ac:dyDescent="0.25">
      <c r="A83" s="399" t="s">
        <v>475</v>
      </c>
    </row>
    <row r="84" spans="1:1" x14ac:dyDescent="0.25">
      <c r="A84" s="399"/>
    </row>
    <row r="85" spans="1:1" x14ac:dyDescent="0.25">
      <c r="A85" s="399" t="s">
        <v>476</v>
      </c>
    </row>
  </sheetData>
  <sheetProtection sheet="1"/>
  <pageMargins left="0.7" right="0.7" top="0.75" bottom="0.75" header="0.3" footer="0.3"/>
  <pageSetup orientation="portrait" r:id="rId1"/>
  <headerFooter>
    <oddFooter>&amp;Lrevised 10/02/09</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election activeCell="A35" sqref="A35"/>
    </sheetView>
  </sheetViews>
  <sheetFormatPr defaultRowHeight="15" x14ac:dyDescent="0.25"/>
  <cols>
    <col min="1" max="1" width="71.33203125" customWidth="1"/>
  </cols>
  <sheetData>
    <row r="3" spans="1:10" x14ac:dyDescent="0.25">
      <c r="A3" s="398" t="s">
        <v>477</v>
      </c>
      <c r="B3" s="398"/>
      <c r="C3" s="398"/>
      <c r="D3" s="398"/>
      <c r="E3" s="398"/>
      <c r="F3" s="398"/>
      <c r="G3" s="398"/>
      <c r="H3" s="401"/>
      <c r="I3" s="401"/>
      <c r="J3" s="401"/>
    </row>
    <row r="5" spans="1:10" x14ac:dyDescent="0.25">
      <c r="A5" s="399" t="s">
        <v>478</v>
      </c>
    </row>
    <row r="6" spans="1:10" x14ac:dyDescent="0.25">
      <c r="A6" t="str">
        <f>CONCATENATE(inputPrYr!C10-2," expenditures show that you finished the year with a ")</f>
        <v xml:space="preserve">2011 expenditures show that you finished the year with a </v>
      </c>
    </row>
    <row r="7" spans="1:10" x14ac:dyDescent="0.25">
      <c r="A7" t="s">
        <v>479</v>
      </c>
    </row>
    <row r="9" spans="1:10" x14ac:dyDescent="0.25">
      <c r="A9" t="s">
        <v>480</v>
      </c>
    </row>
    <row r="10" spans="1:10" x14ac:dyDescent="0.25">
      <c r="A10" t="s">
        <v>481</v>
      </c>
    </row>
    <row r="11" spans="1:10" x14ac:dyDescent="0.25">
      <c r="A11" t="s">
        <v>482</v>
      </c>
    </row>
    <row r="13" spans="1:10" x14ac:dyDescent="0.25">
      <c r="A13" s="400" t="s">
        <v>483</v>
      </c>
    </row>
    <row r="14" spans="1:10" x14ac:dyDescent="0.25">
      <c r="A14" s="400"/>
    </row>
    <row r="15" spans="1:10" x14ac:dyDescent="0.25">
      <c r="A15" s="399" t="s">
        <v>484</v>
      </c>
    </row>
    <row r="16" spans="1:10" x14ac:dyDescent="0.25">
      <c r="A16" s="399" t="s">
        <v>485</v>
      </c>
    </row>
    <row r="17" spans="1:1" x14ac:dyDescent="0.25">
      <c r="A17" s="399" t="s">
        <v>486</v>
      </c>
    </row>
    <row r="18" spans="1:1" x14ac:dyDescent="0.25">
      <c r="A18" s="399"/>
    </row>
    <row r="19" spans="1:1" x14ac:dyDescent="0.25">
      <c r="A19" s="400" t="s">
        <v>487</v>
      </c>
    </row>
    <row r="20" spans="1:1" x14ac:dyDescent="0.25">
      <c r="A20" s="400"/>
    </row>
    <row r="21" spans="1:1" x14ac:dyDescent="0.25">
      <c r="A21" s="399" t="s">
        <v>488</v>
      </c>
    </row>
    <row r="22" spans="1:1" x14ac:dyDescent="0.25">
      <c r="A22" s="399" t="s">
        <v>489</v>
      </c>
    </row>
    <row r="23" spans="1:1" x14ac:dyDescent="0.25">
      <c r="A23" s="399" t="s">
        <v>490</v>
      </c>
    </row>
    <row r="24" spans="1:1" x14ac:dyDescent="0.25">
      <c r="A24" s="399"/>
    </row>
    <row r="25" spans="1:1" x14ac:dyDescent="0.25">
      <c r="A25" s="400" t="s">
        <v>491</v>
      </c>
    </row>
    <row r="26" spans="1:1" x14ac:dyDescent="0.25">
      <c r="A26" s="400"/>
    </row>
    <row r="27" spans="1:1" x14ac:dyDescent="0.25">
      <c r="A27" s="399" t="s">
        <v>492</v>
      </c>
    </row>
    <row r="28" spans="1:1" x14ac:dyDescent="0.25">
      <c r="A28" s="399" t="s">
        <v>493</v>
      </c>
    </row>
    <row r="29" spans="1:1" x14ac:dyDescent="0.25">
      <c r="A29" s="399" t="s">
        <v>494</v>
      </c>
    </row>
    <row r="30" spans="1:1" x14ac:dyDescent="0.25">
      <c r="A30" s="399"/>
    </row>
    <row r="31" spans="1:1" x14ac:dyDescent="0.25">
      <c r="A31" s="400" t="s">
        <v>495</v>
      </c>
    </row>
    <row r="32" spans="1:1" x14ac:dyDescent="0.25">
      <c r="A32" s="400"/>
    </row>
    <row r="33" spans="1:8" x14ac:dyDescent="0.25">
      <c r="A33" s="399" t="str">
        <f>CONCATENATE("If your financial records for ",inputPrYr!C10-2," are not closed")</f>
        <v>If your financial records for 2011 are not closed</v>
      </c>
      <c r="B33" s="399"/>
      <c r="C33" s="399"/>
      <c r="D33" s="399"/>
      <c r="E33" s="399"/>
      <c r="F33" s="399"/>
      <c r="G33" s="399"/>
      <c r="H33" s="399"/>
    </row>
    <row r="34" spans="1:8" x14ac:dyDescent="0.25">
      <c r="A34" s="399" t="str">
        <f>CONCATENATE("(i.e. an audit has not been completed, or the ",inputPrYr!C10," adopted ")</f>
        <v xml:space="preserve">(i.e. an audit has not been completed, or the 2013 adopted </v>
      </c>
      <c r="B34" s="399"/>
      <c r="C34" s="399"/>
      <c r="D34" s="399"/>
      <c r="E34" s="399"/>
      <c r="F34" s="399"/>
      <c r="G34" s="399"/>
      <c r="H34" s="399"/>
    </row>
    <row r="35" spans="1:8" x14ac:dyDescent="0.25">
      <c r="A35" s="399" t="s">
        <v>496</v>
      </c>
      <c r="B35" s="399"/>
      <c r="C35" s="399"/>
      <c r="D35" s="399"/>
      <c r="E35" s="399"/>
      <c r="F35" s="399"/>
      <c r="G35" s="399"/>
      <c r="H35" s="399"/>
    </row>
    <row r="36" spans="1:8" x14ac:dyDescent="0.25">
      <c r="A36" s="399" t="s">
        <v>497</v>
      </c>
      <c r="B36" s="399"/>
      <c r="C36" s="399"/>
      <c r="D36" s="399"/>
      <c r="E36" s="399"/>
      <c r="F36" s="399"/>
      <c r="G36" s="399"/>
      <c r="H36" s="399"/>
    </row>
    <row r="37" spans="1:8" x14ac:dyDescent="0.25">
      <c r="A37" s="399" t="s">
        <v>498</v>
      </c>
      <c r="B37" s="399"/>
      <c r="C37" s="399"/>
      <c r="D37" s="399"/>
      <c r="E37" s="399"/>
      <c r="F37" s="399"/>
      <c r="G37" s="399"/>
      <c r="H37" s="399"/>
    </row>
    <row r="38" spans="1:8" x14ac:dyDescent="0.25">
      <c r="A38" s="399" t="s">
        <v>499</v>
      </c>
      <c r="B38" s="399"/>
      <c r="C38" s="399"/>
      <c r="D38" s="399"/>
      <c r="E38" s="399"/>
      <c r="F38" s="399"/>
      <c r="G38" s="399"/>
      <c r="H38" s="399"/>
    </row>
    <row r="39" spans="1:8" x14ac:dyDescent="0.25">
      <c r="A39" s="399" t="s">
        <v>500</v>
      </c>
      <c r="B39" s="399"/>
      <c r="C39" s="399"/>
      <c r="D39" s="399"/>
      <c r="E39" s="399"/>
      <c r="F39" s="399"/>
      <c r="G39" s="399"/>
      <c r="H39" s="399"/>
    </row>
    <row r="40" spans="1:8" x14ac:dyDescent="0.25">
      <c r="A40" s="399"/>
      <c r="B40" s="399"/>
      <c r="C40" s="399"/>
      <c r="D40" s="399"/>
      <c r="E40" s="399"/>
      <c r="F40" s="399"/>
      <c r="G40" s="399"/>
      <c r="H40" s="399"/>
    </row>
    <row r="41" spans="1:8" x14ac:dyDescent="0.25">
      <c r="A41" s="399" t="s">
        <v>501</v>
      </c>
      <c r="B41" s="399"/>
      <c r="C41" s="399"/>
      <c r="D41" s="399"/>
      <c r="E41" s="399"/>
      <c r="F41" s="399"/>
      <c r="G41" s="399"/>
      <c r="H41" s="399"/>
    </row>
    <row r="42" spans="1:8" x14ac:dyDescent="0.25">
      <c r="A42" s="399" t="s">
        <v>502</v>
      </c>
      <c r="B42" s="399"/>
      <c r="C42" s="399"/>
      <c r="D42" s="399"/>
      <c r="E42" s="399"/>
      <c r="F42" s="399"/>
      <c r="G42" s="399"/>
      <c r="H42" s="399"/>
    </row>
    <row r="43" spans="1:8" x14ac:dyDescent="0.25">
      <c r="A43" s="399" t="s">
        <v>503</v>
      </c>
      <c r="B43" s="399"/>
      <c r="C43" s="399"/>
      <c r="D43" s="399"/>
      <c r="E43" s="399"/>
      <c r="F43" s="399"/>
      <c r="G43" s="399"/>
      <c r="H43" s="399"/>
    </row>
    <row r="44" spans="1:8" x14ac:dyDescent="0.25">
      <c r="A44" s="399" t="s">
        <v>504</v>
      </c>
      <c r="B44" s="399"/>
      <c r="C44" s="399"/>
      <c r="D44" s="399"/>
      <c r="E44" s="399"/>
      <c r="F44" s="399"/>
      <c r="G44" s="399"/>
      <c r="H44" s="399"/>
    </row>
    <row r="45" spans="1:8" x14ac:dyDescent="0.25">
      <c r="A45" s="399"/>
      <c r="B45" s="399"/>
      <c r="C45" s="399"/>
      <c r="D45" s="399"/>
      <c r="E45" s="399"/>
      <c r="F45" s="399"/>
      <c r="G45" s="399"/>
      <c r="H45" s="399"/>
    </row>
    <row r="46" spans="1:8" x14ac:dyDescent="0.25">
      <c r="A46" s="399" t="s">
        <v>505</v>
      </c>
      <c r="B46" s="399"/>
      <c r="C46" s="399"/>
      <c r="D46" s="399"/>
      <c r="E46" s="399"/>
      <c r="F46" s="399"/>
      <c r="G46" s="399"/>
      <c r="H46" s="399"/>
    </row>
    <row r="47" spans="1:8" x14ac:dyDescent="0.25">
      <c r="A47" s="399" t="s">
        <v>506</v>
      </c>
      <c r="B47" s="399"/>
      <c r="C47" s="399"/>
      <c r="D47" s="399"/>
      <c r="E47" s="399"/>
      <c r="F47" s="399"/>
      <c r="G47" s="399"/>
      <c r="H47" s="399"/>
    </row>
    <row r="48" spans="1:8" x14ac:dyDescent="0.25">
      <c r="A48" s="399" t="s">
        <v>507</v>
      </c>
      <c r="B48" s="399"/>
      <c r="C48" s="399"/>
      <c r="D48" s="399"/>
      <c r="E48" s="399"/>
      <c r="F48" s="399"/>
      <c r="G48" s="399"/>
      <c r="H48" s="399"/>
    </row>
    <row r="49" spans="1:8" x14ac:dyDescent="0.25">
      <c r="A49" s="399" t="s">
        <v>508</v>
      </c>
      <c r="B49" s="399"/>
      <c r="C49" s="399"/>
      <c r="D49" s="399"/>
      <c r="E49" s="399"/>
      <c r="F49" s="399"/>
      <c r="G49" s="399"/>
      <c r="H49" s="399"/>
    </row>
    <row r="50" spans="1:8" x14ac:dyDescent="0.25">
      <c r="A50" s="399" t="s">
        <v>509</v>
      </c>
      <c r="B50" s="399"/>
      <c r="C50" s="399"/>
      <c r="D50" s="399"/>
      <c r="E50" s="399"/>
      <c r="F50" s="399"/>
      <c r="G50" s="399"/>
      <c r="H50" s="399"/>
    </row>
    <row r="51" spans="1:8" x14ac:dyDescent="0.25">
      <c r="A51" s="399"/>
      <c r="B51" s="399"/>
      <c r="C51" s="399"/>
      <c r="D51" s="399"/>
      <c r="E51" s="399"/>
      <c r="F51" s="399"/>
      <c r="G51" s="399"/>
      <c r="H51" s="399"/>
    </row>
    <row r="52" spans="1:8" x14ac:dyDescent="0.25">
      <c r="A52" s="400" t="s">
        <v>510</v>
      </c>
      <c r="B52" s="400"/>
      <c r="C52" s="400"/>
      <c r="D52" s="400"/>
      <c r="E52" s="400"/>
      <c r="F52" s="400"/>
      <c r="G52" s="400"/>
      <c r="H52" s="399"/>
    </row>
    <row r="53" spans="1:8" x14ac:dyDescent="0.25">
      <c r="A53" s="400" t="s">
        <v>511</v>
      </c>
      <c r="B53" s="400"/>
      <c r="C53" s="400"/>
      <c r="D53" s="400"/>
      <c r="E53" s="400"/>
      <c r="F53" s="400"/>
      <c r="G53" s="400"/>
      <c r="H53" s="399"/>
    </row>
    <row r="54" spans="1:8" x14ac:dyDescent="0.25">
      <c r="A54" s="399"/>
      <c r="B54" s="399"/>
      <c r="C54" s="399"/>
      <c r="D54" s="399"/>
      <c r="E54" s="399"/>
      <c r="F54" s="399"/>
      <c r="G54" s="399"/>
      <c r="H54" s="399"/>
    </row>
    <row r="55" spans="1:8" x14ac:dyDescent="0.25">
      <c r="A55" s="399" t="s">
        <v>512</v>
      </c>
      <c r="B55" s="399"/>
      <c r="C55" s="399"/>
      <c r="D55" s="399"/>
      <c r="E55" s="399"/>
      <c r="F55" s="399"/>
      <c r="G55" s="399"/>
      <c r="H55" s="399"/>
    </row>
    <row r="56" spans="1:8" x14ac:dyDescent="0.25">
      <c r="A56" s="399" t="s">
        <v>513</v>
      </c>
      <c r="B56" s="399"/>
      <c r="C56" s="399"/>
      <c r="D56" s="399"/>
      <c r="E56" s="399"/>
      <c r="F56" s="399"/>
      <c r="G56" s="399"/>
      <c r="H56" s="399"/>
    </row>
    <row r="57" spans="1:8" x14ac:dyDescent="0.25">
      <c r="A57" s="399" t="s">
        <v>514</v>
      </c>
      <c r="B57" s="399"/>
      <c r="C57" s="399"/>
      <c r="D57" s="399"/>
      <c r="E57" s="399"/>
      <c r="F57" s="399"/>
      <c r="G57" s="399"/>
      <c r="H57" s="399"/>
    </row>
    <row r="58" spans="1:8" x14ac:dyDescent="0.25">
      <c r="A58" s="399" t="s">
        <v>515</v>
      </c>
      <c r="B58" s="399"/>
      <c r="C58" s="399"/>
      <c r="D58" s="399"/>
      <c r="E58" s="399"/>
      <c r="F58" s="399"/>
      <c r="G58" s="399"/>
      <c r="H58" s="399"/>
    </row>
    <row r="59" spans="1:8" x14ac:dyDescent="0.25">
      <c r="A59" s="399"/>
      <c r="B59" s="399"/>
      <c r="C59" s="399"/>
      <c r="D59" s="399"/>
      <c r="E59" s="399"/>
      <c r="F59" s="399"/>
      <c r="G59" s="399"/>
      <c r="H59" s="399"/>
    </row>
    <row r="60" spans="1:8" x14ac:dyDescent="0.25">
      <c r="A60" s="399" t="s">
        <v>516</v>
      </c>
      <c r="B60" s="399"/>
      <c r="C60" s="399"/>
      <c r="D60" s="399"/>
      <c r="E60" s="399"/>
      <c r="F60" s="399"/>
      <c r="G60" s="399"/>
      <c r="H60" s="399"/>
    </row>
    <row r="61" spans="1:8" x14ac:dyDescent="0.25">
      <c r="A61" s="399" t="s">
        <v>517</v>
      </c>
      <c r="B61" s="399"/>
      <c r="C61" s="399"/>
      <c r="D61" s="399"/>
      <c r="E61" s="399"/>
      <c r="F61" s="399"/>
      <c r="G61" s="399"/>
      <c r="H61" s="399"/>
    </row>
    <row r="62" spans="1:8" x14ac:dyDescent="0.25">
      <c r="A62" s="399" t="s">
        <v>518</v>
      </c>
      <c r="B62" s="399"/>
      <c r="C62" s="399"/>
      <c r="D62" s="399"/>
      <c r="E62" s="399"/>
      <c r="F62" s="399"/>
      <c r="G62" s="399"/>
      <c r="H62" s="399"/>
    </row>
    <row r="63" spans="1:8" x14ac:dyDescent="0.25">
      <c r="A63" s="399" t="s">
        <v>519</v>
      </c>
      <c r="B63" s="399"/>
      <c r="C63" s="399"/>
      <c r="D63" s="399"/>
      <c r="E63" s="399"/>
      <c r="F63" s="399"/>
      <c r="G63" s="399"/>
      <c r="H63" s="399"/>
    </row>
    <row r="64" spans="1:8" x14ac:dyDescent="0.25">
      <c r="A64" s="399" t="s">
        <v>520</v>
      </c>
      <c r="B64" s="399"/>
      <c r="C64" s="399"/>
      <c r="D64" s="399"/>
      <c r="E64" s="399"/>
      <c r="F64" s="399"/>
      <c r="G64" s="399"/>
      <c r="H64" s="399"/>
    </row>
    <row r="65" spans="1:8" x14ac:dyDescent="0.25">
      <c r="A65" s="399" t="s">
        <v>521</v>
      </c>
      <c r="B65" s="399"/>
      <c r="C65" s="399"/>
      <c r="D65" s="399"/>
      <c r="E65" s="399"/>
      <c r="F65" s="399"/>
      <c r="G65" s="399"/>
      <c r="H65" s="399"/>
    </row>
    <row r="66" spans="1:8" x14ac:dyDescent="0.25">
      <c r="A66" s="399"/>
      <c r="B66" s="399"/>
      <c r="C66" s="399"/>
      <c r="D66" s="399"/>
      <c r="E66" s="399"/>
      <c r="F66" s="399"/>
      <c r="G66" s="399"/>
      <c r="H66" s="399"/>
    </row>
    <row r="67" spans="1:8" x14ac:dyDescent="0.25">
      <c r="A67" s="399" t="s">
        <v>522</v>
      </c>
      <c r="B67" s="399"/>
      <c r="C67" s="399"/>
      <c r="D67" s="399"/>
      <c r="E67" s="399"/>
      <c r="F67" s="399"/>
      <c r="G67" s="399"/>
      <c r="H67" s="399"/>
    </row>
    <row r="68" spans="1:8" x14ac:dyDescent="0.25">
      <c r="A68" s="399" t="s">
        <v>523</v>
      </c>
      <c r="B68" s="399"/>
      <c r="C68" s="399"/>
      <c r="D68" s="399"/>
      <c r="E68" s="399"/>
      <c r="F68" s="399"/>
      <c r="G68" s="399"/>
      <c r="H68" s="399"/>
    </row>
    <row r="69" spans="1:8" x14ac:dyDescent="0.25">
      <c r="A69" s="399" t="s">
        <v>524</v>
      </c>
      <c r="B69" s="399"/>
      <c r="C69" s="399"/>
      <c r="D69" s="399"/>
      <c r="E69" s="399"/>
      <c r="F69" s="399"/>
      <c r="G69" s="399"/>
      <c r="H69" s="399"/>
    </row>
    <row r="70" spans="1:8" x14ac:dyDescent="0.25">
      <c r="A70" s="399" t="s">
        <v>525</v>
      </c>
      <c r="B70" s="399"/>
      <c r="C70" s="399"/>
      <c r="D70" s="399"/>
      <c r="E70" s="399"/>
      <c r="F70" s="399"/>
      <c r="G70" s="399"/>
      <c r="H70" s="399"/>
    </row>
    <row r="71" spans="1:8" x14ac:dyDescent="0.25">
      <c r="A71" s="399" t="s">
        <v>526</v>
      </c>
      <c r="B71" s="399"/>
      <c r="C71" s="399"/>
      <c r="D71" s="399"/>
      <c r="E71" s="399"/>
      <c r="F71" s="399"/>
      <c r="G71" s="399"/>
      <c r="H71" s="399"/>
    </row>
    <row r="72" spans="1:8" x14ac:dyDescent="0.25">
      <c r="A72" s="399" t="s">
        <v>527</v>
      </c>
      <c r="B72" s="399"/>
      <c r="C72" s="399"/>
      <c r="D72" s="399"/>
      <c r="E72" s="399"/>
      <c r="F72" s="399"/>
      <c r="G72" s="399"/>
      <c r="H72" s="399"/>
    </row>
    <row r="73" spans="1:8" x14ac:dyDescent="0.25">
      <c r="A73" s="399" t="s">
        <v>528</v>
      </c>
      <c r="B73" s="399"/>
      <c r="C73" s="399"/>
      <c r="D73" s="399"/>
      <c r="E73" s="399"/>
      <c r="F73" s="399"/>
      <c r="G73" s="399"/>
      <c r="H73" s="399"/>
    </row>
    <row r="74" spans="1:8" x14ac:dyDescent="0.25">
      <c r="A74" s="399"/>
      <c r="B74" s="399"/>
      <c r="C74" s="399"/>
      <c r="D74" s="399"/>
      <c r="E74" s="399"/>
      <c r="F74" s="399"/>
      <c r="G74" s="399"/>
      <c r="H74" s="399"/>
    </row>
    <row r="75" spans="1:8" x14ac:dyDescent="0.25">
      <c r="A75" s="399" t="s">
        <v>529</v>
      </c>
      <c r="B75" s="399"/>
      <c r="C75" s="399"/>
      <c r="D75" s="399"/>
      <c r="E75" s="399"/>
      <c r="F75" s="399"/>
      <c r="G75" s="399"/>
      <c r="H75" s="399"/>
    </row>
    <row r="76" spans="1:8" x14ac:dyDescent="0.25">
      <c r="A76" s="399" t="s">
        <v>530</v>
      </c>
      <c r="B76" s="399"/>
      <c r="C76" s="399"/>
      <c r="D76" s="399"/>
      <c r="E76" s="399"/>
      <c r="F76" s="399"/>
      <c r="G76" s="399"/>
      <c r="H76" s="399"/>
    </row>
    <row r="77" spans="1:8" x14ac:dyDescent="0.25">
      <c r="A77" s="399" t="s">
        <v>531</v>
      </c>
      <c r="B77" s="399"/>
      <c r="C77" s="399"/>
      <c r="D77" s="399"/>
      <c r="E77" s="399"/>
      <c r="F77" s="399"/>
      <c r="G77" s="399"/>
      <c r="H77" s="399"/>
    </row>
    <row r="78" spans="1:8" x14ac:dyDescent="0.25">
      <c r="A78" s="399"/>
      <c r="B78" s="399"/>
      <c r="C78" s="399"/>
      <c r="D78" s="399"/>
      <c r="E78" s="399"/>
      <c r="F78" s="399"/>
      <c r="G78" s="399"/>
      <c r="H78" s="399"/>
    </row>
    <row r="79" spans="1:8" x14ac:dyDescent="0.25">
      <c r="A79" s="399" t="s">
        <v>476</v>
      </c>
    </row>
    <row r="80" spans="1:8" x14ac:dyDescent="0.25">
      <c r="A80" s="400"/>
    </row>
    <row r="81" spans="1:1" x14ac:dyDescent="0.25">
      <c r="A81" s="399"/>
    </row>
    <row r="82" spans="1:1" x14ac:dyDescent="0.25">
      <c r="A82" s="399"/>
    </row>
    <row r="83" spans="1:1" x14ac:dyDescent="0.25">
      <c r="A83" s="399"/>
    </row>
    <row r="84" spans="1:1" x14ac:dyDescent="0.25">
      <c r="A84" s="399"/>
    </row>
    <row r="85" spans="1:1" x14ac:dyDescent="0.25">
      <c r="A85" s="399"/>
    </row>
    <row r="86" spans="1:1" x14ac:dyDescent="0.25">
      <c r="A86" s="399"/>
    </row>
    <row r="87" spans="1:1" x14ac:dyDescent="0.25">
      <c r="A87" s="399"/>
    </row>
    <row r="88" spans="1:1" x14ac:dyDescent="0.25">
      <c r="A88" s="399"/>
    </row>
    <row r="89" spans="1:1" x14ac:dyDescent="0.25">
      <c r="A89" s="399"/>
    </row>
    <row r="90" spans="1:1" x14ac:dyDescent="0.25">
      <c r="A90" s="399"/>
    </row>
    <row r="91" spans="1:1" x14ac:dyDescent="0.25">
      <c r="A91" s="399"/>
    </row>
    <row r="92" spans="1:1" x14ac:dyDescent="0.25">
      <c r="A92" s="399"/>
    </row>
    <row r="93" spans="1:1" x14ac:dyDescent="0.25">
      <c r="A93" s="399"/>
    </row>
    <row r="94" spans="1:1" x14ac:dyDescent="0.25">
      <c r="A94" s="399"/>
    </row>
    <row r="95" spans="1:1" x14ac:dyDescent="0.25">
      <c r="A95" s="399"/>
    </row>
    <row r="96" spans="1:1" x14ac:dyDescent="0.25">
      <c r="A96" s="399"/>
    </row>
    <row r="97" spans="1:1" x14ac:dyDescent="0.25">
      <c r="A97" s="399"/>
    </row>
    <row r="98" spans="1:1" x14ac:dyDescent="0.25">
      <c r="A98" s="399"/>
    </row>
    <row r="99" spans="1:1" x14ac:dyDescent="0.25">
      <c r="A99" s="399"/>
    </row>
    <row r="100" spans="1:1" x14ac:dyDescent="0.25">
      <c r="A100" s="399"/>
    </row>
    <row r="101" spans="1:1" x14ac:dyDescent="0.25">
      <c r="A101" s="399"/>
    </row>
    <row r="103" spans="1:1" x14ac:dyDescent="0.25">
      <c r="A103" s="399"/>
    </row>
    <row r="104" spans="1:1" x14ac:dyDescent="0.25">
      <c r="A104" s="399"/>
    </row>
    <row r="105" spans="1:1" x14ac:dyDescent="0.25">
      <c r="A105" s="399"/>
    </row>
    <row r="107" spans="1:1" x14ac:dyDescent="0.25">
      <c r="A107" s="400"/>
    </row>
    <row r="108" spans="1:1" x14ac:dyDescent="0.25">
      <c r="A108" s="400"/>
    </row>
    <row r="109" spans="1:1" x14ac:dyDescent="0.25">
      <c r="A109" s="400"/>
    </row>
  </sheetData>
  <sheetProtection sheet="1"/>
  <pageMargins left="0.7" right="0.7" top="0.75" bottom="0.75" header="0.3" footer="0.3"/>
  <pageSetup orientation="portrait" r:id="rId1"/>
  <headerFooter>
    <oddFooter>&amp;Lrevised 10/02/09</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topLeftCell="A33" workbookViewId="0">
      <selection activeCell="A38" sqref="A38"/>
    </sheetView>
  </sheetViews>
  <sheetFormatPr defaultRowHeight="15" x14ac:dyDescent="0.25"/>
  <cols>
    <col min="1" max="1" width="71.33203125" customWidth="1"/>
  </cols>
  <sheetData>
    <row r="3" spans="1:12" x14ac:dyDescent="0.25">
      <c r="A3" s="398" t="s">
        <v>532</v>
      </c>
      <c r="B3" s="398"/>
      <c r="C3" s="398"/>
      <c r="D3" s="398"/>
      <c r="E3" s="398"/>
      <c r="F3" s="398"/>
      <c r="G3" s="398"/>
      <c r="H3" s="398"/>
      <c r="I3" s="398"/>
      <c r="J3" s="398"/>
      <c r="K3" s="398"/>
      <c r="L3" s="398"/>
    </row>
    <row r="4" spans="1:12" x14ac:dyDescent="0.25">
      <c r="A4" s="398"/>
      <c r="B4" s="398"/>
      <c r="C4" s="398"/>
      <c r="D4" s="398"/>
      <c r="E4" s="398"/>
      <c r="F4" s="398"/>
      <c r="G4" s="398"/>
      <c r="H4" s="398"/>
      <c r="I4" s="398"/>
      <c r="J4" s="398"/>
      <c r="K4" s="398"/>
      <c r="L4" s="398"/>
    </row>
    <row r="5" spans="1:12" x14ac:dyDescent="0.25">
      <c r="A5" s="399" t="s">
        <v>421</v>
      </c>
      <c r="I5" s="398"/>
      <c r="J5" s="398"/>
      <c r="K5" s="398"/>
      <c r="L5" s="398"/>
    </row>
    <row r="6" spans="1:12" x14ac:dyDescent="0.25">
      <c r="A6" s="399" t="str">
        <f>CONCATENATE("estimated ",inputPrYr!C10-1," 'total expenditures' exceed your ",inputPrYr!C10-1,"")</f>
        <v>estimated 2012 'total expenditures' exceed your 2012</v>
      </c>
      <c r="I6" s="398"/>
      <c r="J6" s="398"/>
      <c r="K6" s="398"/>
      <c r="L6" s="398"/>
    </row>
    <row r="7" spans="1:12" x14ac:dyDescent="0.25">
      <c r="A7" s="402" t="s">
        <v>533</v>
      </c>
      <c r="I7" s="398"/>
      <c r="J7" s="398"/>
      <c r="K7" s="398"/>
      <c r="L7" s="398"/>
    </row>
    <row r="8" spans="1:12" x14ac:dyDescent="0.25">
      <c r="A8" s="399"/>
      <c r="I8" s="398"/>
      <c r="J8" s="398"/>
      <c r="K8" s="398"/>
      <c r="L8" s="398"/>
    </row>
    <row r="9" spans="1:12" x14ac:dyDescent="0.25">
      <c r="A9" s="399" t="s">
        <v>534</v>
      </c>
      <c r="I9" s="398"/>
      <c r="J9" s="398"/>
      <c r="K9" s="398"/>
      <c r="L9" s="398"/>
    </row>
    <row r="10" spans="1:12" x14ac:dyDescent="0.25">
      <c r="A10" s="399" t="s">
        <v>535</v>
      </c>
      <c r="I10" s="398"/>
      <c r="J10" s="398"/>
      <c r="K10" s="398"/>
      <c r="L10" s="398"/>
    </row>
    <row r="11" spans="1:12" x14ac:dyDescent="0.25">
      <c r="A11" s="399" t="s">
        <v>536</v>
      </c>
      <c r="I11" s="398"/>
      <c r="J11" s="398"/>
      <c r="K11" s="398"/>
      <c r="L11" s="398"/>
    </row>
    <row r="12" spans="1:12" x14ac:dyDescent="0.25">
      <c r="A12" s="399" t="s">
        <v>537</v>
      </c>
      <c r="I12" s="398"/>
      <c r="J12" s="398"/>
      <c r="K12" s="398"/>
      <c r="L12" s="398"/>
    </row>
    <row r="13" spans="1:12" x14ac:dyDescent="0.25">
      <c r="A13" s="399" t="s">
        <v>538</v>
      </c>
      <c r="I13" s="398"/>
      <c r="J13" s="398"/>
      <c r="K13" s="398"/>
      <c r="L13" s="398"/>
    </row>
    <row r="14" spans="1:12" x14ac:dyDescent="0.25">
      <c r="A14" s="398"/>
      <c r="B14" s="398"/>
      <c r="C14" s="398"/>
      <c r="D14" s="398"/>
      <c r="E14" s="398"/>
      <c r="F14" s="398"/>
      <c r="G14" s="398"/>
      <c r="H14" s="398"/>
      <c r="I14" s="398"/>
      <c r="J14" s="398"/>
      <c r="K14" s="398"/>
      <c r="L14" s="398"/>
    </row>
    <row r="15" spans="1:12" x14ac:dyDescent="0.25">
      <c r="A15" s="400" t="s">
        <v>539</v>
      </c>
    </row>
    <row r="16" spans="1:12" x14ac:dyDescent="0.25">
      <c r="A16" s="400" t="s">
        <v>540</v>
      </c>
    </row>
    <row r="17" spans="1:7" x14ac:dyDescent="0.25">
      <c r="A17" s="400"/>
    </row>
    <row r="18" spans="1:7" x14ac:dyDescent="0.25">
      <c r="A18" s="399" t="s">
        <v>541</v>
      </c>
      <c r="B18" s="399"/>
      <c r="C18" s="399"/>
      <c r="D18" s="399"/>
      <c r="E18" s="399"/>
      <c r="F18" s="399"/>
      <c r="G18" s="399"/>
    </row>
    <row r="19" spans="1:7" x14ac:dyDescent="0.25">
      <c r="A19" s="399" t="str">
        <f>CONCATENATE("your ",inputPrYr!C10-1," numbers to see what steps might be necessary to")</f>
        <v>your 2012 numbers to see what steps might be necessary to</v>
      </c>
      <c r="B19" s="399"/>
      <c r="C19" s="399"/>
      <c r="D19" s="399"/>
      <c r="E19" s="399"/>
      <c r="F19" s="399"/>
      <c r="G19" s="399"/>
    </row>
    <row r="20" spans="1:7" x14ac:dyDescent="0.25">
      <c r="A20" s="399" t="s">
        <v>542</v>
      </c>
      <c r="B20" s="399"/>
      <c r="C20" s="399"/>
      <c r="D20" s="399"/>
      <c r="E20" s="399"/>
      <c r="F20" s="399"/>
      <c r="G20" s="399"/>
    </row>
    <row r="21" spans="1:7" x14ac:dyDescent="0.25">
      <c r="A21" s="399" t="s">
        <v>543</v>
      </c>
      <c r="B21" s="399"/>
      <c r="C21" s="399"/>
      <c r="D21" s="399"/>
      <c r="E21" s="399"/>
      <c r="F21" s="399"/>
      <c r="G21" s="399"/>
    </row>
    <row r="22" spans="1:7" x14ac:dyDescent="0.25">
      <c r="A22" s="399"/>
    </row>
    <row r="23" spans="1:7" x14ac:dyDescent="0.25">
      <c r="A23" s="400" t="s">
        <v>544</v>
      </c>
    </row>
    <row r="24" spans="1:7" x14ac:dyDescent="0.25">
      <c r="A24" s="400"/>
    </row>
    <row r="25" spans="1:7" x14ac:dyDescent="0.25">
      <c r="A25" s="399" t="s">
        <v>545</v>
      </c>
    </row>
    <row r="26" spans="1:7" x14ac:dyDescent="0.25">
      <c r="A26" s="399" t="s">
        <v>546</v>
      </c>
      <c r="B26" s="399"/>
      <c r="C26" s="399"/>
      <c r="D26" s="399"/>
      <c r="E26" s="399"/>
      <c r="F26" s="399"/>
    </row>
    <row r="27" spans="1:7" x14ac:dyDescent="0.25">
      <c r="A27" s="399" t="s">
        <v>547</v>
      </c>
      <c r="B27" s="399"/>
      <c r="C27" s="399"/>
      <c r="D27" s="399"/>
      <c r="E27" s="399"/>
      <c r="F27" s="399"/>
    </row>
    <row r="28" spans="1:7" x14ac:dyDescent="0.25">
      <c r="A28" s="399" t="s">
        <v>548</v>
      </c>
      <c r="B28" s="399"/>
      <c r="C28" s="399"/>
      <c r="D28" s="399"/>
      <c r="E28" s="399"/>
      <c r="F28" s="399"/>
    </row>
    <row r="29" spans="1:7" x14ac:dyDescent="0.25">
      <c r="A29" s="399"/>
      <c r="B29" s="399"/>
      <c r="C29" s="399"/>
      <c r="D29" s="399"/>
      <c r="E29" s="399"/>
      <c r="F29" s="399"/>
    </row>
    <row r="30" spans="1:7" x14ac:dyDescent="0.25">
      <c r="A30" s="400" t="s">
        <v>549</v>
      </c>
      <c r="B30" s="400"/>
      <c r="C30" s="400"/>
      <c r="D30" s="400"/>
      <c r="E30" s="400"/>
      <c r="F30" s="400"/>
      <c r="G30" s="400"/>
    </row>
    <row r="31" spans="1:7" x14ac:dyDescent="0.25">
      <c r="A31" s="400" t="s">
        <v>550</v>
      </c>
      <c r="B31" s="400"/>
      <c r="C31" s="400"/>
      <c r="D31" s="400"/>
      <c r="E31" s="400"/>
      <c r="F31" s="400"/>
      <c r="G31" s="400"/>
    </row>
    <row r="32" spans="1:7" x14ac:dyDescent="0.25">
      <c r="A32" s="399"/>
      <c r="B32" s="399"/>
      <c r="C32" s="399"/>
      <c r="D32" s="399"/>
      <c r="E32" s="399"/>
      <c r="F32" s="399"/>
    </row>
    <row r="33" spans="1:6" x14ac:dyDescent="0.25">
      <c r="A33" s="403" t="str">
        <f>CONCATENATE("Well, let's look to see if any of your ",inputPrYr!C10-1," expenditures can")</f>
        <v>Well, let's look to see if any of your 2012 expenditures can</v>
      </c>
      <c r="B33" s="399"/>
      <c r="C33" s="399"/>
      <c r="D33" s="399"/>
      <c r="E33" s="399"/>
      <c r="F33" s="399"/>
    </row>
    <row r="34" spans="1:6" x14ac:dyDescent="0.25">
      <c r="A34" s="403" t="s">
        <v>551</v>
      </c>
      <c r="B34" s="399"/>
      <c r="C34" s="399"/>
      <c r="D34" s="399"/>
      <c r="E34" s="399"/>
      <c r="F34" s="399"/>
    </row>
    <row r="35" spans="1:6" x14ac:dyDescent="0.25">
      <c r="A35" s="403" t="s">
        <v>435</v>
      </c>
      <c r="B35" s="399"/>
      <c r="C35" s="399"/>
      <c r="D35" s="399"/>
      <c r="E35" s="399"/>
      <c r="F35" s="399"/>
    </row>
    <row r="36" spans="1:6" x14ac:dyDescent="0.25">
      <c r="A36" s="403" t="s">
        <v>436</v>
      </c>
      <c r="B36" s="399"/>
      <c r="C36" s="399"/>
      <c r="D36" s="399"/>
      <c r="E36" s="399"/>
      <c r="F36" s="399"/>
    </row>
    <row r="37" spans="1:6" x14ac:dyDescent="0.25">
      <c r="A37" s="403"/>
      <c r="B37" s="399"/>
      <c r="C37" s="399"/>
      <c r="D37" s="399"/>
      <c r="E37" s="399"/>
      <c r="F37" s="399"/>
    </row>
    <row r="38" spans="1:6" x14ac:dyDescent="0.25">
      <c r="A38" s="403" t="str">
        <f>CONCATENATE("Additionally, do your ",inputPrYr!C10-1," receipts contain a reimbursement")</f>
        <v>Additionally, do your 2012 receipts contain a reimbursement</v>
      </c>
      <c r="B38" s="399"/>
      <c r="C38" s="399"/>
      <c r="D38" s="399"/>
      <c r="E38" s="399"/>
      <c r="F38" s="399"/>
    </row>
    <row r="39" spans="1:6" x14ac:dyDescent="0.25">
      <c r="A39" s="403" t="s">
        <v>437</v>
      </c>
      <c r="B39" s="399"/>
      <c r="C39" s="399"/>
      <c r="D39" s="399"/>
      <c r="E39" s="399"/>
      <c r="F39" s="399"/>
    </row>
    <row r="40" spans="1:6" x14ac:dyDescent="0.25">
      <c r="A40" s="403" t="s">
        <v>438</v>
      </c>
      <c r="B40" s="399"/>
      <c r="C40" s="399"/>
      <c r="D40" s="399"/>
      <c r="E40" s="399"/>
      <c r="F40" s="399"/>
    </row>
    <row r="41" spans="1:6" x14ac:dyDescent="0.25">
      <c r="A41" s="403"/>
      <c r="B41" s="399"/>
      <c r="C41" s="399"/>
      <c r="D41" s="399"/>
      <c r="E41" s="399"/>
      <c r="F41" s="399"/>
    </row>
    <row r="42" spans="1:6" x14ac:dyDescent="0.25">
      <c r="A42" s="403" t="s">
        <v>439</v>
      </c>
      <c r="B42" s="399"/>
      <c r="C42" s="399"/>
      <c r="D42" s="399"/>
      <c r="E42" s="399"/>
      <c r="F42" s="399"/>
    </row>
    <row r="43" spans="1:6" x14ac:dyDescent="0.25">
      <c r="A43" s="403" t="s">
        <v>440</v>
      </c>
      <c r="B43" s="399"/>
      <c r="C43" s="399"/>
      <c r="D43" s="399"/>
      <c r="E43" s="399"/>
      <c r="F43" s="399"/>
    </row>
    <row r="44" spans="1:6" x14ac:dyDescent="0.25">
      <c r="A44" s="403" t="s">
        <v>441</v>
      </c>
      <c r="B44" s="399"/>
      <c r="C44" s="399"/>
      <c r="D44" s="399"/>
      <c r="E44" s="399"/>
      <c r="F44" s="399"/>
    </row>
    <row r="45" spans="1:6" x14ac:dyDescent="0.25">
      <c r="A45" s="403" t="s">
        <v>552</v>
      </c>
      <c r="B45" s="399"/>
      <c r="C45" s="399"/>
      <c r="D45" s="399"/>
      <c r="E45" s="399"/>
      <c r="F45" s="399"/>
    </row>
    <row r="46" spans="1:6" x14ac:dyDescent="0.25">
      <c r="A46" s="403" t="s">
        <v>443</v>
      </c>
      <c r="B46" s="399"/>
      <c r="C46" s="399"/>
      <c r="D46" s="399"/>
      <c r="E46" s="399"/>
      <c r="F46" s="399"/>
    </row>
    <row r="47" spans="1:6" x14ac:dyDescent="0.25">
      <c r="A47" s="403" t="s">
        <v>553</v>
      </c>
      <c r="B47" s="399"/>
      <c r="C47" s="399"/>
      <c r="D47" s="399"/>
      <c r="E47" s="399"/>
      <c r="F47" s="399"/>
    </row>
    <row r="48" spans="1:6" x14ac:dyDescent="0.25">
      <c r="A48" s="403" t="s">
        <v>554</v>
      </c>
      <c r="B48" s="399"/>
      <c r="C48" s="399"/>
      <c r="D48" s="399"/>
      <c r="E48" s="399"/>
      <c r="F48" s="399"/>
    </row>
    <row r="49" spans="1:6" x14ac:dyDescent="0.25">
      <c r="A49" s="403" t="s">
        <v>446</v>
      </c>
      <c r="B49" s="399"/>
      <c r="C49" s="399"/>
      <c r="D49" s="399"/>
      <c r="E49" s="399"/>
      <c r="F49" s="399"/>
    </row>
    <row r="50" spans="1:6" x14ac:dyDescent="0.25">
      <c r="A50" s="403"/>
      <c r="B50" s="399"/>
      <c r="C50" s="399"/>
      <c r="D50" s="399"/>
      <c r="E50" s="399"/>
      <c r="F50" s="399"/>
    </row>
    <row r="51" spans="1:6" x14ac:dyDescent="0.25">
      <c r="A51" s="403" t="s">
        <v>447</v>
      </c>
      <c r="B51" s="399"/>
      <c r="C51" s="399"/>
      <c r="D51" s="399"/>
      <c r="E51" s="399"/>
      <c r="F51" s="399"/>
    </row>
    <row r="52" spans="1:6" x14ac:dyDescent="0.25">
      <c r="A52" s="403" t="s">
        <v>448</v>
      </c>
      <c r="B52" s="399"/>
      <c r="C52" s="399"/>
      <c r="D52" s="399"/>
      <c r="E52" s="399"/>
      <c r="F52" s="399"/>
    </row>
    <row r="53" spans="1:6" x14ac:dyDescent="0.25">
      <c r="A53" s="403" t="s">
        <v>449</v>
      </c>
      <c r="B53" s="399"/>
      <c r="C53" s="399"/>
      <c r="D53" s="399"/>
      <c r="E53" s="399"/>
      <c r="F53" s="399"/>
    </row>
    <row r="54" spans="1:6" x14ac:dyDescent="0.25">
      <c r="A54" s="403"/>
      <c r="B54" s="399"/>
      <c r="C54" s="399"/>
      <c r="D54" s="399"/>
      <c r="E54" s="399"/>
      <c r="F54" s="399"/>
    </row>
    <row r="55" spans="1:6" x14ac:dyDescent="0.25">
      <c r="A55" s="403" t="s">
        <v>555</v>
      </c>
      <c r="B55" s="399"/>
      <c r="C55" s="399"/>
      <c r="D55" s="399"/>
      <c r="E55" s="399"/>
      <c r="F55" s="399"/>
    </row>
    <row r="56" spans="1:6" x14ac:dyDescent="0.25">
      <c r="A56" s="403" t="s">
        <v>556</v>
      </c>
      <c r="B56" s="399"/>
      <c r="C56" s="399"/>
      <c r="D56" s="399"/>
      <c r="E56" s="399"/>
      <c r="F56" s="399"/>
    </row>
    <row r="57" spans="1:6" x14ac:dyDescent="0.25">
      <c r="A57" s="403" t="s">
        <v>557</v>
      </c>
      <c r="B57" s="399"/>
      <c r="C57" s="399"/>
      <c r="D57" s="399"/>
      <c r="E57" s="399"/>
      <c r="F57" s="399"/>
    </row>
    <row r="58" spans="1:6" x14ac:dyDescent="0.25">
      <c r="A58" s="403" t="s">
        <v>558</v>
      </c>
      <c r="B58" s="399"/>
      <c r="C58" s="399"/>
      <c r="D58" s="399"/>
      <c r="E58" s="399"/>
      <c r="F58" s="399"/>
    </row>
    <row r="59" spans="1:6" x14ac:dyDescent="0.25">
      <c r="A59" s="403" t="s">
        <v>559</v>
      </c>
      <c r="B59" s="399"/>
      <c r="C59" s="399"/>
      <c r="D59" s="399"/>
      <c r="E59" s="399"/>
      <c r="F59" s="399"/>
    </row>
    <row r="60" spans="1:6" x14ac:dyDescent="0.25">
      <c r="A60" s="403"/>
      <c r="B60" s="399"/>
      <c r="C60" s="399"/>
      <c r="D60" s="399"/>
      <c r="E60" s="399"/>
      <c r="F60" s="399"/>
    </row>
    <row r="61" spans="1:6" x14ac:dyDescent="0.25">
      <c r="A61" s="404" t="s">
        <v>560</v>
      </c>
      <c r="B61" s="399"/>
      <c r="C61" s="399"/>
      <c r="D61" s="399"/>
      <c r="E61" s="399"/>
      <c r="F61" s="399"/>
    </row>
    <row r="62" spans="1:6" x14ac:dyDescent="0.25">
      <c r="A62" s="404" t="s">
        <v>561</v>
      </c>
      <c r="B62" s="399"/>
      <c r="C62" s="399"/>
      <c r="D62" s="399"/>
      <c r="E62" s="399"/>
      <c r="F62" s="399"/>
    </row>
    <row r="63" spans="1:6" x14ac:dyDescent="0.25">
      <c r="A63" s="404" t="s">
        <v>562</v>
      </c>
      <c r="B63" s="399"/>
      <c r="C63" s="399"/>
      <c r="D63" s="399"/>
      <c r="E63" s="399"/>
      <c r="F63" s="399"/>
    </row>
    <row r="64" spans="1:6" x14ac:dyDescent="0.25">
      <c r="A64" s="404" t="s">
        <v>563</v>
      </c>
    </row>
    <row r="65" spans="1:1" x14ac:dyDescent="0.25">
      <c r="A65" s="404" t="s">
        <v>564</v>
      </c>
    </row>
    <row r="66" spans="1:1" x14ac:dyDescent="0.25">
      <c r="A66" s="404" t="s">
        <v>565</v>
      </c>
    </row>
    <row r="68" spans="1:1" x14ac:dyDescent="0.25">
      <c r="A68" s="399" t="s">
        <v>566</v>
      </c>
    </row>
    <row r="69" spans="1:1" x14ac:dyDescent="0.25">
      <c r="A69" s="399" t="s">
        <v>567</v>
      </c>
    </row>
    <row r="70" spans="1:1" x14ac:dyDescent="0.25">
      <c r="A70" s="399" t="s">
        <v>568</v>
      </c>
    </row>
    <row r="71" spans="1:1" x14ac:dyDescent="0.25">
      <c r="A71" s="399" t="s">
        <v>569</v>
      </c>
    </row>
    <row r="72" spans="1:1" x14ac:dyDescent="0.25">
      <c r="A72" s="399" t="s">
        <v>570</v>
      </c>
    </row>
    <row r="73" spans="1:1" x14ac:dyDescent="0.25">
      <c r="A73" s="399" t="s">
        <v>571</v>
      </c>
    </row>
    <row r="75" spans="1:1" x14ac:dyDescent="0.25">
      <c r="A75" s="399" t="s">
        <v>476</v>
      </c>
    </row>
  </sheetData>
  <sheetProtection sheet="1"/>
  <pageMargins left="0.7" right="0.7" top="0.75" bottom="0.75" header="0.3" footer="0.3"/>
  <pageSetup orientation="portrait" r:id="rId1"/>
  <headerFooter>
    <oddFooter>&amp;Lrevised 10/02/09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15" sqref="B15"/>
    </sheetView>
  </sheetViews>
  <sheetFormatPr defaultColWidth="8.9140625" defaultRowHeight="15" x14ac:dyDescent="0.25"/>
  <cols>
    <col min="1" max="1" width="13.75" style="635" customWidth="1"/>
    <col min="2" max="2" width="16.08203125" style="635" customWidth="1"/>
    <col min="3" max="16384" width="8.9140625" style="635"/>
  </cols>
  <sheetData>
    <row r="1" spans="1:10" x14ac:dyDescent="0.25">
      <c r="J1" s="636" t="s">
        <v>873</v>
      </c>
    </row>
    <row r="2" spans="1:10" ht="54" customHeight="1" x14ac:dyDescent="0.25">
      <c r="A2" s="842" t="s">
        <v>411</v>
      </c>
      <c r="B2" s="843"/>
      <c r="C2" s="843"/>
      <c r="D2" s="843"/>
      <c r="E2" s="843"/>
      <c r="F2" s="843"/>
      <c r="J2" s="636" t="s">
        <v>874</v>
      </c>
    </row>
    <row r="3" spans="1:10" ht="15.6" x14ac:dyDescent="0.3">
      <c r="A3" s="637" t="s">
        <v>875</v>
      </c>
      <c r="B3" s="638" t="s">
        <v>981</v>
      </c>
      <c r="C3" s="638"/>
      <c r="J3" s="636" t="s">
        <v>876</v>
      </c>
    </row>
    <row r="4" spans="1:10" ht="15.6" x14ac:dyDescent="0.3">
      <c r="A4" s="637"/>
      <c r="B4" s="634"/>
      <c r="J4" s="636" t="s">
        <v>877</v>
      </c>
    </row>
    <row r="5" spans="1:10" ht="15.6" x14ac:dyDescent="0.3">
      <c r="A5" s="637" t="s">
        <v>662</v>
      </c>
      <c r="B5" s="638" t="s">
        <v>71</v>
      </c>
      <c r="J5" s="636" t="s">
        <v>878</v>
      </c>
    </row>
    <row r="6" spans="1:10" ht="15.6" x14ac:dyDescent="0.3">
      <c r="A6" s="392"/>
      <c r="B6" s="392"/>
      <c r="C6" s="392"/>
      <c r="D6" s="393" t="s">
        <v>879</v>
      </c>
      <c r="E6" s="392"/>
      <c r="F6" s="392"/>
      <c r="J6" s="636" t="s">
        <v>880</v>
      </c>
    </row>
    <row r="7" spans="1:10" ht="15.6" x14ac:dyDescent="0.3">
      <c r="A7" s="393" t="s">
        <v>412</v>
      </c>
      <c r="B7" s="638" t="s">
        <v>1016</v>
      </c>
      <c r="C7" s="394"/>
      <c r="D7" s="639" t="str">
        <f ca="1">IF(B7="","",CONCATENATE("Latest date for notice to be published in your newspaper: ",G18," ",G22,", ",G23))</f>
        <v>Latest date for notice to be published in your newspaper: August 3, 2012</v>
      </c>
      <c r="E7" s="392"/>
      <c r="F7" s="392"/>
      <c r="J7" s="636" t="s">
        <v>881</v>
      </c>
    </row>
    <row r="8" spans="1:10" ht="15.6" x14ac:dyDescent="0.3">
      <c r="A8" s="393"/>
      <c r="B8" s="395"/>
      <c r="C8" s="396"/>
      <c r="D8" s="393"/>
      <c r="E8" s="392"/>
      <c r="F8" s="392"/>
      <c r="J8" s="636" t="s">
        <v>882</v>
      </c>
    </row>
    <row r="9" spans="1:10" ht="15.6" x14ac:dyDescent="0.3">
      <c r="A9" s="393" t="s">
        <v>413</v>
      </c>
      <c r="B9" s="638" t="s">
        <v>1017</v>
      </c>
      <c r="C9" s="397"/>
      <c r="D9" s="393"/>
      <c r="E9" s="392"/>
      <c r="F9" s="392"/>
      <c r="J9" s="636" t="s">
        <v>883</v>
      </c>
    </row>
    <row r="10" spans="1:10" ht="15.6" x14ac:dyDescent="0.3">
      <c r="A10" s="393"/>
      <c r="B10" s="393"/>
      <c r="C10" s="393"/>
      <c r="D10" s="393"/>
      <c r="E10" s="392"/>
      <c r="F10" s="392"/>
      <c r="J10" s="636" t="s">
        <v>884</v>
      </c>
    </row>
    <row r="11" spans="1:10" ht="15.6" x14ac:dyDescent="0.3">
      <c r="A11" s="393" t="s">
        <v>414</v>
      </c>
      <c r="B11" s="640" t="s">
        <v>1018</v>
      </c>
      <c r="C11" s="640"/>
      <c r="D11" s="640"/>
      <c r="E11" s="641"/>
      <c r="F11" s="392"/>
      <c r="J11" s="636" t="s">
        <v>885</v>
      </c>
    </row>
    <row r="12" spans="1:10" ht="15.6" x14ac:dyDescent="0.3">
      <c r="A12" s="393"/>
      <c r="B12" s="393"/>
      <c r="C12" s="393"/>
      <c r="D12" s="393"/>
      <c r="E12" s="392"/>
      <c r="F12" s="392"/>
      <c r="J12" s="636" t="s">
        <v>886</v>
      </c>
    </row>
    <row r="13" spans="1:10" ht="15.6" x14ac:dyDescent="0.3">
      <c r="A13" s="393"/>
      <c r="B13" s="393"/>
      <c r="C13" s="393"/>
      <c r="D13" s="393"/>
      <c r="E13" s="392"/>
      <c r="F13" s="392"/>
    </row>
    <row r="14" spans="1:10" ht="15.6" x14ac:dyDescent="0.3">
      <c r="A14" s="393" t="s">
        <v>416</v>
      </c>
      <c r="B14" s="640" t="s">
        <v>1019</v>
      </c>
      <c r="C14" s="640"/>
      <c r="D14" s="640"/>
      <c r="E14" s="641"/>
      <c r="F14" s="392"/>
    </row>
    <row r="17" spans="1:7" ht="15.6" x14ac:dyDescent="0.3">
      <c r="A17" s="844" t="s">
        <v>417</v>
      </c>
      <c r="B17" s="844"/>
      <c r="C17" s="393"/>
      <c r="D17" s="393"/>
      <c r="E17" s="393"/>
      <c r="F17" s="392"/>
    </row>
    <row r="18" spans="1:7" ht="15.6" x14ac:dyDescent="0.3">
      <c r="A18" s="393"/>
      <c r="B18" s="393"/>
      <c r="C18" s="393"/>
      <c r="D18" s="393"/>
      <c r="E18" s="393"/>
      <c r="F18" s="392"/>
      <c r="G18" s="636" t="str">
        <f ca="1">IF(B7="","",INDIRECT(G19))</f>
        <v>August</v>
      </c>
    </row>
    <row r="19" spans="1:7" ht="15.6" x14ac:dyDescent="0.3">
      <c r="A19" s="393" t="s">
        <v>662</v>
      </c>
      <c r="B19" s="393" t="s">
        <v>663</v>
      </c>
      <c r="C19" s="393"/>
      <c r="D19" s="393"/>
      <c r="E19" s="393"/>
      <c r="F19" s="392"/>
      <c r="G19" s="642" t="str">
        <f>IF(B7="","",CONCATENATE("J",G21))</f>
        <v>J8</v>
      </c>
    </row>
    <row r="20" spans="1:7" ht="15.6" x14ac:dyDescent="0.3">
      <c r="A20" s="393"/>
      <c r="B20" s="393"/>
      <c r="C20" s="393"/>
      <c r="D20" s="393"/>
      <c r="E20" s="393"/>
      <c r="F20" s="392"/>
      <c r="G20" s="643">
        <f>B7-10</f>
        <v>41124</v>
      </c>
    </row>
    <row r="21" spans="1:7" ht="15.6" x14ac:dyDescent="0.25">
      <c r="A21" s="393" t="s">
        <v>412</v>
      </c>
      <c r="B21" s="395" t="s">
        <v>418</v>
      </c>
      <c r="C21" s="393"/>
      <c r="D21" s="393"/>
      <c r="E21" s="393"/>
      <c r="G21" s="644">
        <f>IF(B7="","",MONTH(G20))</f>
        <v>8</v>
      </c>
    </row>
    <row r="22" spans="1:7" ht="15.6" x14ac:dyDescent="0.25">
      <c r="A22" s="393"/>
      <c r="B22" s="393"/>
      <c r="C22" s="393"/>
      <c r="D22" s="393"/>
      <c r="E22" s="393"/>
      <c r="G22" s="645">
        <f>IF(B7="","",DAY(G20))</f>
        <v>3</v>
      </c>
    </row>
    <row r="23" spans="1:7" ht="15.6" x14ac:dyDescent="0.25">
      <c r="A23" s="393" t="s">
        <v>413</v>
      </c>
      <c r="B23" s="393" t="s">
        <v>419</v>
      </c>
      <c r="C23" s="393"/>
      <c r="D23" s="393"/>
      <c r="E23" s="393"/>
      <c r="G23" s="646">
        <f>IF(B7="","",YEAR(G20))</f>
        <v>2012</v>
      </c>
    </row>
    <row r="24" spans="1:7" ht="15.6" x14ac:dyDescent="0.25">
      <c r="A24" s="393"/>
      <c r="B24" s="393"/>
      <c r="C24" s="393"/>
      <c r="D24" s="393"/>
      <c r="E24" s="393"/>
    </row>
    <row r="25" spans="1:7" ht="15.6" x14ac:dyDescent="0.25">
      <c r="A25" s="393" t="s">
        <v>414</v>
      </c>
      <c r="B25" s="393" t="s">
        <v>415</v>
      </c>
      <c r="C25" s="393"/>
      <c r="D25" s="393"/>
      <c r="E25" s="393"/>
    </row>
    <row r="26" spans="1:7" ht="15.6" x14ac:dyDescent="0.25">
      <c r="A26" s="393"/>
      <c r="B26" s="393"/>
      <c r="C26" s="393"/>
      <c r="D26" s="393"/>
      <c r="E26" s="393"/>
    </row>
    <row r="27" spans="1:7" ht="15.6" x14ac:dyDescent="0.25">
      <c r="A27" s="393" t="s">
        <v>416</v>
      </c>
      <c r="B27" s="393" t="s">
        <v>415</v>
      </c>
      <c r="C27" s="393"/>
      <c r="D27" s="393"/>
      <c r="E27" s="393"/>
    </row>
  </sheetData>
  <sheetProtection sheet="1"/>
  <mergeCells count="2">
    <mergeCell ref="A2:F2"/>
    <mergeCell ref="A17:B17"/>
  </mergeCells>
  <pageMargins left="0.7" right="0.7" top="0.75" bottom="0.75" header="0.3" footer="0.3"/>
  <pageSetup orientation="portrait" blackAndWhite="1"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46" sqref="A46"/>
    </sheetView>
  </sheetViews>
  <sheetFormatPr defaultRowHeight="15" x14ac:dyDescent="0.25"/>
  <cols>
    <col min="1" max="1" width="71.33203125" customWidth="1"/>
  </cols>
  <sheetData>
    <row r="3" spans="1:7" x14ac:dyDescent="0.25">
      <c r="A3" s="398" t="s">
        <v>572</v>
      </c>
      <c r="B3" s="398"/>
      <c r="C3" s="398"/>
      <c r="D3" s="398"/>
      <c r="E3" s="398"/>
      <c r="F3" s="398"/>
      <c r="G3" s="398"/>
    </row>
    <row r="4" spans="1:7" x14ac:dyDescent="0.25">
      <c r="A4" s="398"/>
      <c r="B4" s="398"/>
      <c r="C4" s="398"/>
      <c r="D4" s="398"/>
      <c r="E4" s="398"/>
      <c r="F4" s="398"/>
      <c r="G4" s="398"/>
    </row>
    <row r="5" spans="1:7" x14ac:dyDescent="0.25">
      <c r="A5" s="399" t="s">
        <v>478</v>
      </c>
    </row>
    <row r="6" spans="1:7" x14ac:dyDescent="0.25">
      <c r="A6" s="399" t="str">
        <f>CONCATENATE(inputPrYr!C10," estimated expenditures show that at the end of this year")</f>
        <v>2013 estimated expenditures show that at the end of this year</v>
      </c>
    </row>
    <row r="7" spans="1:7" x14ac:dyDescent="0.25">
      <c r="A7" s="399" t="s">
        <v>573</v>
      </c>
    </row>
    <row r="8" spans="1:7" x14ac:dyDescent="0.25">
      <c r="A8" s="399" t="s">
        <v>574</v>
      </c>
    </row>
    <row r="10" spans="1:7" x14ac:dyDescent="0.25">
      <c r="A10" t="s">
        <v>480</v>
      </c>
    </row>
    <row r="11" spans="1:7" x14ac:dyDescent="0.25">
      <c r="A11" t="s">
        <v>481</v>
      </c>
    </row>
    <row r="12" spans="1:7" x14ac:dyDescent="0.25">
      <c r="A12" t="s">
        <v>482</v>
      </c>
    </row>
    <row r="13" spans="1:7" x14ac:dyDescent="0.25">
      <c r="A13" s="398"/>
      <c r="B13" s="398"/>
      <c r="C13" s="398"/>
      <c r="D13" s="398"/>
      <c r="E13" s="398"/>
      <c r="F13" s="398"/>
      <c r="G13" s="398"/>
    </row>
    <row r="14" spans="1:7" x14ac:dyDescent="0.25">
      <c r="A14" s="400" t="s">
        <v>575</v>
      </c>
    </row>
    <row r="15" spans="1:7" x14ac:dyDescent="0.25">
      <c r="A15" s="399"/>
    </row>
    <row r="16" spans="1:7" x14ac:dyDescent="0.25">
      <c r="A16" s="399" t="s">
        <v>576</v>
      </c>
    </row>
    <row r="17" spans="1:7" x14ac:dyDescent="0.25">
      <c r="A17" s="399" t="s">
        <v>577</v>
      </c>
    </row>
    <row r="18" spans="1:7" x14ac:dyDescent="0.25">
      <c r="A18" s="399" t="s">
        <v>578</v>
      </c>
    </row>
    <row r="19" spans="1:7" x14ac:dyDescent="0.25">
      <c r="A19" s="399"/>
    </row>
    <row r="20" spans="1:7" x14ac:dyDescent="0.25">
      <c r="A20" s="399" t="s">
        <v>579</v>
      </c>
    </row>
    <row r="21" spans="1:7" x14ac:dyDescent="0.25">
      <c r="A21" s="399" t="s">
        <v>580</v>
      </c>
    </row>
    <row r="22" spans="1:7" x14ac:dyDescent="0.25">
      <c r="A22" s="399" t="s">
        <v>581</v>
      </c>
    </row>
    <row r="23" spans="1:7" x14ac:dyDescent="0.25">
      <c r="A23" s="399" t="s">
        <v>582</v>
      </c>
    </row>
    <row r="24" spans="1:7" x14ac:dyDescent="0.25">
      <c r="A24" s="399"/>
    </row>
    <row r="25" spans="1:7" x14ac:dyDescent="0.25">
      <c r="A25" s="400" t="s">
        <v>544</v>
      </c>
    </row>
    <row r="26" spans="1:7" x14ac:dyDescent="0.25">
      <c r="A26" s="400"/>
    </row>
    <row r="27" spans="1:7" x14ac:dyDescent="0.25">
      <c r="A27" s="399" t="s">
        <v>545</v>
      </c>
    </row>
    <row r="28" spans="1:7" x14ac:dyDescent="0.25">
      <c r="A28" s="399" t="s">
        <v>546</v>
      </c>
      <c r="B28" s="399"/>
      <c r="C28" s="399"/>
      <c r="D28" s="399"/>
      <c r="E28" s="399"/>
      <c r="F28" s="399"/>
    </row>
    <row r="29" spans="1:7" x14ac:dyDescent="0.25">
      <c r="A29" s="399" t="s">
        <v>547</v>
      </c>
      <c r="B29" s="399"/>
      <c r="C29" s="399"/>
      <c r="D29" s="399"/>
      <c r="E29" s="399"/>
      <c r="F29" s="399"/>
    </row>
    <row r="30" spans="1:7" x14ac:dyDescent="0.25">
      <c r="A30" s="399" t="s">
        <v>548</v>
      </c>
      <c r="B30" s="399"/>
      <c r="C30" s="399"/>
      <c r="D30" s="399"/>
      <c r="E30" s="399"/>
      <c r="F30" s="399"/>
    </row>
    <row r="31" spans="1:7" x14ac:dyDescent="0.25">
      <c r="A31" s="399"/>
    </row>
    <row r="32" spans="1:7" x14ac:dyDescent="0.25">
      <c r="A32" s="400" t="s">
        <v>549</v>
      </c>
      <c r="B32" s="400"/>
      <c r="C32" s="400"/>
      <c r="D32" s="400"/>
      <c r="E32" s="400"/>
      <c r="F32" s="400"/>
      <c r="G32" s="400"/>
    </row>
    <row r="33" spans="1:7" x14ac:dyDescent="0.25">
      <c r="A33" s="400" t="s">
        <v>550</v>
      </c>
      <c r="B33" s="400"/>
      <c r="C33" s="400"/>
      <c r="D33" s="400"/>
      <c r="E33" s="400"/>
      <c r="F33" s="400"/>
      <c r="G33" s="400"/>
    </row>
    <row r="34" spans="1:7" x14ac:dyDescent="0.25">
      <c r="A34" s="400"/>
      <c r="B34" s="400"/>
      <c r="C34" s="400"/>
      <c r="D34" s="400"/>
      <c r="E34" s="400"/>
      <c r="F34" s="400"/>
      <c r="G34" s="400"/>
    </row>
    <row r="35" spans="1:7" x14ac:dyDescent="0.25">
      <c r="A35" s="399" t="s">
        <v>583</v>
      </c>
      <c r="B35" s="399"/>
      <c r="C35" s="399"/>
      <c r="D35" s="399"/>
      <c r="E35" s="399"/>
      <c r="F35" s="399"/>
      <c r="G35" s="399"/>
    </row>
    <row r="36" spans="1:7" x14ac:dyDescent="0.25">
      <c r="A36" s="399" t="s">
        <v>584</v>
      </c>
      <c r="B36" s="399"/>
      <c r="C36" s="399"/>
      <c r="D36" s="399"/>
      <c r="E36" s="399"/>
      <c r="F36" s="399"/>
      <c r="G36" s="399"/>
    </row>
    <row r="37" spans="1:7" x14ac:dyDescent="0.25">
      <c r="A37" s="399" t="s">
        <v>585</v>
      </c>
      <c r="B37" s="399"/>
      <c r="C37" s="399"/>
      <c r="D37" s="399"/>
      <c r="E37" s="399"/>
      <c r="F37" s="399"/>
      <c r="G37" s="399"/>
    </row>
    <row r="38" spans="1:7" x14ac:dyDescent="0.25">
      <c r="A38" s="399" t="s">
        <v>586</v>
      </c>
      <c r="B38" s="399"/>
      <c r="C38" s="399"/>
      <c r="D38" s="399"/>
      <c r="E38" s="399"/>
      <c r="F38" s="399"/>
      <c r="G38" s="399"/>
    </row>
    <row r="39" spans="1:7" x14ac:dyDescent="0.25">
      <c r="A39" s="399" t="s">
        <v>587</v>
      </c>
      <c r="B39" s="399"/>
      <c r="C39" s="399"/>
      <c r="D39" s="399"/>
      <c r="E39" s="399"/>
      <c r="F39" s="399"/>
      <c r="G39" s="399"/>
    </row>
    <row r="40" spans="1:7" x14ac:dyDescent="0.25">
      <c r="A40" s="400"/>
      <c r="B40" s="400"/>
      <c r="C40" s="400"/>
      <c r="D40" s="400"/>
      <c r="E40" s="400"/>
      <c r="F40" s="400"/>
      <c r="G40" s="400"/>
    </row>
    <row r="41" spans="1:7" x14ac:dyDescent="0.25">
      <c r="A41" s="403" t="str">
        <f>CONCATENATE("So, let's look to see if any of your ",inputPrYr!C10-1," expenditures can")</f>
        <v>So, let's look to see if any of your 2012 expenditures can</v>
      </c>
      <c r="B41" s="399"/>
      <c r="C41" s="399"/>
      <c r="D41" s="399"/>
      <c r="E41" s="399"/>
      <c r="F41" s="399"/>
    </row>
    <row r="42" spans="1:7" x14ac:dyDescent="0.25">
      <c r="A42" s="403" t="s">
        <v>551</v>
      </c>
      <c r="B42" s="399"/>
      <c r="C42" s="399"/>
      <c r="D42" s="399"/>
      <c r="E42" s="399"/>
      <c r="F42" s="399"/>
    </row>
    <row r="43" spans="1:7" x14ac:dyDescent="0.25">
      <c r="A43" s="403" t="s">
        <v>435</v>
      </c>
      <c r="B43" s="399"/>
      <c r="C43" s="399"/>
      <c r="D43" s="399"/>
      <c r="E43" s="399"/>
      <c r="F43" s="399"/>
    </row>
    <row r="44" spans="1:7" x14ac:dyDescent="0.25">
      <c r="A44" s="403" t="s">
        <v>436</v>
      </c>
      <c r="B44" s="399"/>
      <c r="C44" s="399"/>
      <c r="D44" s="399"/>
      <c r="E44" s="399"/>
      <c r="F44" s="399"/>
    </row>
    <row r="45" spans="1:7" x14ac:dyDescent="0.25">
      <c r="A45" s="399"/>
    </row>
    <row r="46" spans="1:7" x14ac:dyDescent="0.25">
      <c r="A46" s="403" t="str">
        <f>CONCATENATE("Additionally, do your ",inputPrYr!C10-1," receipts contain a reimbursement")</f>
        <v>Additionally, do your 2012 receipts contain a reimbursement</v>
      </c>
      <c r="B46" s="399"/>
      <c r="C46" s="399"/>
      <c r="D46" s="399"/>
      <c r="E46" s="399"/>
      <c r="F46" s="399"/>
    </row>
    <row r="47" spans="1:7" x14ac:dyDescent="0.25">
      <c r="A47" s="403" t="s">
        <v>437</v>
      </c>
      <c r="B47" s="399"/>
      <c r="C47" s="399"/>
      <c r="D47" s="399"/>
      <c r="E47" s="399"/>
      <c r="F47" s="399"/>
    </row>
    <row r="48" spans="1:7" x14ac:dyDescent="0.25">
      <c r="A48" s="403" t="s">
        <v>438</v>
      </c>
      <c r="B48" s="399"/>
      <c r="C48" s="399"/>
      <c r="D48" s="399"/>
      <c r="E48" s="399"/>
      <c r="F48" s="399"/>
    </row>
    <row r="49" spans="1:7" x14ac:dyDescent="0.25">
      <c r="A49" s="399"/>
      <c r="B49" s="399"/>
      <c r="C49" s="399"/>
      <c r="D49" s="399"/>
      <c r="E49" s="399"/>
      <c r="F49" s="399"/>
      <c r="G49" s="399"/>
    </row>
    <row r="50" spans="1:7" x14ac:dyDescent="0.25">
      <c r="A50" s="399" t="s">
        <v>505</v>
      </c>
      <c r="B50" s="399"/>
      <c r="C50" s="399"/>
      <c r="D50" s="399"/>
      <c r="E50" s="399"/>
      <c r="F50" s="399"/>
      <c r="G50" s="399"/>
    </row>
    <row r="51" spans="1:7" x14ac:dyDescent="0.25">
      <c r="A51" s="399" t="s">
        <v>506</v>
      </c>
      <c r="B51" s="399"/>
      <c r="C51" s="399"/>
      <c r="D51" s="399"/>
      <c r="E51" s="399"/>
      <c r="F51" s="399"/>
      <c r="G51" s="399"/>
    </row>
    <row r="52" spans="1:7" x14ac:dyDescent="0.25">
      <c r="A52" s="399" t="s">
        <v>507</v>
      </c>
      <c r="B52" s="399"/>
      <c r="C52" s="399"/>
      <c r="D52" s="399"/>
      <c r="E52" s="399"/>
      <c r="F52" s="399"/>
      <c r="G52" s="399"/>
    </row>
    <row r="53" spans="1:7" x14ac:dyDescent="0.25">
      <c r="A53" s="399" t="s">
        <v>508</v>
      </c>
      <c r="B53" s="399"/>
      <c r="C53" s="399"/>
      <c r="D53" s="399"/>
      <c r="E53" s="399"/>
      <c r="F53" s="399"/>
      <c r="G53" s="399"/>
    </row>
    <row r="54" spans="1:7" x14ac:dyDescent="0.25">
      <c r="A54" s="399" t="s">
        <v>509</v>
      </c>
      <c r="B54" s="399"/>
      <c r="C54" s="399"/>
      <c r="D54" s="399"/>
      <c r="E54" s="399"/>
      <c r="F54" s="399"/>
      <c r="G54" s="399"/>
    </row>
    <row r="55" spans="1:7" x14ac:dyDescent="0.25">
      <c r="A55" s="399"/>
      <c r="B55" s="399"/>
      <c r="C55" s="399"/>
      <c r="D55" s="399"/>
      <c r="E55" s="399"/>
      <c r="F55" s="399"/>
      <c r="G55" s="399"/>
    </row>
    <row r="56" spans="1:7" x14ac:dyDescent="0.25">
      <c r="A56" s="403" t="s">
        <v>447</v>
      </c>
      <c r="B56" s="399"/>
      <c r="C56" s="399"/>
      <c r="D56" s="399"/>
      <c r="E56" s="399"/>
      <c r="F56" s="399"/>
    </row>
    <row r="57" spans="1:7" x14ac:dyDescent="0.25">
      <c r="A57" s="403" t="s">
        <v>448</v>
      </c>
      <c r="B57" s="399"/>
      <c r="C57" s="399"/>
      <c r="D57" s="399"/>
      <c r="E57" s="399"/>
      <c r="F57" s="399"/>
    </row>
    <row r="58" spans="1:7" x14ac:dyDescent="0.25">
      <c r="A58" s="403" t="s">
        <v>449</v>
      </c>
      <c r="B58" s="399"/>
      <c r="C58" s="399"/>
      <c r="D58" s="399"/>
      <c r="E58" s="399"/>
      <c r="F58" s="399"/>
    </row>
    <row r="59" spans="1:7" x14ac:dyDescent="0.25">
      <c r="A59" s="403"/>
      <c r="B59" s="399"/>
      <c r="C59" s="399"/>
      <c r="D59" s="399"/>
      <c r="E59" s="399"/>
      <c r="F59" s="399"/>
    </row>
    <row r="60" spans="1:7" x14ac:dyDescent="0.25">
      <c r="A60" s="399" t="s">
        <v>588</v>
      </c>
      <c r="B60" s="399"/>
      <c r="C60" s="399"/>
      <c r="D60" s="399"/>
      <c r="E60" s="399"/>
      <c r="F60" s="399"/>
      <c r="G60" s="399"/>
    </row>
    <row r="61" spans="1:7" x14ac:dyDescent="0.25">
      <c r="A61" s="399" t="s">
        <v>589</v>
      </c>
      <c r="B61" s="399"/>
      <c r="C61" s="399"/>
      <c r="D61" s="399"/>
      <c r="E61" s="399"/>
      <c r="F61" s="399"/>
      <c r="G61" s="399"/>
    </row>
    <row r="62" spans="1:7" x14ac:dyDescent="0.25">
      <c r="A62" s="399" t="s">
        <v>590</v>
      </c>
      <c r="B62" s="399"/>
      <c r="C62" s="399"/>
      <c r="D62" s="399"/>
      <c r="E62" s="399"/>
      <c r="F62" s="399"/>
      <c r="G62" s="399"/>
    </row>
    <row r="63" spans="1:7" x14ac:dyDescent="0.25">
      <c r="A63" s="399" t="s">
        <v>591</v>
      </c>
      <c r="B63" s="399"/>
      <c r="C63" s="399"/>
      <c r="D63" s="399"/>
      <c r="E63" s="399"/>
      <c r="F63" s="399"/>
      <c r="G63" s="399"/>
    </row>
    <row r="64" spans="1:7" x14ac:dyDescent="0.25">
      <c r="A64" s="399" t="s">
        <v>592</v>
      </c>
      <c r="B64" s="399"/>
      <c r="C64" s="399"/>
      <c r="D64" s="399"/>
      <c r="E64" s="399"/>
      <c r="F64" s="399"/>
      <c r="G64" s="399"/>
    </row>
    <row r="66" spans="1:6" x14ac:dyDescent="0.25">
      <c r="A66" s="403" t="s">
        <v>555</v>
      </c>
      <c r="B66" s="399"/>
      <c r="C66" s="399"/>
      <c r="D66" s="399"/>
      <c r="E66" s="399"/>
      <c r="F66" s="399"/>
    </row>
    <row r="67" spans="1:6" x14ac:dyDescent="0.25">
      <c r="A67" s="403" t="s">
        <v>556</v>
      </c>
      <c r="B67" s="399"/>
      <c r="C67" s="399"/>
      <c r="D67" s="399"/>
      <c r="E67" s="399"/>
      <c r="F67" s="399"/>
    </row>
    <row r="68" spans="1:6" x14ac:dyDescent="0.25">
      <c r="A68" s="403" t="s">
        <v>557</v>
      </c>
      <c r="B68" s="399"/>
      <c r="C68" s="399"/>
      <c r="D68" s="399"/>
      <c r="E68" s="399"/>
      <c r="F68" s="399"/>
    </row>
    <row r="69" spans="1:6" x14ac:dyDescent="0.25">
      <c r="A69" s="403" t="s">
        <v>558</v>
      </c>
      <c r="B69" s="399"/>
      <c r="C69" s="399"/>
      <c r="D69" s="399"/>
      <c r="E69" s="399"/>
      <c r="F69" s="399"/>
    </row>
    <row r="70" spans="1:6" x14ac:dyDescent="0.25">
      <c r="A70" s="403" t="s">
        <v>559</v>
      </c>
      <c r="B70" s="399"/>
      <c r="C70" s="399"/>
      <c r="D70" s="399"/>
      <c r="E70" s="399"/>
      <c r="F70" s="399"/>
    </row>
    <row r="71" spans="1:6" x14ac:dyDescent="0.25">
      <c r="A71" s="399"/>
    </row>
    <row r="72" spans="1:6" x14ac:dyDescent="0.25">
      <c r="A72" s="399" t="s">
        <v>476</v>
      </c>
    </row>
    <row r="73" spans="1:6" x14ac:dyDescent="0.25">
      <c r="A73" s="399"/>
    </row>
    <row r="74" spans="1:6" x14ac:dyDescent="0.25">
      <c r="A74" s="399"/>
    </row>
    <row r="75" spans="1:6" x14ac:dyDescent="0.25">
      <c r="A75" s="399"/>
    </row>
    <row r="78" spans="1:6" x14ac:dyDescent="0.25">
      <c r="A78" s="400"/>
    </row>
    <row r="80" spans="1:6" x14ac:dyDescent="0.25">
      <c r="A80" s="399"/>
    </row>
    <row r="81" spans="1:1" x14ac:dyDescent="0.25">
      <c r="A81" s="399"/>
    </row>
    <row r="82" spans="1:1" x14ac:dyDescent="0.25">
      <c r="A82" s="399"/>
    </row>
    <row r="83" spans="1:1" x14ac:dyDescent="0.25">
      <c r="A83" s="399"/>
    </row>
    <row r="84" spans="1:1" x14ac:dyDescent="0.25">
      <c r="A84" s="399"/>
    </row>
    <row r="85" spans="1:1" x14ac:dyDescent="0.25">
      <c r="A85" s="399"/>
    </row>
    <row r="86" spans="1:1" x14ac:dyDescent="0.25">
      <c r="A86" s="399"/>
    </row>
    <row r="87" spans="1:1" x14ac:dyDescent="0.25">
      <c r="A87" s="399"/>
    </row>
    <row r="88" spans="1:1" x14ac:dyDescent="0.25">
      <c r="A88" s="399"/>
    </row>
    <row r="89" spans="1:1" x14ac:dyDescent="0.25">
      <c r="A89" s="399"/>
    </row>
    <row r="90" spans="1:1" x14ac:dyDescent="0.25">
      <c r="A90" s="399"/>
    </row>
    <row r="92" spans="1:1" x14ac:dyDescent="0.25">
      <c r="A92" s="399"/>
    </row>
    <row r="93" spans="1:1" x14ac:dyDescent="0.25">
      <c r="A93" s="399"/>
    </row>
    <row r="94" spans="1:1" x14ac:dyDescent="0.25">
      <c r="A94" s="399"/>
    </row>
    <row r="95" spans="1:1" x14ac:dyDescent="0.25">
      <c r="A95" s="399"/>
    </row>
    <row r="96" spans="1:1" x14ac:dyDescent="0.25">
      <c r="A96" s="399"/>
    </row>
    <row r="97" spans="1:1" x14ac:dyDescent="0.25">
      <c r="A97" s="399"/>
    </row>
    <row r="98" spans="1:1" x14ac:dyDescent="0.25">
      <c r="A98" s="399"/>
    </row>
    <row r="99" spans="1:1" x14ac:dyDescent="0.25">
      <c r="A99" s="399"/>
    </row>
    <row r="100" spans="1:1" x14ac:dyDescent="0.25">
      <c r="A100" s="399"/>
    </row>
    <row r="101" spans="1:1" x14ac:dyDescent="0.25">
      <c r="A101" s="399"/>
    </row>
    <row r="102" spans="1:1" x14ac:dyDescent="0.25">
      <c r="A102" s="399"/>
    </row>
    <row r="103" spans="1:1" x14ac:dyDescent="0.25">
      <c r="A103" s="399"/>
    </row>
    <row r="104" spans="1:1" x14ac:dyDescent="0.25">
      <c r="A104" s="399"/>
    </row>
    <row r="105" spans="1:1" x14ac:dyDescent="0.25">
      <c r="A105" s="399"/>
    </row>
    <row r="106" spans="1:1" x14ac:dyDescent="0.25">
      <c r="A106" s="399"/>
    </row>
  </sheetData>
  <sheetProtection sheet="1" objects="1" scenarios="1"/>
  <pageMargins left="0.7" right="0.7" top="0.75" bottom="0.75" header="0.3" footer="0.3"/>
  <pageSetup orientation="portrait" r:id="rId1"/>
  <headerFooter>
    <oddFooter>&amp;Lrevised 10/02/09</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8" sqref="A8"/>
    </sheetView>
  </sheetViews>
  <sheetFormatPr defaultRowHeight="15" x14ac:dyDescent="0.25"/>
  <cols>
    <col min="1" max="1" width="71.33203125" customWidth="1"/>
  </cols>
  <sheetData>
    <row r="3" spans="1:7" x14ac:dyDescent="0.25">
      <c r="A3" s="398" t="s">
        <v>593</v>
      </c>
      <c r="B3" s="398"/>
      <c r="C3" s="398"/>
      <c r="D3" s="398"/>
      <c r="E3" s="398"/>
      <c r="F3" s="398"/>
      <c r="G3" s="398"/>
    </row>
    <row r="4" spans="1:7" x14ac:dyDescent="0.25">
      <c r="A4" s="398" t="s">
        <v>594</v>
      </c>
      <c r="B4" s="398"/>
      <c r="C4" s="398"/>
      <c r="D4" s="398"/>
      <c r="E4" s="398"/>
      <c r="F4" s="398"/>
      <c r="G4" s="398"/>
    </row>
    <row r="5" spans="1:7" x14ac:dyDescent="0.25">
      <c r="A5" s="398"/>
      <c r="B5" s="398"/>
      <c r="C5" s="398"/>
      <c r="D5" s="398"/>
      <c r="E5" s="398"/>
      <c r="F5" s="398"/>
      <c r="G5" s="398"/>
    </row>
    <row r="6" spans="1:7" x14ac:dyDescent="0.25">
      <c r="A6" s="398"/>
      <c r="B6" s="398"/>
      <c r="C6" s="398"/>
      <c r="D6" s="398"/>
      <c r="E6" s="398"/>
      <c r="F6" s="398"/>
      <c r="G6" s="398"/>
    </row>
    <row r="7" spans="1:7" x14ac:dyDescent="0.25">
      <c r="A7" s="399" t="s">
        <v>421</v>
      </c>
    </row>
    <row r="8" spans="1:7" x14ac:dyDescent="0.25">
      <c r="A8" s="399" t="str">
        <f>CONCATENATE("estimated ",inputPrYr!C10," 'total expenditures' exceed your ",inputPrYr!C10,"")</f>
        <v>estimated 2013 'total expenditures' exceed your 2013</v>
      </c>
    </row>
    <row r="9" spans="1:7" x14ac:dyDescent="0.25">
      <c r="A9" s="402" t="s">
        <v>595</v>
      </c>
    </row>
    <row r="10" spans="1:7" x14ac:dyDescent="0.25">
      <c r="A10" s="399"/>
    </row>
    <row r="11" spans="1:7" x14ac:dyDescent="0.25">
      <c r="A11" s="399" t="s">
        <v>596</v>
      </c>
    </row>
    <row r="12" spans="1:7" x14ac:dyDescent="0.25">
      <c r="A12" s="399" t="s">
        <v>597</v>
      </c>
    </row>
    <row r="13" spans="1:7" x14ac:dyDescent="0.25">
      <c r="A13" s="399" t="s">
        <v>598</v>
      </c>
    </row>
    <row r="14" spans="1:7" x14ac:dyDescent="0.25">
      <c r="A14" s="399"/>
    </row>
    <row r="15" spans="1:7" x14ac:dyDescent="0.25">
      <c r="A15" s="400" t="s">
        <v>599</v>
      </c>
    </row>
    <row r="16" spans="1:7" x14ac:dyDescent="0.25">
      <c r="A16" s="398"/>
      <c r="B16" s="398"/>
      <c r="C16" s="398"/>
      <c r="D16" s="398"/>
      <c r="E16" s="398"/>
      <c r="F16" s="398"/>
      <c r="G16" s="398"/>
    </row>
    <row r="17" spans="1:8" x14ac:dyDescent="0.25">
      <c r="A17" s="405" t="s">
        <v>600</v>
      </c>
      <c r="B17" s="406"/>
      <c r="C17" s="406"/>
      <c r="D17" s="406"/>
      <c r="E17" s="406"/>
      <c r="F17" s="406"/>
      <c r="G17" s="406"/>
      <c r="H17" s="406"/>
    </row>
    <row r="18" spans="1:8" x14ac:dyDescent="0.25">
      <c r="A18" s="399" t="s">
        <v>601</v>
      </c>
      <c r="B18" s="407"/>
      <c r="C18" s="407"/>
      <c r="D18" s="407"/>
      <c r="E18" s="407"/>
      <c r="F18" s="407"/>
      <c r="G18" s="407"/>
    </row>
    <row r="19" spans="1:8" x14ac:dyDescent="0.25">
      <c r="A19" s="399" t="s">
        <v>602</v>
      </c>
    </row>
    <row r="20" spans="1:8" x14ac:dyDescent="0.25">
      <c r="A20" s="399" t="s">
        <v>603</v>
      </c>
    </row>
    <row r="22" spans="1:8" x14ac:dyDescent="0.25">
      <c r="A22" s="400" t="s">
        <v>604</v>
      </c>
    </row>
    <row r="24" spans="1:8" x14ac:dyDescent="0.25">
      <c r="A24" s="399" t="s">
        <v>605</v>
      </c>
    </row>
    <row r="25" spans="1:8" x14ac:dyDescent="0.25">
      <c r="A25" s="399" t="s">
        <v>606</v>
      </c>
    </row>
    <row r="26" spans="1:8" x14ac:dyDescent="0.25">
      <c r="A26" s="399" t="s">
        <v>607</v>
      </c>
    </row>
    <row r="28" spans="1:8" x14ac:dyDescent="0.25">
      <c r="A28" s="400" t="s">
        <v>608</v>
      </c>
    </row>
    <row r="30" spans="1:8" x14ac:dyDescent="0.25">
      <c r="A30" t="s">
        <v>609</v>
      </c>
    </row>
    <row r="31" spans="1:8" x14ac:dyDescent="0.25">
      <c r="A31" t="s">
        <v>610</v>
      </c>
    </row>
    <row r="32" spans="1:8" x14ac:dyDescent="0.25">
      <c r="A32" t="s">
        <v>611</v>
      </c>
    </row>
    <row r="33" spans="1:1" x14ac:dyDescent="0.25">
      <c r="A33" s="399" t="s">
        <v>612</v>
      </c>
    </row>
    <row r="35" spans="1:1" x14ac:dyDescent="0.25">
      <c r="A35" t="s">
        <v>613</v>
      </c>
    </row>
    <row r="36" spans="1:1" x14ac:dyDescent="0.25">
      <c r="A36" t="s">
        <v>614</v>
      </c>
    </row>
    <row r="37" spans="1:1" x14ac:dyDescent="0.25">
      <c r="A37" t="s">
        <v>615</v>
      </c>
    </row>
    <row r="38" spans="1:1" x14ac:dyDescent="0.25">
      <c r="A38" t="s">
        <v>616</v>
      </c>
    </row>
    <row r="40" spans="1:1" x14ac:dyDescent="0.25">
      <c r="A40" t="s">
        <v>617</v>
      </c>
    </row>
    <row r="41" spans="1:1" x14ac:dyDescent="0.25">
      <c r="A41" t="s">
        <v>618</v>
      </c>
    </row>
    <row r="42" spans="1:1" x14ac:dyDescent="0.25">
      <c r="A42" t="s">
        <v>619</v>
      </c>
    </row>
    <row r="43" spans="1:1" x14ac:dyDescent="0.25">
      <c r="A43" t="s">
        <v>620</v>
      </c>
    </row>
    <row r="44" spans="1:1" x14ac:dyDescent="0.25">
      <c r="A44" t="s">
        <v>621</v>
      </c>
    </row>
    <row r="45" spans="1:1" x14ac:dyDescent="0.25">
      <c r="A45" t="s">
        <v>622</v>
      </c>
    </row>
    <row r="47" spans="1:1" x14ac:dyDescent="0.25">
      <c r="A47" t="s">
        <v>623</v>
      </c>
    </row>
    <row r="48" spans="1:1" x14ac:dyDescent="0.25">
      <c r="A48" t="s">
        <v>624</v>
      </c>
    </row>
    <row r="49" spans="1:1" x14ac:dyDescent="0.25">
      <c r="A49" s="399" t="s">
        <v>625</v>
      </c>
    </row>
    <row r="50" spans="1:1" x14ac:dyDescent="0.25">
      <c r="A50" s="399" t="s">
        <v>626</v>
      </c>
    </row>
    <row r="52" spans="1:1" x14ac:dyDescent="0.25">
      <c r="A52" t="s">
        <v>476</v>
      </c>
    </row>
  </sheetData>
  <sheetProtection sheet="1"/>
  <pageMargins left="0.7" right="0.7" top="0.75" bottom="0.75" header="0.3" footer="0.3"/>
  <pageSetup orientation="portrait" r:id="rId1"/>
  <headerFooter>
    <oddFooter>&amp;Lrevised 10/02/09</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zoomScaleNormal="100" workbookViewId="0">
      <selection sqref="A1:IV65536"/>
    </sheetView>
  </sheetViews>
  <sheetFormatPr defaultColWidth="8.9140625" defaultRowHeight="13.8" x14ac:dyDescent="0.25"/>
  <cols>
    <col min="1" max="1" width="7.58203125" style="496" customWidth="1"/>
    <col min="2" max="2" width="11.25" style="495" customWidth="1"/>
    <col min="3" max="3" width="7.4140625" style="495" customWidth="1"/>
    <col min="4" max="4" width="8.9140625" style="495"/>
    <col min="5" max="5" width="1.58203125" style="495" customWidth="1"/>
    <col min="6" max="6" width="14.33203125" style="495" customWidth="1"/>
    <col min="7" max="7" width="2.58203125" style="495" customWidth="1"/>
    <col min="8" max="8" width="9.75" style="495" customWidth="1"/>
    <col min="9" max="9" width="2" style="495" customWidth="1"/>
    <col min="10" max="10" width="8.58203125" style="495" customWidth="1"/>
    <col min="11" max="11" width="11.6640625" style="495" customWidth="1"/>
    <col min="12" max="12" width="7.58203125" style="496" customWidth="1"/>
    <col min="13" max="14" width="8.9140625" style="496"/>
    <col min="15" max="15" width="9.9140625" style="496" bestFit="1" customWidth="1"/>
    <col min="16" max="16384" width="8.9140625" style="496"/>
  </cols>
  <sheetData>
    <row r="1" spans="1:12" x14ac:dyDescent="0.25">
      <c r="A1" s="497"/>
      <c r="B1" s="497"/>
      <c r="C1" s="497"/>
      <c r="D1" s="497"/>
      <c r="E1" s="497"/>
      <c r="F1" s="497"/>
      <c r="G1" s="497"/>
      <c r="H1" s="497"/>
      <c r="I1" s="497"/>
      <c r="J1" s="497"/>
      <c r="K1" s="497"/>
      <c r="L1" s="497"/>
    </row>
    <row r="2" spans="1:12" x14ac:dyDescent="0.25">
      <c r="A2" s="497"/>
      <c r="B2" s="497"/>
      <c r="C2" s="497"/>
      <c r="D2" s="497"/>
      <c r="E2" s="497"/>
      <c r="F2" s="497"/>
      <c r="G2" s="497"/>
      <c r="H2" s="497"/>
      <c r="I2" s="497"/>
      <c r="J2" s="497"/>
      <c r="K2" s="497"/>
      <c r="L2" s="497"/>
    </row>
    <row r="3" spans="1:12" x14ac:dyDescent="0.25">
      <c r="A3" s="497"/>
      <c r="B3" s="497"/>
      <c r="C3" s="497"/>
      <c r="D3" s="497"/>
      <c r="E3" s="497"/>
      <c r="F3" s="497"/>
      <c r="G3" s="497"/>
      <c r="H3" s="497"/>
      <c r="I3" s="497"/>
      <c r="J3" s="497"/>
      <c r="K3" s="497"/>
      <c r="L3" s="497"/>
    </row>
    <row r="4" spans="1:12" x14ac:dyDescent="0.25">
      <c r="A4" s="497"/>
      <c r="L4" s="497"/>
    </row>
    <row r="5" spans="1:12" ht="15" customHeight="1" x14ac:dyDescent="0.25">
      <c r="A5" s="497"/>
      <c r="L5" s="497"/>
    </row>
    <row r="6" spans="1:12" ht="33" customHeight="1" x14ac:dyDescent="0.25">
      <c r="A6" s="497"/>
      <c r="B6" s="932" t="s">
        <v>700</v>
      </c>
      <c r="C6" s="935"/>
      <c r="D6" s="935"/>
      <c r="E6" s="935"/>
      <c r="F6" s="935"/>
      <c r="G6" s="935"/>
      <c r="H6" s="935"/>
      <c r="I6" s="935"/>
      <c r="J6" s="935"/>
      <c r="K6" s="935"/>
      <c r="L6" s="494"/>
    </row>
    <row r="7" spans="1:12" ht="40.5" customHeight="1" x14ac:dyDescent="0.25">
      <c r="A7" s="497"/>
      <c r="B7" s="948" t="s">
        <v>701</v>
      </c>
      <c r="C7" s="949"/>
      <c r="D7" s="949"/>
      <c r="E7" s="949"/>
      <c r="F7" s="949"/>
      <c r="G7" s="949"/>
      <c r="H7" s="949"/>
      <c r="I7" s="949"/>
      <c r="J7" s="949"/>
      <c r="K7" s="949"/>
      <c r="L7" s="497"/>
    </row>
    <row r="8" spans="1:12" x14ac:dyDescent="0.25">
      <c r="A8" s="497"/>
      <c r="B8" s="943" t="s">
        <v>702</v>
      </c>
      <c r="C8" s="943"/>
      <c r="D8" s="943"/>
      <c r="E8" s="943"/>
      <c r="F8" s="943"/>
      <c r="G8" s="943"/>
      <c r="H8" s="943"/>
      <c r="I8" s="943"/>
      <c r="J8" s="943"/>
      <c r="K8" s="943"/>
      <c r="L8" s="497"/>
    </row>
    <row r="9" spans="1:12" x14ac:dyDescent="0.25">
      <c r="A9" s="497"/>
      <c r="L9" s="497"/>
    </row>
    <row r="10" spans="1:12" x14ac:dyDescent="0.25">
      <c r="A10" s="497"/>
      <c r="B10" s="943" t="s">
        <v>703</v>
      </c>
      <c r="C10" s="943"/>
      <c r="D10" s="943"/>
      <c r="E10" s="943"/>
      <c r="F10" s="943"/>
      <c r="G10" s="943"/>
      <c r="H10" s="943"/>
      <c r="I10" s="943"/>
      <c r="J10" s="943"/>
      <c r="K10" s="943"/>
      <c r="L10" s="497"/>
    </row>
    <row r="11" spans="1:12" x14ac:dyDescent="0.25">
      <c r="A11" s="497"/>
      <c r="B11" s="593"/>
      <c r="C11" s="593"/>
      <c r="D11" s="593"/>
      <c r="E11" s="593"/>
      <c r="F11" s="593"/>
      <c r="G11" s="593"/>
      <c r="H11" s="593"/>
      <c r="I11" s="593"/>
      <c r="J11" s="593"/>
      <c r="K11" s="593"/>
      <c r="L11" s="497"/>
    </row>
    <row r="12" spans="1:12" ht="32.25" customHeight="1" x14ac:dyDescent="0.25">
      <c r="A12" s="497"/>
      <c r="B12" s="938" t="s">
        <v>704</v>
      </c>
      <c r="C12" s="938"/>
      <c r="D12" s="938"/>
      <c r="E12" s="938"/>
      <c r="F12" s="938"/>
      <c r="G12" s="938"/>
      <c r="H12" s="938"/>
      <c r="I12" s="938"/>
      <c r="J12" s="938"/>
      <c r="K12" s="938"/>
      <c r="L12" s="497"/>
    </row>
    <row r="13" spans="1:12" x14ac:dyDescent="0.25">
      <c r="A13" s="497"/>
      <c r="L13" s="497"/>
    </row>
    <row r="14" spans="1:12" x14ac:dyDescent="0.25">
      <c r="A14" s="497"/>
      <c r="B14" s="493" t="s">
        <v>705</v>
      </c>
      <c r="L14" s="497"/>
    </row>
    <row r="15" spans="1:12" x14ac:dyDescent="0.25">
      <c r="A15" s="497"/>
      <c r="L15" s="497"/>
    </row>
    <row r="16" spans="1:12" x14ac:dyDescent="0.25">
      <c r="A16" s="497"/>
      <c r="B16" s="495" t="s">
        <v>706</v>
      </c>
      <c r="L16" s="497"/>
    </row>
    <row r="17" spans="1:12" x14ac:dyDescent="0.25">
      <c r="A17" s="497"/>
      <c r="B17" s="495" t="s">
        <v>707</v>
      </c>
      <c r="L17" s="497"/>
    </row>
    <row r="18" spans="1:12" x14ac:dyDescent="0.25">
      <c r="A18" s="497"/>
      <c r="L18" s="497"/>
    </row>
    <row r="19" spans="1:12" x14ac:dyDescent="0.25">
      <c r="A19" s="497"/>
      <c r="B19" s="493" t="s">
        <v>887</v>
      </c>
      <c r="L19" s="497"/>
    </row>
    <row r="20" spans="1:12" x14ac:dyDescent="0.25">
      <c r="A20" s="497"/>
      <c r="B20" s="493"/>
      <c r="L20" s="497"/>
    </row>
    <row r="21" spans="1:12" x14ac:dyDescent="0.25">
      <c r="A21" s="497"/>
      <c r="B21" s="495" t="s">
        <v>888</v>
      </c>
      <c r="L21" s="497"/>
    </row>
    <row r="22" spans="1:12" x14ac:dyDescent="0.25">
      <c r="A22" s="497"/>
      <c r="L22" s="497"/>
    </row>
    <row r="23" spans="1:12" x14ac:dyDescent="0.25">
      <c r="A23" s="497"/>
      <c r="B23" s="495" t="s">
        <v>708</v>
      </c>
      <c r="E23" s="495" t="s">
        <v>709</v>
      </c>
      <c r="F23" s="930">
        <v>312000000</v>
      </c>
      <c r="G23" s="930"/>
      <c r="L23" s="497"/>
    </row>
    <row r="24" spans="1:12" x14ac:dyDescent="0.25">
      <c r="A24" s="497"/>
      <c r="L24" s="497"/>
    </row>
    <row r="25" spans="1:12" x14ac:dyDescent="0.25">
      <c r="A25" s="497"/>
      <c r="C25" s="940">
        <f>F23</f>
        <v>312000000</v>
      </c>
      <c r="D25" s="940"/>
      <c r="E25" s="495" t="s">
        <v>710</v>
      </c>
      <c r="F25" s="492">
        <v>1000</v>
      </c>
      <c r="G25" s="492" t="s">
        <v>709</v>
      </c>
      <c r="H25" s="594">
        <f>F23/F25</f>
        <v>312000</v>
      </c>
      <c r="L25" s="497"/>
    </row>
    <row r="26" spans="1:12" ht="14.4" thickBot="1" x14ac:dyDescent="0.3">
      <c r="A26" s="497"/>
      <c r="L26" s="497"/>
    </row>
    <row r="27" spans="1:12" x14ac:dyDescent="0.25">
      <c r="A27" s="497"/>
      <c r="B27" s="491" t="s">
        <v>705</v>
      </c>
      <c r="C27" s="490"/>
      <c r="D27" s="490"/>
      <c r="E27" s="490"/>
      <c r="F27" s="490"/>
      <c r="G27" s="490"/>
      <c r="H27" s="490"/>
      <c r="I27" s="490"/>
      <c r="J27" s="490"/>
      <c r="K27" s="489"/>
      <c r="L27" s="497"/>
    </row>
    <row r="28" spans="1:12" x14ac:dyDescent="0.25">
      <c r="A28" s="497"/>
      <c r="B28" s="488">
        <f>F23</f>
        <v>312000000</v>
      </c>
      <c r="C28" s="487" t="s">
        <v>711</v>
      </c>
      <c r="D28" s="487"/>
      <c r="E28" s="487" t="s">
        <v>710</v>
      </c>
      <c r="F28" s="596">
        <v>1000</v>
      </c>
      <c r="G28" s="596" t="s">
        <v>709</v>
      </c>
      <c r="H28" s="486">
        <f>B28/F28</f>
        <v>312000</v>
      </c>
      <c r="I28" s="487" t="s">
        <v>712</v>
      </c>
      <c r="J28" s="487"/>
      <c r="K28" s="485"/>
      <c r="L28" s="497"/>
    </row>
    <row r="29" spans="1:12" ht="14.4" thickBot="1" x14ac:dyDescent="0.3">
      <c r="A29" s="497"/>
      <c r="B29" s="436"/>
      <c r="C29" s="482"/>
      <c r="D29" s="482"/>
      <c r="E29" s="482"/>
      <c r="F29" s="482"/>
      <c r="G29" s="482"/>
      <c r="H29" s="482"/>
      <c r="I29" s="482"/>
      <c r="J29" s="482"/>
      <c r="K29" s="481"/>
      <c r="L29" s="497"/>
    </row>
    <row r="30" spans="1:12" ht="40.5" customHeight="1" x14ac:dyDescent="0.25">
      <c r="A30" s="497"/>
      <c r="B30" s="931" t="s">
        <v>701</v>
      </c>
      <c r="C30" s="931"/>
      <c r="D30" s="931"/>
      <c r="E30" s="931"/>
      <c r="F30" s="931"/>
      <c r="G30" s="931"/>
      <c r="H30" s="931"/>
      <c r="I30" s="931"/>
      <c r="J30" s="931"/>
      <c r="K30" s="931"/>
      <c r="L30" s="497"/>
    </row>
    <row r="31" spans="1:12" x14ac:dyDescent="0.25">
      <c r="A31" s="497"/>
      <c r="B31" s="943" t="s">
        <v>713</v>
      </c>
      <c r="C31" s="943"/>
      <c r="D31" s="943"/>
      <c r="E31" s="943"/>
      <c r="F31" s="943"/>
      <c r="G31" s="943"/>
      <c r="H31" s="943"/>
      <c r="I31" s="943"/>
      <c r="J31" s="943"/>
      <c r="K31" s="943"/>
      <c r="L31" s="497"/>
    </row>
    <row r="32" spans="1:12" x14ac:dyDescent="0.25">
      <c r="A32" s="497"/>
      <c r="L32" s="497"/>
    </row>
    <row r="33" spans="1:12" x14ac:dyDescent="0.25">
      <c r="A33" s="497"/>
      <c r="B33" s="943" t="s">
        <v>714</v>
      </c>
      <c r="C33" s="943"/>
      <c r="D33" s="943"/>
      <c r="E33" s="943"/>
      <c r="F33" s="943"/>
      <c r="G33" s="943"/>
      <c r="H33" s="943"/>
      <c r="I33" s="943"/>
      <c r="J33" s="943"/>
      <c r="K33" s="943"/>
      <c r="L33" s="497"/>
    </row>
    <row r="34" spans="1:12" x14ac:dyDescent="0.25">
      <c r="A34" s="497"/>
      <c r="L34" s="497"/>
    </row>
    <row r="35" spans="1:12" ht="89.25" customHeight="1" x14ac:dyDescent="0.25">
      <c r="A35" s="497"/>
      <c r="B35" s="938" t="s">
        <v>715</v>
      </c>
      <c r="C35" s="929"/>
      <c r="D35" s="929"/>
      <c r="E35" s="929"/>
      <c r="F35" s="929"/>
      <c r="G35" s="929"/>
      <c r="H35" s="929"/>
      <c r="I35" s="929"/>
      <c r="J35" s="929"/>
      <c r="K35" s="929"/>
      <c r="L35" s="497"/>
    </row>
    <row r="36" spans="1:12" x14ac:dyDescent="0.25">
      <c r="A36" s="497"/>
      <c r="L36" s="497"/>
    </row>
    <row r="37" spans="1:12" x14ac:dyDescent="0.25">
      <c r="A37" s="497"/>
      <c r="B37" s="493" t="s">
        <v>716</v>
      </c>
      <c r="L37" s="497"/>
    </row>
    <row r="38" spans="1:12" x14ac:dyDescent="0.25">
      <c r="A38" s="497"/>
      <c r="L38" s="497"/>
    </row>
    <row r="39" spans="1:12" x14ac:dyDescent="0.25">
      <c r="A39" s="497"/>
      <c r="B39" s="495" t="s">
        <v>717</v>
      </c>
      <c r="L39" s="497"/>
    </row>
    <row r="40" spans="1:12" x14ac:dyDescent="0.25">
      <c r="A40" s="497"/>
      <c r="L40" s="497"/>
    </row>
    <row r="41" spans="1:12" x14ac:dyDescent="0.25">
      <c r="A41" s="497"/>
      <c r="C41" s="944">
        <v>312000000</v>
      </c>
      <c r="D41" s="944"/>
      <c r="E41" s="495" t="s">
        <v>710</v>
      </c>
      <c r="F41" s="492">
        <v>1000</v>
      </c>
      <c r="G41" s="492" t="s">
        <v>709</v>
      </c>
      <c r="H41" s="437">
        <f>C41/F41</f>
        <v>312000</v>
      </c>
      <c r="L41" s="497"/>
    </row>
    <row r="42" spans="1:12" x14ac:dyDescent="0.25">
      <c r="A42" s="497"/>
      <c r="L42" s="497"/>
    </row>
    <row r="43" spans="1:12" x14ac:dyDescent="0.25">
      <c r="A43" s="497"/>
      <c r="B43" s="495" t="s">
        <v>718</v>
      </c>
      <c r="L43" s="497"/>
    </row>
    <row r="44" spans="1:12" x14ac:dyDescent="0.25">
      <c r="A44" s="497"/>
      <c r="L44" s="497"/>
    </row>
    <row r="45" spans="1:12" x14ac:dyDescent="0.25">
      <c r="A45" s="497"/>
      <c r="B45" s="495" t="s">
        <v>719</v>
      </c>
      <c r="L45" s="497"/>
    </row>
    <row r="46" spans="1:12" ht="14.4" thickBot="1" x14ac:dyDescent="0.3">
      <c r="A46" s="497"/>
      <c r="L46" s="497"/>
    </row>
    <row r="47" spans="1:12" x14ac:dyDescent="0.25">
      <c r="A47" s="497"/>
      <c r="B47" s="438" t="s">
        <v>705</v>
      </c>
      <c r="C47" s="490"/>
      <c r="D47" s="490"/>
      <c r="E47" s="490"/>
      <c r="F47" s="490"/>
      <c r="G47" s="490"/>
      <c r="H47" s="490"/>
      <c r="I47" s="490"/>
      <c r="J47" s="490"/>
      <c r="K47" s="489"/>
      <c r="L47" s="497"/>
    </row>
    <row r="48" spans="1:12" x14ac:dyDescent="0.25">
      <c r="A48" s="497"/>
      <c r="B48" s="945">
        <v>312000000</v>
      </c>
      <c r="C48" s="930"/>
      <c r="D48" s="487" t="s">
        <v>720</v>
      </c>
      <c r="E48" s="487" t="s">
        <v>710</v>
      </c>
      <c r="F48" s="596">
        <v>1000</v>
      </c>
      <c r="G48" s="596" t="s">
        <v>709</v>
      </c>
      <c r="H48" s="486">
        <f>B48/F48</f>
        <v>312000</v>
      </c>
      <c r="I48" s="487" t="s">
        <v>721</v>
      </c>
      <c r="J48" s="487"/>
      <c r="K48" s="485"/>
      <c r="L48" s="497"/>
    </row>
    <row r="49" spans="1:24" x14ac:dyDescent="0.25">
      <c r="A49" s="497"/>
      <c r="B49" s="439"/>
      <c r="C49" s="487"/>
      <c r="D49" s="487"/>
      <c r="E49" s="487"/>
      <c r="F49" s="487"/>
      <c r="G49" s="487"/>
      <c r="H49" s="487"/>
      <c r="I49" s="487"/>
      <c r="J49" s="487"/>
      <c r="K49" s="485"/>
      <c r="L49" s="497"/>
    </row>
    <row r="50" spans="1:24" x14ac:dyDescent="0.25">
      <c r="A50" s="497"/>
      <c r="B50" s="440">
        <v>50000</v>
      </c>
      <c r="C50" s="487" t="s">
        <v>722</v>
      </c>
      <c r="D50" s="487"/>
      <c r="E50" s="487" t="s">
        <v>710</v>
      </c>
      <c r="F50" s="486">
        <f>H48</f>
        <v>312000</v>
      </c>
      <c r="G50" s="946" t="s">
        <v>723</v>
      </c>
      <c r="H50" s="947"/>
      <c r="I50" s="596" t="s">
        <v>709</v>
      </c>
      <c r="J50" s="441">
        <f>B50/F50</f>
        <v>0.16025641025641027</v>
      </c>
      <c r="K50" s="485"/>
      <c r="L50" s="497"/>
    </row>
    <row r="51" spans="1:24" ht="14.4" thickBot="1" x14ac:dyDescent="0.3">
      <c r="A51" s="497"/>
      <c r="B51" s="436"/>
      <c r="C51" s="482"/>
      <c r="D51" s="482"/>
      <c r="E51" s="482"/>
      <c r="F51" s="482"/>
      <c r="G51" s="482"/>
      <c r="H51" s="482"/>
      <c r="I51" s="941" t="s">
        <v>724</v>
      </c>
      <c r="J51" s="941"/>
      <c r="K51" s="942"/>
      <c r="L51" s="497"/>
      <c r="O51" s="574"/>
    </row>
    <row r="52" spans="1:24" ht="40.5" customHeight="1" x14ac:dyDescent="0.25">
      <c r="A52" s="497"/>
      <c r="B52" s="931" t="s">
        <v>701</v>
      </c>
      <c r="C52" s="931"/>
      <c r="D52" s="931"/>
      <c r="E52" s="931"/>
      <c r="F52" s="931"/>
      <c r="G52" s="931"/>
      <c r="H52" s="931"/>
      <c r="I52" s="931"/>
      <c r="J52" s="931"/>
      <c r="K52" s="931"/>
      <c r="L52" s="497"/>
    </row>
    <row r="53" spans="1:24" x14ac:dyDescent="0.25">
      <c r="A53" s="497"/>
      <c r="B53" s="943" t="s">
        <v>725</v>
      </c>
      <c r="C53" s="943"/>
      <c r="D53" s="943"/>
      <c r="E53" s="943"/>
      <c r="F53" s="943"/>
      <c r="G53" s="943"/>
      <c r="H53" s="943"/>
      <c r="I53" s="943"/>
      <c r="J53" s="943"/>
      <c r="K53" s="943"/>
      <c r="L53" s="497"/>
    </row>
    <row r="54" spans="1:24" x14ac:dyDescent="0.25">
      <c r="A54" s="497"/>
      <c r="B54" s="593"/>
      <c r="C54" s="593"/>
      <c r="D54" s="593"/>
      <c r="E54" s="593"/>
      <c r="F54" s="593"/>
      <c r="G54" s="593"/>
      <c r="H54" s="593"/>
      <c r="I54" s="593"/>
      <c r="J54" s="593"/>
      <c r="K54" s="593"/>
      <c r="L54" s="497"/>
    </row>
    <row r="55" spans="1:24" x14ac:dyDescent="0.25">
      <c r="A55" s="497"/>
      <c r="B55" s="932" t="s">
        <v>726</v>
      </c>
      <c r="C55" s="932"/>
      <c r="D55" s="932"/>
      <c r="E55" s="932"/>
      <c r="F55" s="932"/>
      <c r="G55" s="932"/>
      <c r="H55" s="932"/>
      <c r="I55" s="932"/>
      <c r="J55" s="932"/>
      <c r="K55" s="932"/>
      <c r="L55" s="497"/>
    </row>
    <row r="56" spans="1:24" ht="15" customHeight="1" x14ac:dyDescent="0.25">
      <c r="A56" s="497"/>
      <c r="L56" s="497"/>
    </row>
    <row r="57" spans="1:24" ht="74.25" customHeight="1" x14ac:dyDescent="0.25">
      <c r="A57" s="497"/>
      <c r="B57" s="938" t="s">
        <v>727</v>
      </c>
      <c r="C57" s="929"/>
      <c r="D57" s="929"/>
      <c r="E57" s="929"/>
      <c r="F57" s="929"/>
      <c r="G57" s="929"/>
      <c r="H57" s="929"/>
      <c r="I57" s="929"/>
      <c r="J57" s="929"/>
      <c r="K57" s="929"/>
      <c r="L57" s="497"/>
      <c r="M57" s="442"/>
      <c r="N57" s="443"/>
      <c r="O57" s="443"/>
      <c r="P57" s="443"/>
      <c r="Q57" s="443"/>
      <c r="R57" s="443"/>
      <c r="S57" s="443"/>
      <c r="T57" s="443"/>
      <c r="U57" s="443"/>
      <c r="V57" s="443"/>
      <c r="W57" s="443"/>
      <c r="X57" s="443"/>
    </row>
    <row r="58" spans="1:24" ht="15" customHeight="1" x14ac:dyDescent="0.25">
      <c r="A58" s="497"/>
      <c r="B58" s="938"/>
      <c r="C58" s="929"/>
      <c r="D58" s="929"/>
      <c r="E58" s="929"/>
      <c r="F58" s="929"/>
      <c r="G58" s="929"/>
      <c r="H58" s="929"/>
      <c r="I58" s="929"/>
      <c r="J58" s="929"/>
      <c r="K58" s="929"/>
      <c r="L58" s="497"/>
      <c r="M58" s="442"/>
      <c r="N58" s="443"/>
      <c r="O58" s="443"/>
      <c r="P58" s="443"/>
      <c r="Q58" s="443"/>
      <c r="R58" s="443"/>
      <c r="S58" s="443"/>
      <c r="T58" s="443"/>
      <c r="U58" s="443"/>
      <c r="V58" s="443"/>
      <c r="W58" s="443"/>
      <c r="X58" s="443"/>
    </row>
    <row r="59" spans="1:24" x14ac:dyDescent="0.25">
      <c r="A59" s="497"/>
      <c r="B59" s="493" t="s">
        <v>716</v>
      </c>
      <c r="L59" s="497"/>
      <c r="M59" s="443"/>
      <c r="N59" s="443"/>
      <c r="O59" s="443"/>
      <c r="P59" s="443"/>
      <c r="Q59" s="443"/>
      <c r="R59" s="443"/>
      <c r="S59" s="443"/>
      <c r="T59" s="443"/>
      <c r="U59" s="443"/>
      <c r="V59" s="443"/>
      <c r="W59" s="443"/>
      <c r="X59" s="443"/>
    </row>
    <row r="60" spans="1:24" x14ac:dyDescent="0.25">
      <c r="A60" s="497"/>
      <c r="L60" s="497"/>
      <c r="M60" s="443"/>
      <c r="N60" s="443"/>
      <c r="O60" s="443"/>
      <c r="P60" s="443"/>
      <c r="Q60" s="443"/>
      <c r="R60" s="443"/>
      <c r="S60" s="443"/>
      <c r="T60" s="443"/>
      <c r="U60" s="443"/>
      <c r="V60" s="443"/>
      <c r="W60" s="443"/>
      <c r="X60" s="443"/>
    </row>
    <row r="61" spans="1:24" x14ac:dyDescent="0.25">
      <c r="A61" s="497"/>
      <c r="B61" s="495" t="s">
        <v>728</v>
      </c>
      <c r="L61" s="497"/>
      <c r="M61" s="443"/>
      <c r="N61" s="443"/>
      <c r="O61" s="443"/>
      <c r="P61" s="443"/>
      <c r="Q61" s="443"/>
      <c r="R61" s="443"/>
      <c r="S61" s="443"/>
      <c r="T61" s="443"/>
      <c r="U61" s="443"/>
      <c r="V61" s="443"/>
      <c r="W61" s="443"/>
      <c r="X61" s="443"/>
    </row>
    <row r="62" spans="1:24" x14ac:dyDescent="0.25">
      <c r="A62" s="497"/>
      <c r="B62" s="495" t="s">
        <v>889</v>
      </c>
      <c r="L62" s="497"/>
      <c r="M62" s="443"/>
      <c r="N62" s="443"/>
      <c r="O62" s="443"/>
      <c r="P62" s="443"/>
      <c r="Q62" s="443"/>
      <c r="R62" s="443"/>
      <c r="S62" s="443"/>
      <c r="T62" s="443"/>
      <c r="U62" s="443"/>
      <c r="V62" s="443"/>
      <c r="W62" s="443"/>
      <c r="X62" s="443"/>
    </row>
    <row r="63" spans="1:24" x14ac:dyDescent="0.25">
      <c r="A63" s="497"/>
      <c r="B63" s="495" t="s">
        <v>890</v>
      </c>
      <c r="L63" s="497"/>
      <c r="M63" s="443"/>
      <c r="N63" s="443"/>
      <c r="O63" s="443"/>
      <c r="P63" s="443"/>
      <c r="Q63" s="443"/>
      <c r="R63" s="443"/>
      <c r="S63" s="443"/>
      <c r="T63" s="443"/>
      <c r="U63" s="443"/>
      <c r="V63" s="443"/>
      <c r="W63" s="443"/>
      <c r="X63" s="443"/>
    </row>
    <row r="64" spans="1:24" x14ac:dyDescent="0.25">
      <c r="A64" s="497"/>
      <c r="L64" s="497"/>
      <c r="M64" s="443"/>
      <c r="N64" s="443"/>
      <c r="O64" s="443"/>
      <c r="P64" s="443"/>
      <c r="Q64" s="443"/>
      <c r="R64" s="443"/>
      <c r="S64" s="443"/>
      <c r="T64" s="443"/>
      <c r="U64" s="443"/>
      <c r="V64" s="443"/>
      <c r="W64" s="443"/>
      <c r="X64" s="443"/>
    </row>
    <row r="65" spans="1:24" x14ac:dyDescent="0.25">
      <c r="A65" s="497"/>
      <c r="B65" s="495" t="s">
        <v>729</v>
      </c>
      <c r="L65" s="497"/>
      <c r="M65" s="443"/>
      <c r="N65" s="443"/>
      <c r="O65" s="443"/>
      <c r="P65" s="443"/>
      <c r="Q65" s="443"/>
      <c r="R65" s="443"/>
      <c r="S65" s="443"/>
      <c r="T65" s="443"/>
      <c r="U65" s="443"/>
      <c r="V65" s="443"/>
      <c r="W65" s="443"/>
      <c r="X65" s="443"/>
    </row>
    <row r="66" spans="1:24" x14ac:dyDescent="0.25">
      <c r="A66" s="497"/>
      <c r="B66" s="495" t="s">
        <v>730</v>
      </c>
      <c r="L66" s="497"/>
      <c r="M66" s="443"/>
      <c r="N66" s="443"/>
      <c r="O66" s="443"/>
      <c r="P66" s="443"/>
      <c r="Q66" s="443"/>
      <c r="R66" s="443"/>
      <c r="S66" s="443"/>
      <c r="T66" s="443"/>
      <c r="U66" s="443"/>
      <c r="V66" s="443"/>
      <c r="W66" s="443"/>
      <c r="X66" s="443"/>
    </row>
    <row r="67" spans="1:24" x14ac:dyDescent="0.25">
      <c r="A67" s="497"/>
      <c r="L67" s="497"/>
      <c r="M67" s="443"/>
      <c r="N67" s="443"/>
      <c r="O67" s="443"/>
      <c r="P67" s="443"/>
      <c r="Q67" s="443"/>
      <c r="R67" s="443"/>
      <c r="S67" s="443"/>
      <c r="T67" s="443"/>
      <c r="U67" s="443"/>
      <c r="V67" s="443"/>
      <c r="W67" s="443"/>
      <c r="X67" s="443"/>
    </row>
    <row r="68" spans="1:24" x14ac:dyDescent="0.25">
      <c r="A68" s="497"/>
      <c r="B68" s="495" t="s">
        <v>731</v>
      </c>
      <c r="L68" s="497"/>
      <c r="M68" s="444"/>
      <c r="N68" s="445"/>
      <c r="O68" s="445"/>
      <c r="P68" s="445"/>
      <c r="Q68" s="445"/>
      <c r="R68" s="445"/>
      <c r="S68" s="445"/>
      <c r="T68" s="445"/>
      <c r="U68" s="445"/>
      <c r="V68" s="445"/>
      <c r="W68" s="445"/>
      <c r="X68" s="443"/>
    </row>
    <row r="69" spans="1:24" x14ac:dyDescent="0.25">
      <c r="A69" s="497"/>
      <c r="B69" s="495" t="s">
        <v>891</v>
      </c>
      <c r="L69" s="497"/>
      <c r="M69" s="443"/>
      <c r="N69" s="443"/>
      <c r="O69" s="443"/>
      <c r="P69" s="443"/>
      <c r="Q69" s="443"/>
      <c r="R69" s="443"/>
      <c r="S69" s="443"/>
      <c r="T69" s="443"/>
      <c r="U69" s="443"/>
      <c r="V69" s="443"/>
      <c r="W69" s="443"/>
      <c r="X69" s="443"/>
    </row>
    <row r="70" spans="1:24" x14ac:dyDescent="0.25">
      <c r="A70" s="497"/>
      <c r="B70" s="495" t="s">
        <v>892</v>
      </c>
      <c r="L70" s="497"/>
      <c r="M70" s="443"/>
      <c r="N70" s="443"/>
      <c r="O70" s="443"/>
      <c r="P70" s="443"/>
      <c r="Q70" s="443"/>
      <c r="R70" s="443"/>
      <c r="S70" s="443"/>
      <c r="T70" s="443"/>
      <c r="U70" s="443"/>
      <c r="V70" s="443"/>
      <c r="W70" s="443"/>
      <c r="X70" s="443"/>
    </row>
    <row r="71" spans="1:24" ht="14.4" thickBot="1" x14ac:dyDescent="0.3">
      <c r="A71" s="497"/>
      <c r="B71" s="487"/>
      <c r="C71" s="487"/>
      <c r="D71" s="487"/>
      <c r="E71" s="487"/>
      <c r="F71" s="487"/>
      <c r="G71" s="487"/>
      <c r="H71" s="487"/>
      <c r="I71" s="487"/>
      <c r="J71" s="487"/>
      <c r="K71" s="487"/>
      <c r="L71" s="497"/>
    </row>
    <row r="72" spans="1:24" x14ac:dyDescent="0.25">
      <c r="A72" s="497"/>
      <c r="B72" s="491" t="s">
        <v>705</v>
      </c>
      <c r="C72" s="490"/>
      <c r="D72" s="490"/>
      <c r="E72" s="490"/>
      <c r="F72" s="490"/>
      <c r="G72" s="490"/>
      <c r="H72" s="490"/>
      <c r="I72" s="490"/>
      <c r="J72" s="490"/>
      <c r="K72" s="489"/>
      <c r="L72" s="446"/>
    </row>
    <row r="73" spans="1:24" x14ac:dyDescent="0.25">
      <c r="A73" s="497"/>
      <c r="B73" s="439"/>
      <c r="C73" s="487" t="s">
        <v>711</v>
      </c>
      <c r="D73" s="487"/>
      <c r="E73" s="487"/>
      <c r="F73" s="487"/>
      <c r="G73" s="487"/>
      <c r="H73" s="487"/>
      <c r="I73" s="487"/>
      <c r="J73" s="487"/>
      <c r="K73" s="485"/>
      <c r="L73" s="446"/>
    </row>
    <row r="74" spans="1:24" x14ac:dyDescent="0.25">
      <c r="A74" s="497"/>
      <c r="B74" s="439" t="s">
        <v>732</v>
      </c>
      <c r="C74" s="930">
        <v>312000000</v>
      </c>
      <c r="D74" s="930"/>
      <c r="E74" s="596" t="s">
        <v>710</v>
      </c>
      <c r="F74" s="596">
        <v>1000</v>
      </c>
      <c r="G74" s="596" t="s">
        <v>709</v>
      </c>
      <c r="H74" s="588">
        <f>C74/F74</f>
        <v>312000</v>
      </c>
      <c r="I74" s="487" t="s">
        <v>733</v>
      </c>
      <c r="J74" s="487"/>
      <c r="K74" s="485"/>
      <c r="L74" s="446"/>
    </row>
    <row r="75" spans="1:24" x14ac:dyDescent="0.25">
      <c r="A75" s="497"/>
      <c r="B75" s="439"/>
      <c r="C75" s="487"/>
      <c r="D75" s="487"/>
      <c r="E75" s="596"/>
      <c r="F75" s="487"/>
      <c r="G75" s="487"/>
      <c r="H75" s="487"/>
      <c r="I75" s="487"/>
      <c r="J75" s="487"/>
      <c r="K75" s="485"/>
      <c r="L75" s="446"/>
    </row>
    <row r="76" spans="1:24" x14ac:dyDescent="0.25">
      <c r="A76" s="497"/>
      <c r="B76" s="439"/>
      <c r="C76" s="487" t="s">
        <v>734</v>
      </c>
      <c r="D76" s="487"/>
      <c r="E76" s="596"/>
      <c r="F76" s="487" t="s">
        <v>733</v>
      </c>
      <c r="G76" s="487"/>
      <c r="H76" s="487"/>
      <c r="I76" s="487"/>
      <c r="J76" s="487"/>
      <c r="K76" s="485"/>
      <c r="L76" s="446"/>
    </row>
    <row r="77" spans="1:24" x14ac:dyDescent="0.25">
      <c r="A77" s="497"/>
      <c r="B77" s="439" t="s">
        <v>737</v>
      </c>
      <c r="C77" s="930">
        <v>50000</v>
      </c>
      <c r="D77" s="930"/>
      <c r="E77" s="596" t="s">
        <v>710</v>
      </c>
      <c r="F77" s="588">
        <f>H74</f>
        <v>312000</v>
      </c>
      <c r="G77" s="596" t="s">
        <v>709</v>
      </c>
      <c r="H77" s="441">
        <f>C77/F77</f>
        <v>0.16025641025641027</v>
      </c>
      <c r="I77" s="487" t="s">
        <v>735</v>
      </c>
      <c r="J77" s="487"/>
      <c r="K77" s="485"/>
      <c r="L77" s="446"/>
    </row>
    <row r="78" spans="1:24" x14ac:dyDescent="0.25">
      <c r="A78" s="497"/>
      <c r="B78" s="439"/>
      <c r="C78" s="487"/>
      <c r="D78" s="487"/>
      <c r="E78" s="596"/>
      <c r="F78" s="487"/>
      <c r="G78" s="487"/>
      <c r="H78" s="487"/>
      <c r="I78" s="487"/>
      <c r="J78" s="487"/>
      <c r="K78" s="485"/>
      <c r="L78" s="446"/>
    </row>
    <row r="79" spans="1:24" x14ac:dyDescent="0.25">
      <c r="A79" s="497"/>
      <c r="B79" s="447"/>
      <c r="C79" s="448" t="s">
        <v>736</v>
      </c>
      <c r="D79" s="448"/>
      <c r="E79" s="589"/>
      <c r="F79" s="448"/>
      <c r="G79" s="448"/>
      <c r="H79" s="448"/>
      <c r="I79" s="448"/>
      <c r="J79" s="448"/>
      <c r="K79" s="449"/>
      <c r="L79" s="446"/>
    </row>
    <row r="80" spans="1:24" x14ac:dyDescent="0.25">
      <c r="A80" s="497"/>
      <c r="B80" s="439" t="s">
        <v>797</v>
      </c>
      <c r="C80" s="930">
        <v>100000</v>
      </c>
      <c r="D80" s="930"/>
      <c r="E80" s="596" t="s">
        <v>273</v>
      </c>
      <c r="F80" s="596">
        <v>0.115</v>
      </c>
      <c r="G80" s="596" t="s">
        <v>709</v>
      </c>
      <c r="H80" s="588">
        <f>C80*F80</f>
        <v>11500</v>
      </c>
      <c r="I80" s="487" t="s">
        <v>738</v>
      </c>
      <c r="J80" s="487"/>
      <c r="K80" s="485"/>
      <c r="L80" s="446"/>
    </row>
    <row r="81" spans="1:12" x14ac:dyDescent="0.25">
      <c r="A81" s="497"/>
      <c r="B81" s="439"/>
      <c r="C81" s="487"/>
      <c r="D81" s="487"/>
      <c r="E81" s="596"/>
      <c r="F81" s="487"/>
      <c r="G81" s="487"/>
      <c r="H81" s="487"/>
      <c r="I81" s="487"/>
      <c r="J81" s="487"/>
      <c r="K81" s="485"/>
      <c r="L81" s="446"/>
    </row>
    <row r="82" spans="1:12" x14ac:dyDescent="0.25">
      <c r="A82" s="497"/>
      <c r="B82" s="447"/>
      <c r="C82" s="448" t="s">
        <v>739</v>
      </c>
      <c r="D82" s="448"/>
      <c r="E82" s="589"/>
      <c r="F82" s="448" t="s">
        <v>735</v>
      </c>
      <c r="G82" s="448"/>
      <c r="H82" s="448"/>
      <c r="I82" s="448"/>
      <c r="J82" s="448" t="s">
        <v>740</v>
      </c>
      <c r="K82" s="449"/>
      <c r="L82" s="446"/>
    </row>
    <row r="83" spans="1:12" x14ac:dyDescent="0.25">
      <c r="A83" s="497"/>
      <c r="B83" s="439" t="s">
        <v>798</v>
      </c>
      <c r="C83" s="937">
        <f>H80</f>
        <v>11500</v>
      </c>
      <c r="D83" s="937"/>
      <c r="E83" s="596" t="s">
        <v>273</v>
      </c>
      <c r="F83" s="441">
        <f>H77</f>
        <v>0.16025641025641027</v>
      </c>
      <c r="G83" s="596" t="s">
        <v>710</v>
      </c>
      <c r="H83" s="596">
        <v>1000</v>
      </c>
      <c r="I83" s="596" t="s">
        <v>709</v>
      </c>
      <c r="J83" s="590">
        <f>C83*F83/H83</f>
        <v>1.8429487179487181</v>
      </c>
      <c r="K83" s="485"/>
      <c r="L83" s="446"/>
    </row>
    <row r="84" spans="1:12" ht="14.4" thickBot="1" x14ac:dyDescent="0.3">
      <c r="A84" s="497"/>
      <c r="B84" s="436"/>
      <c r="C84" s="450"/>
      <c r="D84" s="450"/>
      <c r="E84" s="451"/>
      <c r="F84" s="452"/>
      <c r="G84" s="451"/>
      <c r="H84" s="451"/>
      <c r="I84" s="451"/>
      <c r="J84" s="453"/>
      <c r="K84" s="481"/>
      <c r="L84" s="446"/>
    </row>
    <row r="85" spans="1:12" ht="40.5" customHeight="1" x14ac:dyDescent="0.25">
      <c r="A85" s="497"/>
      <c r="B85" s="931" t="s">
        <v>701</v>
      </c>
      <c r="C85" s="931"/>
      <c r="D85" s="931"/>
      <c r="E85" s="931"/>
      <c r="F85" s="931"/>
      <c r="G85" s="931"/>
      <c r="H85" s="931"/>
      <c r="I85" s="931"/>
      <c r="J85" s="931"/>
      <c r="K85" s="931"/>
      <c r="L85" s="497"/>
    </row>
    <row r="86" spans="1:12" x14ac:dyDescent="0.25">
      <c r="A86" s="497"/>
      <c r="B86" s="932" t="s">
        <v>741</v>
      </c>
      <c r="C86" s="932"/>
      <c r="D86" s="932"/>
      <c r="E86" s="932"/>
      <c r="F86" s="932"/>
      <c r="G86" s="932"/>
      <c r="H86" s="932"/>
      <c r="I86" s="932"/>
      <c r="J86" s="932"/>
      <c r="K86" s="932"/>
      <c r="L86" s="497"/>
    </row>
    <row r="87" spans="1:12" x14ac:dyDescent="0.25">
      <c r="A87" s="497"/>
      <c r="B87" s="454"/>
      <c r="C87" s="454"/>
      <c r="D87" s="454"/>
      <c r="E87" s="454"/>
      <c r="F87" s="454"/>
      <c r="G87" s="454"/>
      <c r="H87" s="454"/>
      <c r="I87" s="454"/>
      <c r="J87" s="454"/>
      <c r="K87" s="454"/>
      <c r="L87" s="497"/>
    </row>
    <row r="88" spans="1:12" x14ac:dyDescent="0.25">
      <c r="A88" s="497"/>
      <c r="B88" s="932" t="s">
        <v>742</v>
      </c>
      <c r="C88" s="932"/>
      <c r="D88" s="932"/>
      <c r="E88" s="932"/>
      <c r="F88" s="932"/>
      <c r="G88" s="932"/>
      <c r="H88" s="932"/>
      <c r="I88" s="932"/>
      <c r="J88" s="932"/>
      <c r="K88" s="932"/>
      <c r="L88" s="497"/>
    </row>
    <row r="89" spans="1:12" x14ac:dyDescent="0.25">
      <c r="A89" s="497"/>
      <c r="B89" s="592"/>
      <c r="C89" s="592"/>
      <c r="D89" s="592"/>
      <c r="E89" s="592"/>
      <c r="F89" s="592"/>
      <c r="G89" s="592"/>
      <c r="H89" s="592"/>
      <c r="I89" s="592"/>
      <c r="J89" s="592"/>
      <c r="K89" s="592"/>
      <c r="L89" s="497"/>
    </row>
    <row r="90" spans="1:12" ht="45" customHeight="1" x14ac:dyDescent="0.25">
      <c r="A90" s="497"/>
      <c r="B90" s="938" t="s">
        <v>743</v>
      </c>
      <c r="C90" s="938"/>
      <c r="D90" s="938"/>
      <c r="E90" s="938"/>
      <c r="F90" s="938"/>
      <c r="G90" s="938"/>
      <c r="H90" s="938"/>
      <c r="I90" s="938"/>
      <c r="J90" s="938"/>
      <c r="K90" s="938"/>
      <c r="L90" s="497"/>
    </row>
    <row r="91" spans="1:12" ht="15" customHeight="1" thickBot="1" x14ac:dyDescent="0.3">
      <c r="A91" s="497"/>
      <c r="L91" s="497"/>
    </row>
    <row r="92" spans="1:12" ht="15" customHeight="1" x14ac:dyDescent="0.25">
      <c r="A92" s="497"/>
      <c r="B92" s="455" t="s">
        <v>705</v>
      </c>
      <c r="C92" s="456"/>
      <c r="D92" s="456"/>
      <c r="E92" s="456"/>
      <c r="F92" s="456"/>
      <c r="G92" s="456"/>
      <c r="H92" s="456"/>
      <c r="I92" s="456"/>
      <c r="J92" s="456"/>
      <c r="K92" s="457"/>
      <c r="L92" s="497"/>
    </row>
    <row r="93" spans="1:12" ht="15" customHeight="1" x14ac:dyDescent="0.25">
      <c r="A93" s="497"/>
      <c r="B93" s="458"/>
      <c r="C93" s="595" t="s">
        <v>711</v>
      </c>
      <c r="D93" s="595"/>
      <c r="E93" s="595"/>
      <c r="F93" s="595"/>
      <c r="G93" s="595"/>
      <c r="H93" s="595"/>
      <c r="I93" s="595"/>
      <c r="J93" s="595"/>
      <c r="K93" s="459"/>
      <c r="L93" s="497"/>
    </row>
    <row r="94" spans="1:12" ht="15" customHeight="1" x14ac:dyDescent="0.25">
      <c r="A94" s="497"/>
      <c r="B94" s="458" t="s">
        <v>732</v>
      </c>
      <c r="C94" s="930">
        <v>312000000</v>
      </c>
      <c r="D94" s="930"/>
      <c r="E94" s="596" t="s">
        <v>710</v>
      </c>
      <c r="F94" s="596">
        <v>1000</v>
      </c>
      <c r="G94" s="596" t="s">
        <v>709</v>
      </c>
      <c r="H94" s="588">
        <f>C94/F94</f>
        <v>312000</v>
      </c>
      <c r="I94" s="595" t="s">
        <v>733</v>
      </c>
      <c r="J94" s="595"/>
      <c r="K94" s="459"/>
      <c r="L94" s="497"/>
    </row>
    <row r="95" spans="1:12" ht="15" customHeight="1" x14ac:dyDescent="0.25">
      <c r="A95" s="497"/>
      <c r="B95" s="458"/>
      <c r="C95" s="595"/>
      <c r="D95" s="595"/>
      <c r="E95" s="596"/>
      <c r="F95" s="595"/>
      <c r="G95" s="595"/>
      <c r="H95" s="595"/>
      <c r="I95" s="595"/>
      <c r="J95" s="595"/>
      <c r="K95" s="459"/>
      <c r="L95" s="497"/>
    </row>
    <row r="96" spans="1:12" ht="15" customHeight="1" x14ac:dyDescent="0.25">
      <c r="A96" s="497"/>
      <c r="B96" s="458"/>
      <c r="C96" s="595" t="s">
        <v>734</v>
      </c>
      <c r="D96" s="595"/>
      <c r="E96" s="596"/>
      <c r="F96" s="595" t="s">
        <v>733</v>
      </c>
      <c r="G96" s="595"/>
      <c r="H96" s="595"/>
      <c r="I96" s="595"/>
      <c r="J96" s="595"/>
      <c r="K96" s="459"/>
      <c r="L96" s="497"/>
    </row>
    <row r="97" spans="1:12" ht="15" customHeight="1" x14ac:dyDescent="0.25">
      <c r="A97" s="497"/>
      <c r="B97" s="458" t="s">
        <v>737</v>
      </c>
      <c r="C97" s="930">
        <v>50000</v>
      </c>
      <c r="D97" s="930"/>
      <c r="E97" s="596" t="s">
        <v>710</v>
      </c>
      <c r="F97" s="588">
        <f>H94</f>
        <v>312000</v>
      </c>
      <c r="G97" s="596" t="s">
        <v>709</v>
      </c>
      <c r="H97" s="441">
        <f>C97/F97</f>
        <v>0.16025641025641027</v>
      </c>
      <c r="I97" s="595" t="s">
        <v>735</v>
      </c>
      <c r="J97" s="595"/>
      <c r="K97" s="459"/>
      <c r="L97" s="497"/>
    </row>
    <row r="98" spans="1:12" ht="15" customHeight="1" x14ac:dyDescent="0.25">
      <c r="A98" s="497"/>
      <c r="B98" s="458"/>
      <c r="C98" s="595"/>
      <c r="D98" s="595"/>
      <c r="E98" s="596"/>
      <c r="F98" s="595"/>
      <c r="G98" s="595"/>
      <c r="H98" s="595"/>
      <c r="I98" s="595"/>
      <c r="J98" s="595"/>
      <c r="K98" s="459"/>
      <c r="L98" s="497"/>
    </row>
    <row r="99" spans="1:12" ht="15" customHeight="1" x14ac:dyDescent="0.25">
      <c r="A99" s="497"/>
      <c r="B99" s="460"/>
      <c r="C99" s="461" t="s">
        <v>744</v>
      </c>
      <c r="D99" s="461"/>
      <c r="E99" s="589"/>
      <c r="F99" s="461"/>
      <c r="G99" s="461"/>
      <c r="H99" s="461"/>
      <c r="I99" s="461"/>
      <c r="J99" s="461"/>
      <c r="K99" s="462"/>
      <c r="L99" s="497"/>
    </row>
    <row r="100" spans="1:12" ht="15" customHeight="1" x14ac:dyDescent="0.25">
      <c r="A100" s="497"/>
      <c r="B100" s="458" t="s">
        <v>797</v>
      </c>
      <c r="C100" s="930">
        <v>2500000</v>
      </c>
      <c r="D100" s="930"/>
      <c r="E100" s="596" t="s">
        <v>273</v>
      </c>
      <c r="F100" s="463">
        <v>0.3</v>
      </c>
      <c r="G100" s="596" t="s">
        <v>709</v>
      </c>
      <c r="H100" s="588">
        <f>C100*F100</f>
        <v>750000</v>
      </c>
      <c r="I100" s="595" t="s">
        <v>738</v>
      </c>
      <c r="J100" s="595"/>
      <c r="K100" s="459"/>
      <c r="L100" s="497"/>
    </row>
    <row r="101" spans="1:12" ht="15" customHeight="1" x14ac:dyDescent="0.25">
      <c r="A101" s="497"/>
      <c r="B101" s="458"/>
      <c r="C101" s="595"/>
      <c r="D101" s="595"/>
      <c r="E101" s="596"/>
      <c r="F101" s="595"/>
      <c r="G101" s="595"/>
      <c r="H101" s="595"/>
      <c r="I101" s="595"/>
      <c r="J101" s="595"/>
      <c r="K101" s="459"/>
      <c r="L101" s="497"/>
    </row>
    <row r="102" spans="1:12" ht="15" customHeight="1" x14ac:dyDescent="0.25">
      <c r="A102" s="497"/>
      <c r="B102" s="460"/>
      <c r="C102" s="461" t="s">
        <v>739</v>
      </c>
      <c r="D102" s="461"/>
      <c r="E102" s="589"/>
      <c r="F102" s="461" t="s">
        <v>735</v>
      </c>
      <c r="G102" s="461"/>
      <c r="H102" s="461"/>
      <c r="I102" s="461"/>
      <c r="J102" s="461" t="s">
        <v>740</v>
      </c>
      <c r="K102" s="462"/>
      <c r="L102" s="497"/>
    </row>
    <row r="103" spans="1:12" ht="15" customHeight="1" x14ac:dyDescent="0.25">
      <c r="A103" s="497"/>
      <c r="B103" s="458" t="s">
        <v>798</v>
      </c>
      <c r="C103" s="937">
        <f>H100</f>
        <v>750000</v>
      </c>
      <c r="D103" s="937"/>
      <c r="E103" s="596" t="s">
        <v>273</v>
      </c>
      <c r="F103" s="441">
        <f>H97</f>
        <v>0.16025641025641027</v>
      </c>
      <c r="G103" s="596" t="s">
        <v>710</v>
      </c>
      <c r="H103" s="596">
        <v>1000</v>
      </c>
      <c r="I103" s="596" t="s">
        <v>709</v>
      </c>
      <c r="J103" s="590">
        <f>C103*F103/H103</f>
        <v>120.19230769230771</v>
      </c>
      <c r="K103" s="459"/>
      <c r="L103" s="497"/>
    </row>
    <row r="104" spans="1:12" ht="15" customHeight="1" thickBot="1" x14ac:dyDescent="0.3">
      <c r="A104" s="497"/>
      <c r="B104" s="464"/>
      <c r="C104" s="450"/>
      <c r="D104" s="450"/>
      <c r="E104" s="451"/>
      <c r="F104" s="452"/>
      <c r="G104" s="451"/>
      <c r="H104" s="451"/>
      <c r="I104" s="451"/>
      <c r="J104" s="453"/>
      <c r="K104" s="597"/>
      <c r="L104" s="497"/>
    </row>
    <row r="105" spans="1:12" ht="40.5" customHeight="1" x14ac:dyDescent="0.25">
      <c r="A105" s="497"/>
      <c r="B105" s="931" t="s">
        <v>701</v>
      </c>
      <c r="C105" s="933"/>
      <c r="D105" s="933"/>
      <c r="E105" s="933"/>
      <c r="F105" s="933"/>
      <c r="G105" s="933"/>
      <c r="H105" s="933"/>
      <c r="I105" s="933"/>
      <c r="J105" s="933"/>
      <c r="K105" s="933"/>
      <c r="L105" s="497"/>
    </row>
    <row r="106" spans="1:12" ht="15" customHeight="1" x14ac:dyDescent="0.25">
      <c r="A106" s="497"/>
      <c r="B106" s="934" t="s">
        <v>745</v>
      </c>
      <c r="C106" s="935"/>
      <c r="D106" s="935"/>
      <c r="E106" s="935"/>
      <c r="F106" s="935"/>
      <c r="G106" s="935"/>
      <c r="H106" s="935"/>
      <c r="I106" s="935"/>
      <c r="J106" s="935"/>
      <c r="K106" s="935"/>
      <c r="L106" s="497"/>
    </row>
    <row r="107" spans="1:12" ht="15" customHeight="1" x14ac:dyDescent="0.25">
      <c r="A107" s="497"/>
      <c r="B107" s="595"/>
      <c r="C107" s="465"/>
      <c r="D107" s="465"/>
      <c r="E107" s="596"/>
      <c r="F107" s="441"/>
      <c r="G107" s="596"/>
      <c r="H107" s="596"/>
      <c r="I107" s="596"/>
      <c r="J107" s="590"/>
      <c r="K107" s="595"/>
      <c r="L107" s="497"/>
    </row>
    <row r="108" spans="1:12" ht="15" customHeight="1" x14ac:dyDescent="0.25">
      <c r="A108" s="497"/>
      <c r="B108" s="934" t="s">
        <v>746</v>
      </c>
      <c r="C108" s="936"/>
      <c r="D108" s="936"/>
      <c r="E108" s="936"/>
      <c r="F108" s="936"/>
      <c r="G108" s="936"/>
      <c r="H108" s="936"/>
      <c r="I108" s="936"/>
      <c r="J108" s="936"/>
      <c r="K108" s="936"/>
      <c r="L108" s="497"/>
    </row>
    <row r="109" spans="1:12" ht="15" customHeight="1" x14ac:dyDescent="0.25">
      <c r="A109" s="497"/>
      <c r="B109" s="595"/>
      <c r="C109" s="465"/>
      <c r="D109" s="465"/>
      <c r="E109" s="596"/>
      <c r="F109" s="441"/>
      <c r="G109" s="596"/>
      <c r="H109" s="596"/>
      <c r="I109" s="596"/>
      <c r="J109" s="590"/>
      <c r="K109" s="595"/>
      <c r="L109" s="497"/>
    </row>
    <row r="110" spans="1:12" ht="59.25" customHeight="1" x14ac:dyDescent="0.25">
      <c r="A110" s="497"/>
      <c r="B110" s="928" t="s">
        <v>747</v>
      </c>
      <c r="C110" s="929"/>
      <c r="D110" s="929"/>
      <c r="E110" s="929"/>
      <c r="F110" s="929"/>
      <c r="G110" s="929"/>
      <c r="H110" s="929"/>
      <c r="I110" s="929"/>
      <c r="J110" s="929"/>
      <c r="K110" s="929"/>
      <c r="L110" s="497"/>
    </row>
    <row r="111" spans="1:12" ht="14.4" thickBot="1" x14ac:dyDescent="0.3">
      <c r="A111" s="497"/>
      <c r="B111" s="593"/>
      <c r="C111" s="593"/>
      <c r="D111" s="593"/>
      <c r="E111" s="593"/>
      <c r="F111" s="593"/>
      <c r="G111" s="593"/>
      <c r="H111" s="593"/>
      <c r="I111" s="593"/>
      <c r="J111" s="593"/>
      <c r="K111" s="593"/>
      <c r="L111" s="466"/>
    </row>
    <row r="112" spans="1:12" x14ac:dyDescent="0.25">
      <c r="A112" s="497"/>
      <c r="B112" s="491" t="s">
        <v>705</v>
      </c>
      <c r="C112" s="490"/>
      <c r="D112" s="490"/>
      <c r="E112" s="490"/>
      <c r="F112" s="490"/>
      <c r="G112" s="490"/>
      <c r="H112" s="490"/>
      <c r="I112" s="490"/>
      <c r="J112" s="490"/>
      <c r="K112" s="489"/>
      <c r="L112" s="497"/>
    </row>
    <row r="113" spans="1:12" x14ac:dyDescent="0.25">
      <c r="A113" s="497"/>
      <c r="B113" s="439"/>
      <c r="C113" s="487" t="s">
        <v>711</v>
      </c>
      <c r="D113" s="487"/>
      <c r="E113" s="487"/>
      <c r="F113" s="487"/>
      <c r="G113" s="487"/>
      <c r="H113" s="487"/>
      <c r="I113" s="487"/>
      <c r="J113" s="487"/>
      <c r="K113" s="485"/>
      <c r="L113" s="497"/>
    </row>
    <row r="114" spans="1:12" x14ac:dyDescent="0.25">
      <c r="A114" s="497"/>
      <c r="B114" s="439" t="s">
        <v>732</v>
      </c>
      <c r="C114" s="930">
        <v>312000000</v>
      </c>
      <c r="D114" s="930"/>
      <c r="E114" s="596" t="s">
        <v>710</v>
      </c>
      <c r="F114" s="596">
        <v>1000</v>
      </c>
      <c r="G114" s="596" t="s">
        <v>709</v>
      </c>
      <c r="H114" s="588">
        <f>C114/F114</f>
        <v>312000</v>
      </c>
      <c r="I114" s="487" t="s">
        <v>733</v>
      </c>
      <c r="J114" s="487"/>
      <c r="K114" s="485"/>
      <c r="L114" s="497"/>
    </row>
    <row r="115" spans="1:12" x14ac:dyDescent="0.25">
      <c r="A115" s="497"/>
      <c r="B115" s="439"/>
      <c r="C115" s="487"/>
      <c r="D115" s="487"/>
      <c r="E115" s="596"/>
      <c r="F115" s="487"/>
      <c r="G115" s="487"/>
      <c r="H115" s="487"/>
      <c r="I115" s="487"/>
      <c r="J115" s="487"/>
      <c r="K115" s="485"/>
      <c r="L115" s="497"/>
    </row>
    <row r="116" spans="1:12" x14ac:dyDescent="0.25">
      <c r="A116" s="497"/>
      <c r="B116" s="439"/>
      <c r="C116" s="487" t="s">
        <v>734</v>
      </c>
      <c r="D116" s="487"/>
      <c r="E116" s="596"/>
      <c r="F116" s="487" t="s">
        <v>733</v>
      </c>
      <c r="G116" s="487"/>
      <c r="H116" s="487"/>
      <c r="I116" s="487"/>
      <c r="J116" s="487"/>
      <c r="K116" s="485"/>
      <c r="L116" s="497"/>
    </row>
    <row r="117" spans="1:12" x14ac:dyDescent="0.25">
      <c r="A117" s="497"/>
      <c r="B117" s="439" t="s">
        <v>737</v>
      </c>
      <c r="C117" s="930">
        <v>50000</v>
      </c>
      <c r="D117" s="930"/>
      <c r="E117" s="596" t="s">
        <v>710</v>
      </c>
      <c r="F117" s="588">
        <f>H114</f>
        <v>312000</v>
      </c>
      <c r="G117" s="596" t="s">
        <v>709</v>
      </c>
      <c r="H117" s="441">
        <f>C117/F117</f>
        <v>0.16025641025641027</v>
      </c>
      <c r="I117" s="487" t="s">
        <v>735</v>
      </c>
      <c r="J117" s="487"/>
      <c r="K117" s="485"/>
      <c r="L117" s="497"/>
    </row>
    <row r="118" spans="1:12" x14ac:dyDescent="0.25">
      <c r="A118" s="497"/>
      <c r="B118" s="439"/>
      <c r="C118" s="487"/>
      <c r="D118" s="487"/>
      <c r="E118" s="596"/>
      <c r="F118" s="487"/>
      <c r="G118" s="487"/>
      <c r="H118" s="487"/>
      <c r="I118" s="487"/>
      <c r="J118" s="487"/>
      <c r="K118" s="485"/>
      <c r="L118" s="497"/>
    </row>
    <row r="119" spans="1:12" x14ac:dyDescent="0.25">
      <c r="A119" s="497"/>
      <c r="B119" s="447"/>
      <c r="C119" s="448" t="s">
        <v>744</v>
      </c>
      <c r="D119" s="448"/>
      <c r="E119" s="589"/>
      <c r="F119" s="448"/>
      <c r="G119" s="448"/>
      <c r="H119" s="448"/>
      <c r="I119" s="448"/>
      <c r="J119" s="448"/>
      <c r="K119" s="449"/>
      <c r="L119" s="497"/>
    </row>
    <row r="120" spans="1:12" x14ac:dyDescent="0.25">
      <c r="A120" s="497"/>
      <c r="B120" s="439" t="s">
        <v>797</v>
      </c>
      <c r="C120" s="930">
        <v>2500000</v>
      </c>
      <c r="D120" s="930"/>
      <c r="E120" s="596" t="s">
        <v>273</v>
      </c>
      <c r="F120" s="463">
        <v>0.25</v>
      </c>
      <c r="G120" s="596" t="s">
        <v>709</v>
      </c>
      <c r="H120" s="588">
        <f>C120*F120</f>
        <v>625000</v>
      </c>
      <c r="I120" s="487" t="s">
        <v>738</v>
      </c>
      <c r="J120" s="487"/>
      <c r="K120" s="485"/>
      <c r="L120" s="497"/>
    </row>
    <row r="121" spans="1:12" x14ac:dyDescent="0.25">
      <c r="A121" s="497"/>
      <c r="B121" s="439"/>
      <c r="C121" s="487"/>
      <c r="D121" s="487"/>
      <c r="E121" s="596"/>
      <c r="F121" s="487"/>
      <c r="G121" s="487"/>
      <c r="H121" s="487"/>
      <c r="I121" s="487"/>
      <c r="J121" s="487"/>
      <c r="K121" s="485"/>
      <c r="L121" s="497"/>
    </row>
    <row r="122" spans="1:12" x14ac:dyDescent="0.25">
      <c r="A122" s="497"/>
      <c r="B122" s="447"/>
      <c r="C122" s="448" t="s">
        <v>739</v>
      </c>
      <c r="D122" s="448"/>
      <c r="E122" s="589"/>
      <c r="F122" s="448" t="s">
        <v>735</v>
      </c>
      <c r="G122" s="448"/>
      <c r="H122" s="448"/>
      <c r="I122" s="448"/>
      <c r="J122" s="448" t="s">
        <v>740</v>
      </c>
      <c r="K122" s="449"/>
      <c r="L122" s="497"/>
    </row>
    <row r="123" spans="1:12" x14ac:dyDescent="0.25">
      <c r="A123" s="497"/>
      <c r="B123" s="439" t="s">
        <v>798</v>
      </c>
      <c r="C123" s="937">
        <f>H120</f>
        <v>625000</v>
      </c>
      <c r="D123" s="937"/>
      <c r="E123" s="596" t="s">
        <v>273</v>
      </c>
      <c r="F123" s="441">
        <f>H117</f>
        <v>0.16025641025641027</v>
      </c>
      <c r="G123" s="596" t="s">
        <v>710</v>
      </c>
      <c r="H123" s="596">
        <v>1000</v>
      </c>
      <c r="I123" s="596" t="s">
        <v>709</v>
      </c>
      <c r="J123" s="590">
        <f>C123*F123/H123</f>
        <v>100.16025641025642</v>
      </c>
      <c r="K123" s="485"/>
      <c r="L123" s="497"/>
    </row>
    <row r="124" spans="1:12" ht="14.4" thickBot="1" x14ac:dyDescent="0.3">
      <c r="A124" s="497"/>
      <c r="B124" s="436"/>
      <c r="C124" s="450"/>
      <c r="D124" s="450"/>
      <c r="E124" s="451"/>
      <c r="F124" s="452"/>
      <c r="G124" s="451"/>
      <c r="H124" s="451"/>
      <c r="I124" s="451"/>
      <c r="J124" s="453"/>
      <c r="K124" s="481"/>
      <c r="L124" s="497"/>
    </row>
    <row r="125" spans="1:12" ht="40.5" customHeight="1" x14ac:dyDescent="0.25">
      <c r="A125" s="497"/>
      <c r="B125" s="931" t="s">
        <v>701</v>
      </c>
      <c r="C125" s="931"/>
      <c r="D125" s="931"/>
      <c r="E125" s="931"/>
      <c r="F125" s="931"/>
      <c r="G125" s="931"/>
      <c r="H125" s="931"/>
      <c r="I125" s="931"/>
      <c r="J125" s="931"/>
      <c r="K125" s="931"/>
      <c r="L125" s="466"/>
    </row>
    <row r="126" spans="1:12" x14ac:dyDescent="0.25">
      <c r="A126" s="497"/>
      <c r="B126" s="932" t="s">
        <v>748</v>
      </c>
      <c r="C126" s="932"/>
      <c r="D126" s="932"/>
      <c r="E126" s="932"/>
      <c r="F126" s="932"/>
      <c r="G126" s="932"/>
      <c r="H126" s="932"/>
      <c r="I126" s="932"/>
      <c r="J126" s="932"/>
      <c r="K126" s="932"/>
      <c r="L126" s="466"/>
    </row>
    <row r="127" spans="1:12" x14ac:dyDescent="0.25">
      <c r="A127" s="497"/>
      <c r="B127" s="593"/>
      <c r="C127" s="593"/>
      <c r="D127" s="593"/>
      <c r="E127" s="593"/>
      <c r="F127" s="593"/>
      <c r="G127" s="593"/>
      <c r="H127" s="593"/>
      <c r="I127" s="593"/>
      <c r="J127" s="593"/>
      <c r="K127" s="593"/>
      <c r="L127" s="466"/>
    </row>
    <row r="128" spans="1:12" x14ac:dyDescent="0.25">
      <c r="A128" s="497"/>
      <c r="B128" s="932" t="s">
        <v>749</v>
      </c>
      <c r="C128" s="932"/>
      <c r="D128" s="932"/>
      <c r="E128" s="932"/>
      <c r="F128" s="932"/>
      <c r="G128" s="932"/>
      <c r="H128" s="932"/>
      <c r="I128" s="932"/>
      <c r="J128" s="932"/>
      <c r="K128" s="932"/>
      <c r="L128" s="466"/>
    </row>
    <row r="129" spans="1:12" x14ac:dyDescent="0.25">
      <c r="A129" s="497"/>
      <c r="B129" s="592"/>
      <c r="C129" s="592"/>
      <c r="D129" s="592"/>
      <c r="E129" s="592"/>
      <c r="F129" s="592"/>
      <c r="G129" s="592"/>
      <c r="H129" s="592"/>
      <c r="I129" s="592"/>
      <c r="J129" s="592"/>
      <c r="K129" s="592"/>
      <c r="L129" s="466"/>
    </row>
    <row r="130" spans="1:12" ht="74.25" customHeight="1" x14ac:dyDescent="0.25">
      <c r="A130" s="497"/>
      <c r="B130" s="938" t="s">
        <v>799</v>
      </c>
      <c r="C130" s="938"/>
      <c r="D130" s="938"/>
      <c r="E130" s="938"/>
      <c r="F130" s="938"/>
      <c r="G130" s="938"/>
      <c r="H130" s="938"/>
      <c r="I130" s="938"/>
      <c r="J130" s="938"/>
      <c r="K130" s="938"/>
      <c r="L130" s="466"/>
    </row>
    <row r="131" spans="1:12" ht="14.4" thickBot="1" x14ac:dyDescent="0.3">
      <c r="A131" s="497"/>
      <c r="L131" s="497"/>
    </row>
    <row r="132" spans="1:12" x14ac:dyDescent="0.25">
      <c r="A132" s="497"/>
      <c r="B132" s="491" t="s">
        <v>705</v>
      </c>
      <c r="C132" s="490"/>
      <c r="D132" s="490"/>
      <c r="E132" s="490"/>
      <c r="F132" s="490"/>
      <c r="G132" s="490"/>
      <c r="H132" s="490"/>
      <c r="I132" s="490"/>
      <c r="J132" s="490"/>
      <c r="K132" s="489"/>
      <c r="L132" s="497"/>
    </row>
    <row r="133" spans="1:12" x14ac:dyDescent="0.25">
      <c r="A133" s="497"/>
      <c r="B133" s="439"/>
      <c r="C133" s="939" t="s">
        <v>750</v>
      </c>
      <c r="D133" s="939"/>
      <c r="E133" s="487"/>
      <c r="F133" s="596" t="s">
        <v>751</v>
      </c>
      <c r="G133" s="487"/>
      <c r="H133" s="939" t="s">
        <v>738</v>
      </c>
      <c r="I133" s="939"/>
      <c r="J133" s="487"/>
      <c r="K133" s="485"/>
      <c r="L133" s="497"/>
    </row>
    <row r="134" spans="1:12" x14ac:dyDescent="0.25">
      <c r="A134" s="497"/>
      <c r="B134" s="439" t="s">
        <v>732</v>
      </c>
      <c r="C134" s="930">
        <v>100000</v>
      </c>
      <c r="D134" s="930"/>
      <c r="E134" s="596" t="s">
        <v>273</v>
      </c>
      <c r="F134" s="596">
        <v>0.115</v>
      </c>
      <c r="G134" s="596" t="s">
        <v>709</v>
      </c>
      <c r="H134" s="922">
        <f>C134*F134</f>
        <v>11500</v>
      </c>
      <c r="I134" s="922"/>
      <c r="J134" s="487"/>
      <c r="K134" s="485"/>
      <c r="L134" s="497"/>
    </row>
    <row r="135" spans="1:12" x14ac:dyDescent="0.25">
      <c r="A135" s="497"/>
      <c r="B135" s="439"/>
      <c r="C135" s="487"/>
      <c r="D135" s="487"/>
      <c r="E135" s="487"/>
      <c r="F135" s="487"/>
      <c r="G135" s="487"/>
      <c r="H135" s="487"/>
      <c r="I135" s="487"/>
      <c r="J135" s="487"/>
      <c r="K135" s="485"/>
      <c r="L135" s="497"/>
    </row>
    <row r="136" spans="1:12" x14ac:dyDescent="0.25">
      <c r="A136" s="497"/>
      <c r="B136" s="447"/>
      <c r="C136" s="923" t="s">
        <v>738</v>
      </c>
      <c r="D136" s="923"/>
      <c r="E136" s="448"/>
      <c r="F136" s="589" t="s">
        <v>752</v>
      </c>
      <c r="G136" s="589"/>
      <c r="H136" s="448"/>
      <c r="I136" s="448"/>
      <c r="J136" s="448" t="s">
        <v>753</v>
      </c>
      <c r="K136" s="449"/>
      <c r="L136" s="497"/>
    </row>
    <row r="137" spans="1:12" x14ac:dyDescent="0.25">
      <c r="A137" s="497"/>
      <c r="B137" s="439" t="s">
        <v>737</v>
      </c>
      <c r="C137" s="922">
        <f>H134</f>
        <v>11500</v>
      </c>
      <c r="D137" s="922"/>
      <c r="E137" s="596" t="s">
        <v>273</v>
      </c>
      <c r="F137" s="467">
        <v>52.869</v>
      </c>
      <c r="G137" s="596" t="s">
        <v>710</v>
      </c>
      <c r="H137" s="596">
        <v>1000</v>
      </c>
      <c r="I137" s="596" t="s">
        <v>709</v>
      </c>
      <c r="J137" s="468">
        <f>C137*F137/H137</f>
        <v>607.99350000000004</v>
      </c>
      <c r="K137" s="485"/>
      <c r="L137" s="497"/>
    </row>
    <row r="138" spans="1:12" ht="14.4" thickBot="1" x14ac:dyDescent="0.3">
      <c r="A138" s="497"/>
      <c r="B138" s="436"/>
      <c r="C138" s="575"/>
      <c r="D138" s="575"/>
      <c r="E138" s="451"/>
      <c r="F138" s="576"/>
      <c r="G138" s="451"/>
      <c r="H138" s="451"/>
      <c r="I138" s="451"/>
      <c r="J138" s="577"/>
      <c r="K138" s="481"/>
      <c r="L138" s="497"/>
    </row>
    <row r="139" spans="1:12" ht="40.5" customHeight="1" x14ac:dyDescent="0.25">
      <c r="A139" s="497"/>
      <c r="B139" s="562" t="s">
        <v>701</v>
      </c>
      <c r="C139" s="563"/>
      <c r="D139" s="563"/>
      <c r="E139" s="564"/>
      <c r="F139" s="565"/>
      <c r="G139" s="564"/>
      <c r="H139" s="564"/>
      <c r="I139" s="564"/>
      <c r="J139" s="566"/>
      <c r="K139" s="567"/>
      <c r="L139" s="497"/>
    </row>
    <row r="140" spans="1:12" x14ac:dyDescent="0.25">
      <c r="A140" s="497"/>
      <c r="B140" s="568" t="s">
        <v>800</v>
      </c>
      <c r="C140" s="569"/>
      <c r="D140" s="569"/>
      <c r="E140" s="570"/>
      <c r="F140" s="571"/>
      <c r="G140" s="570"/>
      <c r="H140" s="570"/>
      <c r="I140" s="570"/>
      <c r="J140" s="572"/>
      <c r="K140" s="573"/>
      <c r="L140" s="497"/>
    </row>
    <row r="141" spans="1:12" x14ac:dyDescent="0.25">
      <c r="A141" s="497"/>
      <c r="B141" s="439"/>
      <c r="C141" s="588"/>
      <c r="D141" s="588"/>
      <c r="E141" s="596"/>
      <c r="F141" s="578"/>
      <c r="G141" s="596"/>
      <c r="H141" s="596"/>
      <c r="I141" s="596"/>
      <c r="J141" s="468"/>
      <c r="K141" s="485"/>
      <c r="L141" s="497"/>
    </row>
    <row r="142" spans="1:12" x14ac:dyDescent="0.25">
      <c r="A142" s="497"/>
      <c r="B142" s="568" t="s">
        <v>801</v>
      </c>
      <c r="C142" s="569"/>
      <c r="D142" s="569"/>
      <c r="E142" s="570"/>
      <c r="F142" s="571"/>
      <c r="G142" s="570"/>
      <c r="H142" s="570"/>
      <c r="I142" s="570"/>
      <c r="J142" s="572"/>
      <c r="K142" s="573"/>
      <c r="L142" s="497"/>
    </row>
    <row r="143" spans="1:12" x14ac:dyDescent="0.25">
      <c r="A143" s="497"/>
      <c r="B143" s="439"/>
      <c r="C143" s="588"/>
      <c r="D143" s="588"/>
      <c r="E143" s="596"/>
      <c r="F143" s="578"/>
      <c r="G143" s="596"/>
      <c r="H143" s="596"/>
      <c r="I143" s="596"/>
      <c r="J143" s="468"/>
      <c r="K143" s="485"/>
      <c r="L143" s="497"/>
    </row>
    <row r="144" spans="1:12" ht="76.5" customHeight="1" x14ac:dyDescent="0.25">
      <c r="A144" s="497"/>
      <c r="B144" s="924" t="s">
        <v>802</v>
      </c>
      <c r="C144" s="925"/>
      <c r="D144" s="925"/>
      <c r="E144" s="925"/>
      <c r="F144" s="925"/>
      <c r="G144" s="925"/>
      <c r="H144" s="925"/>
      <c r="I144" s="925"/>
      <c r="J144" s="925"/>
      <c r="K144" s="926"/>
      <c r="L144" s="497"/>
    </row>
    <row r="145" spans="1:12" ht="14.4" thickBot="1" x14ac:dyDescent="0.3">
      <c r="A145" s="497"/>
      <c r="B145" s="439"/>
      <c r="C145" s="588"/>
      <c r="D145" s="588"/>
      <c r="E145" s="596"/>
      <c r="F145" s="578"/>
      <c r="G145" s="596"/>
      <c r="H145" s="596"/>
      <c r="I145" s="596"/>
      <c r="J145" s="468"/>
      <c r="K145" s="485"/>
      <c r="L145" s="497"/>
    </row>
    <row r="146" spans="1:12" x14ac:dyDescent="0.25">
      <c r="A146" s="497"/>
      <c r="B146" s="491" t="s">
        <v>705</v>
      </c>
      <c r="C146" s="579"/>
      <c r="D146" s="579"/>
      <c r="E146" s="580"/>
      <c r="F146" s="581"/>
      <c r="G146" s="580"/>
      <c r="H146" s="580"/>
      <c r="I146" s="580"/>
      <c r="J146" s="582"/>
      <c r="K146" s="489"/>
      <c r="L146" s="497"/>
    </row>
    <row r="147" spans="1:12" x14ac:dyDescent="0.25">
      <c r="A147" s="497"/>
      <c r="B147" s="439"/>
      <c r="C147" s="922" t="s">
        <v>803</v>
      </c>
      <c r="D147" s="922"/>
      <c r="E147" s="596"/>
      <c r="F147" s="578" t="s">
        <v>804</v>
      </c>
      <c r="G147" s="596"/>
      <c r="H147" s="596"/>
      <c r="I147" s="596"/>
      <c r="J147" s="920" t="s">
        <v>805</v>
      </c>
      <c r="K147" s="927"/>
      <c r="L147" s="497"/>
    </row>
    <row r="148" spans="1:12" x14ac:dyDescent="0.25">
      <c r="A148" s="497"/>
      <c r="B148" s="439"/>
      <c r="C148" s="919">
        <v>52.869</v>
      </c>
      <c r="D148" s="919"/>
      <c r="E148" s="596" t="s">
        <v>273</v>
      </c>
      <c r="F148" s="591">
        <v>312000000</v>
      </c>
      <c r="G148" s="583" t="s">
        <v>710</v>
      </c>
      <c r="H148" s="596">
        <v>1000</v>
      </c>
      <c r="I148" s="596" t="s">
        <v>709</v>
      </c>
      <c r="J148" s="920">
        <f>C148*(F148/1000)</f>
        <v>16495128</v>
      </c>
      <c r="K148" s="921"/>
      <c r="L148" s="497"/>
    </row>
    <row r="149" spans="1:12" ht="14.4" thickBot="1" x14ac:dyDescent="0.3">
      <c r="A149" s="497"/>
      <c r="B149" s="436"/>
      <c r="C149" s="575"/>
      <c r="D149" s="575"/>
      <c r="E149" s="451"/>
      <c r="F149" s="576"/>
      <c r="G149" s="451"/>
      <c r="H149" s="451"/>
      <c r="I149" s="451"/>
      <c r="J149" s="577"/>
      <c r="K149" s="481"/>
      <c r="L149" s="497"/>
    </row>
    <row r="150" spans="1:12" ht="14.4" thickBot="1" x14ac:dyDescent="0.3">
      <c r="A150" s="497"/>
      <c r="B150" s="436"/>
      <c r="C150" s="482"/>
      <c r="D150" s="482"/>
      <c r="E150" s="482"/>
      <c r="F150" s="482"/>
      <c r="G150" s="482"/>
      <c r="H150" s="482"/>
      <c r="I150" s="482"/>
      <c r="J150" s="482"/>
      <c r="K150" s="481"/>
      <c r="L150" s="497"/>
    </row>
    <row r="151" spans="1:12" x14ac:dyDescent="0.25">
      <c r="A151" s="497"/>
      <c r="B151" s="497"/>
      <c r="C151" s="497"/>
      <c r="D151" s="497"/>
      <c r="E151" s="497"/>
      <c r="F151" s="497"/>
      <c r="G151" s="497"/>
      <c r="H151" s="497"/>
      <c r="I151" s="497"/>
      <c r="J151" s="497"/>
      <c r="K151" s="497"/>
      <c r="L151" s="497"/>
    </row>
    <row r="152" spans="1:12" x14ac:dyDescent="0.25">
      <c r="A152" s="497"/>
      <c r="B152" s="497"/>
      <c r="C152" s="497"/>
      <c r="D152" s="497"/>
      <c r="E152" s="497"/>
      <c r="F152" s="497"/>
      <c r="G152" s="497"/>
      <c r="H152" s="497"/>
      <c r="I152" s="497"/>
      <c r="J152" s="497"/>
      <c r="K152" s="497"/>
      <c r="L152" s="497"/>
    </row>
    <row r="153" spans="1:12" x14ac:dyDescent="0.25">
      <c r="A153" s="497"/>
      <c r="B153" s="497"/>
      <c r="C153" s="497"/>
      <c r="D153" s="497"/>
      <c r="E153" s="497"/>
      <c r="F153" s="497"/>
      <c r="G153" s="497"/>
      <c r="H153" s="497"/>
      <c r="I153" s="497"/>
      <c r="J153" s="497"/>
      <c r="K153" s="497"/>
      <c r="L153" s="497"/>
    </row>
    <row r="154" spans="1:12" x14ac:dyDescent="0.25">
      <c r="A154" s="469"/>
      <c r="B154" s="469"/>
      <c r="C154" s="469"/>
      <c r="D154" s="469"/>
      <c r="E154" s="469"/>
      <c r="F154" s="469"/>
      <c r="G154" s="469"/>
      <c r="H154" s="469"/>
      <c r="I154" s="469"/>
      <c r="J154" s="469"/>
      <c r="K154" s="469"/>
      <c r="L154" s="469"/>
    </row>
    <row r="155" spans="1:12" x14ac:dyDescent="0.25">
      <c r="A155" s="469"/>
      <c r="B155" s="469"/>
      <c r="C155" s="469"/>
      <c r="D155" s="469"/>
      <c r="E155" s="469"/>
      <c r="F155" s="469"/>
      <c r="G155" s="469"/>
      <c r="H155" s="469"/>
      <c r="I155" s="469"/>
      <c r="J155" s="469"/>
      <c r="K155" s="469"/>
      <c r="L155" s="469"/>
    </row>
    <row r="156" spans="1:12" x14ac:dyDescent="0.25">
      <c r="A156" s="469"/>
      <c r="B156" s="469"/>
      <c r="C156" s="469"/>
      <c r="D156" s="469"/>
      <c r="E156" s="469"/>
      <c r="F156" s="469"/>
      <c r="G156" s="469"/>
      <c r="H156" s="469"/>
      <c r="I156" s="469"/>
      <c r="J156" s="469"/>
      <c r="K156" s="469"/>
      <c r="L156" s="469"/>
    </row>
    <row r="157" spans="1:12" x14ac:dyDescent="0.25">
      <c r="A157" s="469"/>
      <c r="B157" s="469"/>
      <c r="C157" s="469"/>
      <c r="D157" s="469"/>
      <c r="E157" s="469"/>
      <c r="F157" s="469"/>
      <c r="G157" s="469"/>
      <c r="H157" s="469"/>
      <c r="I157" s="469"/>
      <c r="J157" s="469"/>
      <c r="K157" s="469"/>
      <c r="L157" s="469"/>
    </row>
    <row r="158" spans="1:12" x14ac:dyDescent="0.25">
      <c r="A158" s="469"/>
      <c r="B158" s="469"/>
      <c r="C158" s="469"/>
      <c r="D158" s="469"/>
      <c r="E158" s="469"/>
      <c r="F158" s="469"/>
      <c r="G158" s="469"/>
      <c r="H158" s="469"/>
      <c r="I158" s="469"/>
      <c r="J158" s="469"/>
      <c r="K158" s="469"/>
      <c r="L158" s="469"/>
    </row>
    <row r="159" spans="1:12" x14ac:dyDescent="0.25">
      <c r="A159" s="469"/>
      <c r="B159" s="469"/>
      <c r="C159" s="469"/>
      <c r="D159" s="469"/>
      <c r="E159" s="469"/>
      <c r="F159" s="469"/>
      <c r="G159" s="469"/>
      <c r="H159" s="469"/>
      <c r="I159" s="469"/>
      <c r="J159" s="469"/>
      <c r="K159" s="469"/>
      <c r="L159" s="469"/>
    </row>
    <row r="160" spans="1:12" x14ac:dyDescent="0.25">
      <c r="A160" s="469"/>
      <c r="B160" s="469"/>
      <c r="C160" s="469"/>
      <c r="D160" s="469"/>
      <c r="E160" s="469"/>
      <c r="F160" s="469"/>
      <c r="G160" s="469"/>
      <c r="H160" s="469"/>
      <c r="I160" s="469"/>
      <c r="J160" s="469"/>
      <c r="K160" s="469"/>
      <c r="L160" s="469"/>
    </row>
    <row r="161" spans="1:12" x14ac:dyDescent="0.25">
      <c r="A161" s="469"/>
      <c r="B161" s="469"/>
      <c r="C161" s="469"/>
      <c r="D161" s="469"/>
      <c r="E161" s="469"/>
      <c r="F161" s="469"/>
      <c r="G161" s="469"/>
      <c r="H161" s="469"/>
      <c r="I161" s="469"/>
      <c r="J161" s="469"/>
      <c r="K161" s="469"/>
      <c r="L161" s="469"/>
    </row>
    <row r="162" spans="1:12" x14ac:dyDescent="0.25">
      <c r="A162" s="469"/>
      <c r="B162" s="469"/>
      <c r="C162" s="469"/>
      <c r="D162" s="469"/>
      <c r="E162" s="469"/>
      <c r="F162" s="469"/>
      <c r="G162" s="469"/>
      <c r="H162" s="469"/>
      <c r="I162" s="469"/>
      <c r="J162" s="469"/>
      <c r="K162" s="469"/>
      <c r="L162" s="469"/>
    </row>
    <row r="163" spans="1:12" x14ac:dyDescent="0.25">
      <c r="A163" s="469"/>
      <c r="B163" s="469"/>
      <c r="C163" s="469"/>
      <c r="D163" s="469"/>
      <c r="E163" s="469"/>
      <c r="F163" s="469"/>
      <c r="G163" s="469"/>
      <c r="H163" s="469"/>
      <c r="I163" s="469"/>
      <c r="J163" s="469"/>
      <c r="K163" s="469"/>
      <c r="L163" s="469"/>
    </row>
    <row r="164" spans="1:12" x14ac:dyDescent="0.25">
      <c r="A164" s="469"/>
      <c r="B164" s="469"/>
      <c r="C164" s="469"/>
      <c r="D164" s="469"/>
      <c r="E164" s="469"/>
      <c r="F164" s="469"/>
      <c r="G164" s="469"/>
      <c r="H164" s="469"/>
      <c r="I164" s="469"/>
      <c r="J164" s="469"/>
      <c r="K164" s="469"/>
      <c r="L164" s="469"/>
    </row>
    <row r="165" spans="1:12" x14ac:dyDescent="0.25">
      <c r="A165" s="469"/>
      <c r="B165" s="469"/>
      <c r="C165" s="469"/>
      <c r="D165" s="469"/>
      <c r="E165" s="469"/>
      <c r="F165" s="469"/>
      <c r="G165" s="469"/>
      <c r="H165" s="469"/>
      <c r="I165" s="469"/>
      <c r="J165" s="469"/>
      <c r="K165" s="469"/>
      <c r="L165" s="469"/>
    </row>
    <row r="166" spans="1:12" x14ac:dyDescent="0.25">
      <c r="A166" s="469"/>
      <c r="B166" s="469"/>
      <c r="C166" s="469"/>
      <c r="D166" s="469"/>
      <c r="E166" s="469"/>
      <c r="F166" s="469"/>
      <c r="G166" s="469"/>
      <c r="H166" s="469"/>
      <c r="I166" s="469"/>
      <c r="J166" s="469"/>
      <c r="K166" s="469"/>
      <c r="L166" s="469"/>
    </row>
    <row r="167" spans="1:12" x14ac:dyDescent="0.25">
      <c r="A167" s="469"/>
      <c r="B167" s="469"/>
      <c r="C167" s="469"/>
      <c r="D167" s="469"/>
      <c r="E167" s="469"/>
      <c r="F167" s="469"/>
      <c r="G167" s="469"/>
      <c r="H167" s="469"/>
      <c r="I167" s="469"/>
      <c r="J167" s="469"/>
      <c r="K167" s="469"/>
      <c r="L167" s="469"/>
    </row>
    <row r="168" spans="1:12" x14ac:dyDescent="0.25">
      <c r="A168" s="469"/>
      <c r="B168" s="469"/>
      <c r="C168" s="469"/>
      <c r="D168" s="469"/>
      <c r="E168" s="469"/>
      <c r="F168" s="469"/>
      <c r="G168" s="469"/>
      <c r="H168" s="469"/>
      <c r="I168" s="469"/>
      <c r="J168" s="469"/>
      <c r="K168" s="469"/>
      <c r="L168" s="469"/>
    </row>
    <row r="169" spans="1:12" x14ac:dyDescent="0.25">
      <c r="A169" s="469"/>
      <c r="B169" s="469"/>
      <c r="C169" s="469"/>
      <c r="D169" s="469"/>
      <c r="E169" s="469"/>
      <c r="F169" s="469"/>
      <c r="G169" s="469"/>
      <c r="H169" s="469"/>
      <c r="I169" s="469"/>
      <c r="J169" s="469"/>
      <c r="K169" s="469"/>
      <c r="L169" s="469"/>
    </row>
    <row r="170" spans="1:12" x14ac:dyDescent="0.25">
      <c r="A170" s="469"/>
      <c r="B170" s="469"/>
      <c r="C170" s="469"/>
      <c r="D170" s="469"/>
      <c r="E170" s="469"/>
      <c r="F170" s="469"/>
      <c r="G170" s="469"/>
      <c r="H170" s="469"/>
      <c r="I170" s="469"/>
      <c r="J170" s="469"/>
      <c r="K170" s="469"/>
      <c r="L170" s="469"/>
    </row>
    <row r="171" spans="1:12" x14ac:dyDescent="0.25">
      <c r="A171" s="469"/>
      <c r="B171" s="469"/>
      <c r="C171" s="469"/>
      <c r="D171" s="469"/>
      <c r="E171" s="469"/>
      <c r="F171" s="469"/>
      <c r="G171" s="469"/>
      <c r="H171" s="469"/>
      <c r="I171" s="469"/>
      <c r="J171" s="469"/>
      <c r="K171" s="469"/>
      <c r="L171" s="469"/>
    </row>
    <row r="172" spans="1:12" x14ac:dyDescent="0.25">
      <c r="A172" s="469"/>
      <c r="B172" s="469"/>
      <c r="C172" s="469"/>
      <c r="D172" s="469"/>
      <c r="E172" s="469"/>
      <c r="F172" s="469"/>
      <c r="G172" s="469"/>
      <c r="H172" s="469"/>
      <c r="I172" s="469"/>
      <c r="J172" s="469"/>
      <c r="K172" s="469"/>
      <c r="L172" s="469"/>
    </row>
    <row r="173" spans="1:12" x14ac:dyDescent="0.25">
      <c r="A173" s="469"/>
      <c r="B173" s="469"/>
      <c r="C173" s="469"/>
      <c r="D173" s="469"/>
      <c r="E173" s="469"/>
      <c r="F173" s="469"/>
      <c r="G173" s="469"/>
      <c r="H173" s="469"/>
      <c r="I173" s="469"/>
      <c r="J173" s="469"/>
      <c r="K173" s="469"/>
      <c r="L173" s="469"/>
    </row>
    <row r="174" spans="1:12" x14ac:dyDescent="0.25">
      <c r="A174" s="469"/>
      <c r="B174" s="469"/>
      <c r="C174" s="469"/>
      <c r="D174" s="469"/>
      <c r="E174" s="469"/>
      <c r="F174" s="469"/>
      <c r="G174" s="469"/>
      <c r="H174" s="469"/>
      <c r="I174" s="469"/>
      <c r="J174" s="469"/>
      <c r="K174" s="469"/>
      <c r="L174" s="469"/>
    </row>
    <row r="175" spans="1:12" x14ac:dyDescent="0.25">
      <c r="A175" s="469"/>
      <c r="B175" s="469"/>
      <c r="C175" s="469"/>
      <c r="D175" s="469"/>
      <c r="E175" s="469"/>
      <c r="F175" s="469"/>
      <c r="G175" s="469"/>
      <c r="H175" s="469"/>
      <c r="I175" s="469"/>
      <c r="J175" s="469"/>
      <c r="K175" s="469"/>
      <c r="L175" s="469"/>
    </row>
    <row r="176" spans="1:12" x14ac:dyDescent="0.25">
      <c r="A176" s="469"/>
      <c r="B176" s="469"/>
      <c r="C176" s="469"/>
      <c r="D176" s="469"/>
      <c r="E176" s="469"/>
      <c r="F176" s="469"/>
      <c r="G176" s="469"/>
      <c r="H176" s="469"/>
      <c r="I176" s="469"/>
      <c r="J176" s="469"/>
      <c r="K176" s="469"/>
      <c r="L176" s="469"/>
    </row>
    <row r="177" spans="1:12" x14ac:dyDescent="0.25">
      <c r="A177" s="469"/>
      <c r="B177" s="469"/>
      <c r="C177" s="469"/>
      <c r="D177" s="469"/>
      <c r="E177" s="469"/>
      <c r="F177" s="469"/>
      <c r="G177" s="469"/>
      <c r="H177" s="469"/>
      <c r="I177" s="469"/>
      <c r="J177" s="469"/>
      <c r="K177" s="469"/>
      <c r="L177" s="469"/>
    </row>
    <row r="178" spans="1:12" x14ac:dyDescent="0.25">
      <c r="A178" s="469"/>
      <c r="B178" s="469"/>
      <c r="C178" s="469"/>
      <c r="D178" s="469"/>
      <c r="E178" s="469"/>
      <c r="F178" s="469"/>
      <c r="G178" s="469"/>
      <c r="H178" s="469"/>
      <c r="I178" s="469"/>
      <c r="J178" s="469"/>
      <c r="K178" s="469"/>
      <c r="L178" s="469"/>
    </row>
    <row r="179" spans="1:12" x14ac:dyDescent="0.25">
      <c r="A179" s="469"/>
      <c r="B179" s="469"/>
      <c r="C179" s="469"/>
      <c r="D179" s="469"/>
      <c r="E179" s="469"/>
      <c r="F179" s="469"/>
      <c r="G179" s="469"/>
      <c r="H179" s="469"/>
      <c r="I179" s="469"/>
      <c r="J179" s="469"/>
      <c r="K179" s="469"/>
      <c r="L179" s="469"/>
    </row>
    <row r="180" spans="1:12" x14ac:dyDescent="0.25">
      <c r="A180" s="469"/>
      <c r="B180" s="469"/>
      <c r="C180" s="469"/>
      <c r="D180" s="469"/>
      <c r="E180" s="469"/>
      <c r="F180" s="469"/>
      <c r="G180" s="469"/>
      <c r="H180" s="469"/>
      <c r="I180" s="469"/>
      <c r="J180" s="469"/>
      <c r="K180" s="469"/>
      <c r="L180" s="469"/>
    </row>
    <row r="181" spans="1:12" x14ac:dyDescent="0.25">
      <c r="A181" s="469"/>
      <c r="B181" s="469"/>
      <c r="C181" s="469"/>
      <c r="D181" s="469"/>
      <c r="E181" s="469"/>
      <c r="F181" s="469"/>
      <c r="G181" s="469"/>
      <c r="H181" s="469"/>
      <c r="I181" s="469"/>
      <c r="J181" s="469"/>
      <c r="K181" s="469"/>
      <c r="L181" s="469"/>
    </row>
    <row r="182" spans="1:12" x14ac:dyDescent="0.25">
      <c r="A182" s="469"/>
      <c r="B182" s="469"/>
      <c r="C182" s="469"/>
      <c r="D182" s="469"/>
      <c r="E182" s="469"/>
      <c r="F182" s="469"/>
      <c r="G182" s="469"/>
      <c r="H182" s="469"/>
      <c r="I182" s="469"/>
      <c r="J182" s="469"/>
      <c r="K182" s="469"/>
      <c r="L182" s="469"/>
    </row>
    <row r="183" spans="1:12" x14ac:dyDescent="0.25">
      <c r="A183" s="469"/>
      <c r="B183" s="469"/>
      <c r="C183" s="469"/>
      <c r="D183" s="469"/>
      <c r="E183" s="469"/>
      <c r="F183" s="469"/>
      <c r="G183" s="469"/>
      <c r="H183" s="469"/>
      <c r="I183" s="469"/>
      <c r="J183" s="469"/>
      <c r="K183" s="469"/>
      <c r="L183" s="469"/>
    </row>
    <row r="184" spans="1:12" x14ac:dyDescent="0.25">
      <c r="A184" s="469"/>
      <c r="B184" s="469"/>
      <c r="C184" s="469"/>
      <c r="D184" s="469"/>
      <c r="E184" s="469"/>
      <c r="F184" s="469"/>
      <c r="G184" s="469"/>
      <c r="H184" s="469"/>
      <c r="I184" s="469"/>
      <c r="J184" s="469"/>
      <c r="K184" s="469"/>
      <c r="L184" s="469"/>
    </row>
    <row r="185" spans="1:12" x14ac:dyDescent="0.25">
      <c r="A185" s="469"/>
      <c r="B185" s="469"/>
      <c r="C185" s="469"/>
      <c r="D185" s="469"/>
      <c r="E185" s="469"/>
      <c r="F185" s="469"/>
      <c r="G185" s="469"/>
      <c r="H185" s="469"/>
      <c r="I185" s="469"/>
      <c r="J185" s="469"/>
      <c r="K185" s="469"/>
      <c r="L185" s="469"/>
    </row>
    <row r="186" spans="1:12" x14ac:dyDescent="0.25">
      <c r="A186" s="469"/>
      <c r="B186" s="469"/>
      <c r="C186" s="469"/>
      <c r="D186" s="469"/>
      <c r="E186" s="469"/>
      <c r="F186" s="469"/>
      <c r="G186" s="469"/>
      <c r="H186" s="469"/>
      <c r="I186" s="469"/>
      <c r="J186" s="469"/>
      <c r="K186" s="469"/>
      <c r="L186" s="469"/>
    </row>
    <row r="187" spans="1:12" x14ac:dyDescent="0.25">
      <c r="A187" s="469"/>
      <c r="B187" s="469"/>
      <c r="C187" s="469"/>
      <c r="D187" s="469"/>
      <c r="E187" s="469"/>
      <c r="F187" s="469"/>
      <c r="G187" s="469"/>
      <c r="H187" s="469"/>
      <c r="I187" s="469"/>
      <c r="J187" s="469"/>
      <c r="K187" s="469"/>
      <c r="L187" s="469"/>
    </row>
    <row r="188" spans="1:12" x14ac:dyDescent="0.25">
      <c r="A188" s="469"/>
      <c r="B188" s="469"/>
      <c r="C188" s="469"/>
      <c r="D188" s="469"/>
      <c r="E188" s="469"/>
      <c r="F188" s="469"/>
      <c r="G188" s="469"/>
      <c r="H188" s="469"/>
      <c r="I188" s="469"/>
      <c r="J188" s="469"/>
      <c r="K188" s="469"/>
      <c r="L188" s="469"/>
    </row>
    <row r="189" spans="1:12" x14ac:dyDescent="0.25">
      <c r="A189" s="469"/>
      <c r="B189" s="469"/>
      <c r="C189" s="469"/>
      <c r="D189" s="469"/>
      <c r="E189" s="469"/>
      <c r="F189" s="469"/>
      <c r="G189" s="469"/>
      <c r="H189" s="469"/>
      <c r="I189" s="469"/>
      <c r="J189" s="469"/>
      <c r="K189" s="469"/>
      <c r="L189" s="469"/>
    </row>
    <row r="190" spans="1:12" x14ac:dyDescent="0.25">
      <c r="A190" s="469"/>
      <c r="B190" s="469"/>
      <c r="C190" s="469"/>
      <c r="D190" s="469"/>
      <c r="E190" s="469"/>
      <c r="F190" s="469"/>
      <c r="G190" s="469"/>
      <c r="H190" s="469"/>
      <c r="I190" s="469"/>
      <c r="J190" s="469"/>
      <c r="K190" s="469"/>
      <c r="L190" s="469"/>
    </row>
    <row r="191" spans="1:12" x14ac:dyDescent="0.25">
      <c r="A191" s="469"/>
      <c r="B191" s="469"/>
      <c r="C191" s="469"/>
      <c r="D191" s="469"/>
      <c r="E191" s="469"/>
      <c r="F191" s="469"/>
      <c r="G191" s="469"/>
      <c r="H191" s="469"/>
      <c r="I191" s="469"/>
      <c r="J191" s="469"/>
      <c r="K191" s="469"/>
      <c r="L191" s="469"/>
    </row>
    <row r="192" spans="1:12" x14ac:dyDescent="0.25">
      <c r="A192" s="469"/>
      <c r="B192" s="469"/>
      <c r="C192" s="469"/>
      <c r="D192" s="469"/>
      <c r="E192" s="469"/>
      <c r="F192" s="469"/>
      <c r="G192" s="469"/>
      <c r="H192" s="469"/>
      <c r="I192" s="469"/>
      <c r="J192" s="469"/>
      <c r="K192" s="469"/>
      <c r="L192" s="469"/>
    </row>
    <row r="193" spans="1:12" x14ac:dyDescent="0.25">
      <c r="A193" s="469"/>
      <c r="B193" s="469"/>
      <c r="C193" s="469"/>
      <c r="D193" s="469"/>
      <c r="E193" s="469"/>
      <c r="F193" s="469"/>
      <c r="G193" s="469"/>
      <c r="H193" s="469"/>
      <c r="I193" s="469"/>
      <c r="J193" s="469"/>
      <c r="K193" s="469"/>
      <c r="L193" s="469"/>
    </row>
    <row r="194" spans="1:12" x14ac:dyDescent="0.25">
      <c r="A194" s="469"/>
      <c r="B194" s="469"/>
      <c r="C194" s="469"/>
      <c r="D194" s="469"/>
      <c r="E194" s="469"/>
      <c r="F194" s="469"/>
      <c r="G194" s="469"/>
      <c r="H194" s="469"/>
      <c r="I194" s="469"/>
      <c r="J194" s="469"/>
      <c r="K194" s="469"/>
      <c r="L194" s="469"/>
    </row>
    <row r="195" spans="1:12" x14ac:dyDescent="0.25">
      <c r="A195" s="469"/>
      <c r="B195" s="469"/>
      <c r="C195" s="469"/>
      <c r="D195" s="469"/>
      <c r="E195" s="469"/>
      <c r="F195" s="469"/>
      <c r="G195" s="469"/>
      <c r="H195" s="469"/>
      <c r="I195" s="469"/>
      <c r="J195" s="469"/>
      <c r="K195" s="469"/>
      <c r="L195" s="469"/>
    </row>
    <row r="196" spans="1:12" x14ac:dyDescent="0.25">
      <c r="A196" s="469"/>
      <c r="B196" s="469"/>
      <c r="C196" s="469"/>
      <c r="D196" s="469"/>
      <c r="E196" s="469"/>
      <c r="F196" s="469"/>
      <c r="G196" s="469"/>
      <c r="H196" s="469"/>
      <c r="I196" s="469"/>
      <c r="J196" s="469"/>
      <c r="K196" s="469"/>
      <c r="L196" s="469"/>
    </row>
    <row r="197" spans="1:12" x14ac:dyDescent="0.25">
      <c r="A197" s="469"/>
      <c r="B197" s="469"/>
      <c r="C197" s="469"/>
      <c r="D197" s="469"/>
      <c r="E197" s="469"/>
      <c r="F197" s="469"/>
      <c r="G197" s="469"/>
      <c r="H197" s="469"/>
      <c r="I197" s="469"/>
      <c r="J197" s="469"/>
      <c r="K197" s="469"/>
      <c r="L197" s="469"/>
    </row>
    <row r="198" spans="1:12" x14ac:dyDescent="0.25">
      <c r="A198" s="469"/>
      <c r="B198" s="469"/>
      <c r="C198" s="469"/>
      <c r="D198" s="469"/>
      <c r="E198" s="469"/>
      <c r="F198" s="469"/>
      <c r="G198" s="469"/>
      <c r="H198" s="469"/>
      <c r="I198" s="469"/>
      <c r="J198" s="469"/>
      <c r="K198" s="469"/>
      <c r="L198" s="469"/>
    </row>
    <row r="199" spans="1:12" x14ac:dyDescent="0.25">
      <c r="A199" s="469"/>
      <c r="B199" s="469"/>
      <c r="C199" s="469"/>
      <c r="D199" s="469"/>
      <c r="E199" s="469"/>
      <c r="F199" s="469"/>
      <c r="G199" s="469"/>
      <c r="H199" s="469"/>
      <c r="I199" s="469"/>
      <c r="J199" s="469"/>
      <c r="K199" s="469"/>
      <c r="L199" s="469"/>
    </row>
    <row r="200" spans="1:12" x14ac:dyDescent="0.25">
      <c r="A200" s="469"/>
      <c r="B200" s="469"/>
      <c r="C200" s="469"/>
      <c r="D200" s="469"/>
      <c r="E200" s="469"/>
      <c r="F200" s="469"/>
      <c r="G200" s="469"/>
      <c r="H200" s="469"/>
      <c r="I200" s="469"/>
      <c r="J200" s="469"/>
      <c r="K200" s="469"/>
      <c r="L200" s="469"/>
    </row>
    <row r="201" spans="1:12" x14ac:dyDescent="0.25">
      <c r="A201" s="469"/>
      <c r="B201" s="469"/>
      <c r="C201" s="469"/>
      <c r="D201" s="469"/>
      <c r="E201" s="469"/>
      <c r="F201" s="469"/>
      <c r="G201" s="469"/>
      <c r="H201" s="469"/>
      <c r="I201" s="469"/>
      <c r="J201" s="469"/>
      <c r="K201" s="469"/>
      <c r="L201" s="469"/>
    </row>
    <row r="202" spans="1:12" x14ac:dyDescent="0.25">
      <c r="A202" s="469"/>
      <c r="B202" s="469"/>
      <c r="C202" s="469"/>
      <c r="D202" s="469"/>
      <c r="E202" s="469"/>
      <c r="F202" s="469"/>
      <c r="G202" s="469"/>
      <c r="H202" s="469"/>
      <c r="I202" s="469"/>
      <c r="J202" s="469"/>
      <c r="K202" s="469"/>
      <c r="L202" s="469"/>
    </row>
    <row r="203" spans="1:12" x14ac:dyDescent="0.25">
      <c r="A203" s="469"/>
      <c r="B203" s="469"/>
      <c r="C203" s="469"/>
      <c r="D203" s="469"/>
      <c r="E203" s="469"/>
      <c r="F203" s="469"/>
      <c r="G203" s="469"/>
      <c r="H203" s="469"/>
      <c r="I203" s="469"/>
      <c r="J203" s="469"/>
      <c r="K203" s="469"/>
      <c r="L203" s="469"/>
    </row>
    <row r="204" spans="1:12" x14ac:dyDescent="0.25">
      <c r="A204" s="469"/>
      <c r="B204" s="469"/>
      <c r="C204" s="469"/>
      <c r="D204" s="469"/>
      <c r="E204" s="469"/>
      <c r="F204" s="469"/>
      <c r="G204" s="469"/>
      <c r="H204" s="469"/>
      <c r="I204" s="469"/>
      <c r="J204" s="469"/>
      <c r="K204" s="469"/>
      <c r="L204" s="469"/>
    </row>
    <row r="205" spans="1:12" x14ac:dyDescent="0.25">
      <c r="A205" s="469"/>
      <c r="B205" s="469"/>
      <c r="C205" s="469"/>
      <c r="D205" s="469"/>
      <c r="E205" s="469"/>
      <c r="F205" s="469"/>
      <c r="G205" s="469"/>
      <c r="H205" s="469"/>
      <c r="I205" s="469"/>
      <c r="J205" s="469"/>
      <c r="K205" s="469"/>
      <c r="L205" s="469"/>
    </row>
    <row r="206" spans="1:12" x14ac:dyDescent="0.25">
      <c r="A206" s="469"/>
      <c r="B206" s="469"/>
      <c r="C206" s="469"/>
      <c r="D206" s="469"/>
      <c r="E206" s="469"/>
      <c r="F206" s="469"/>
      <c r="G206" s="469"/>
      <c r="H206" s="469"/>
      <c r="I206" s="469"/>
      <c r="J206" s="469"/>
      <c r="K206" s="469"/>
      <c r="L206" s="469"/>
    </row>
    <row r="207" spans="1:12" x14ac:dyDescent="0.25">
      <c r="A207" s="469"/>
      <c r="B207" s="469"/>
      <c r="C207" s="469"/>
      <c r="D207" s="469"/>
      <c r="E207" s="469"/>
      <c r="F207" s="469"/>
      <c r="G207" s="469"/>
      <c r="H207" s="469"/>
      <c r="I207" s="469"/>
      <c r="J207" s="469"/>
      <c r="K207" s="469"/>
      <c r="L207" s="469"/>
    </row>
    <row r="208" spans="1:12" x14ac:dyDescent="0.25">
      <c r="A208" s="469"/>
      <c r="B208" s="469"/>
      <c r="C208" s="469"/>
      <c r="D208" s="469"/>
      <c r="E208" s="469"/>
      <c r="F208" s="469"/>
      <c r="G208" s="469"/>
      <c r="H208" s="469"/>
      <c r="I208" s="469"/>
      <c r="J208" s="469"/>
      <c r="K208" s="469"/>
      <c r="L208" s="469"/>
    </row>
    <row r="209" spans="1:12" x14ac:dyDescent="0.25">
      <c r="A209" s="469"/>
      <c r="B209" s="469"/>
      <c r="C209" s="469"/>
      <c r="D209" s="469"/>
      <c r="E209" s="469"/>
      <c r="F209" s="469"/>
      <c r="G209" s="469"/>
      <c r="H209" s="469"/>
      <c r="I209" s="469"/>
      <c r="J209" s="469"/>
      <c r="K209" s="469"/>
      <c r="L209" s="469"/>
    </row>
    <row r="210" spans="1:12" x14ac:dyDescent="0.25">
      <c r="A210" s="469"/>
      <c r="B210" s="469"/>
      <c r="C210" s="469"/>
      <c r="D210" s="469"/>
      <c r="E210" s="469"/>
      <c r="F210" s="469"/>
      <c r="G210" s="469"/>
      <c r="H210" s="469"/>
      <c r="I210" s="469"/>
      <c r="J210" s="469"/>
      <c r="K210" s="469"/>
      <c r="L210" s="469"/>
    </row>
    <row r="211" spans="1:12" x14ac:dyDescent="0.25">
      <c r="A211" s="469"/>
      <c r="B211" s="469"/>
      <c r="C211" s="469"/>
      <c r="D211" s="469"/>
      <c r="E211" s="469"/>
      <c r="F211" s="469"/>
      <c r="G211" s="469"/>
      <c r="H211" s="469"/>
      <c r="I211" s="469"/>
      <c r="J211" s="469"/>
      <c r="K211" s="469"/>
      <c r="L211" s="469"/>
    </row>
    <row r="212" spans="1:12" x14ac:dyDescent="0.25">
      <c r="A212" s="469"/>
      <c r="B212" s="469"/>
      <c r="C212" s="469"/>
      <c r="D212" s="469"/>
      <c r="E212" s="469"/>
      <c r="F212" s="469"/>
      <c r="G212" s="469"/>
      <c r="H212" s="469"/>
      <c r="I212" s="469"/>
      <c r="J212" s="469"/>
      <c r="K212" s="469"/>
      <c r="L212" s="469"/>
    </row>
    <row r="213" spans="1:12" x14ac:dyDescent="0.25">
      <c r="A213" s="469"/>
      <c r="B213" s="469"/>
      <c r="C213" s="469"/>
      <c r="D213" s="469"/>
      <c r="E213" s="469"/>
      <c r="F213" s="469"/>
      <c r="G213" s="469"/>
      <c r="H213" s="469"/>
      <c r="I213" s="469"/>
      <c r="J213" s="469"/>
      <c r="K213" s="469"/>
      <c r="L213" s="469"/>
    </row>
    <row r="214" spans="1:12" x14ac:dyDescent="0.25">
      <c r="A214" s="469"/>
      <c r="B214" s="469"/>
      <c r="C214" s="469"/>
      <c r="D214" s="469"/>
      <c r="E214" s="469"/>
      <c r="F214" s="469"/>
      <c r="G214" s="469"/>
      <c r="H214" s="469"/>
      <c r="I214" s="469"/>
      <c r="J214" s="469"/>
      <c r="K214" s="469"/>
      <c r="L214" s="469"/>
    </row>
    <row r="215" spans="1:12" x14ac:dyDescent="0.25">
      <c r="A215" s="469"/>
      <c r="B215" s="469"/>
      <c r="C215" s="469"/>
      <c r="D215" s="469"/>
      <c r="E215" s="469"/>
      <c r="F215" s="469"/>
      <c r="G215" s="469"/>
      <c r="H215" s="469"/>
      <c r="I215" s="469"/>
      <c r="J215" s="469"/>
      <c r="K215" s="469"/>
      <c r="L215" s="469"/>
    </row>
    <row r="216" spans="1:12" x14ac:dyDescent="0.25">
      <c r="A216" s="469"/>
      <c r="B216" s="469"/>
      <c r="C216" s="469"/>
      <c r="D216" s="469"/>
      <c r="E216" s="469"/>
      <c r="F216" s="469"/>
      <c r="G216" s="469"/>
      <c r="H216" s="469"/>
      <c r="I216" s="469"/>
      <c r="J216" s="469"/>
      <c r="K216" s="469"/>
      <c r="L216" s="469"/>
    </row>
    <row r="217" spans="1:12" x14ac:dyDescent="0.25">
      <c r="A217" s="469"/>
      <c r="B217" s="469"/>
      <c r="C217" s="469"/>
      <c r="D217" s="469"/>
      <c r="E217" s="469"/>
      <c r="F217" s="469"/>
      <c r="G217" s="469"/>
      <c r="H217" s="469"/>
      <c r="I217" s="469"/>
      <c r="J217" s="469"/>
      <c r="K217" s="469"/>
      <c r="L217" s="469"/>
    </row>
    <row r="218" spans="1:12" x14ac:dyDescent="0.25">
      <c r="A218" s="469"/>
      <c r="B218" s="469"/>
      <c r="C218" s="469"/>
      <c r="D218" s="469"/>
      <c r="E218" s="469"/>
      <c r="F218" s="469"/>
      <c r="G218" s="469"/>
      <c r="H218" s="469"/>
      <c r="I218" s="469"/>
      <c r="J218" s="469"/>
      <c r="K218" s="469"/>
      <c r="L218" s="469"/>
    </row>
    <row r="219" spans="1:12" x14ac:dyDescent="0.25">
      <c r="A219" s="469"/>
      <c r="B219" s="469"/>
      <c r="C219" s="469"/>
      <c r="D219" s="469"/>
      <c r="E219" s="469"/>
      <c r="F219" s="469"/>
      <c r="G219" s="469"/>
      <c r="H219" s="469"/>
      <c r="I219" s="469"/>
      <c r="J219" s="469"/>
      <c r="K219" s="469"/>
      <c r="L219" s="469"/>
    </row>
    <row r="220" spans="1:12" x14ac:dyDescent="0.25">
      <c r="A220" s="469"/>
      <c r="B220" s="469"/>
      <c r="C220" s="469"/>
      <c r="D220" s="469"/>
      <c r="E220" s="469"/>
      <c r="F220" s="469"/>
      <c r="G220" s="469"/>
      <c r="H220" s="469"/>
      <c r="I220" s="469"/>
      <c r="J220" s="469"/>
      <c r="K220" s="469"/>
      <c r="L220" s="469"/>
    </row>
    <row r="221" spans="1:12" x14ac:dyDescent="0.25">
      <c r="A221" s="469"/>
      <c r="B221" s="469"/>
      <c r="C221" s="469"/>
      <c r="D221" s="469"/>
      <c r="E221" s="469"/>
      <c r="F221" s="469"/>
      <c r="G221" s="469"/>
      <c r="H221" s="469"/>
      <c r="I221" s="469"/>
      <c r="J221" s="469"/>
      <c r="K221" s="469"/>
      <c r="L221" s="469"/>
    </row>
    <row r="222" spans="1:12" x14ac:dyDescent="0.25">
      <c r="A222" s="469"/>
      <c r="B222" s="469"/>
      <c r="C222" s="469"/>
      <c r="D222" s="469"/>
      <c r="E222" s="469"/>
      <c r="F222" s="469"/>
      <c r="G222" s="469"/>
      <c r="H222" s="469"/>
      <c r="I222" s="469"/>
      <c r="J222" s="469"/>
      <c r="K222" s="469"/>
      <c r="L222" s="469"/>
    </row>
    <row r="223" spans="1:12" x14ac:dyDescent="0.25">
      <c r="A223" s="469"/>
      <c r="B223" s="469"/>
      <c r="C223" s="469"/>
      <c r="D223" s="469"/>
      <c r="E223" s="469"/>
      <c r="F223" s="469"/>
      <c r="G223" s="469"/>
      <c r="H223" s="469"/>
      <c r="I223" s="469"/>
      <c r="J223" s="469"/>
      <c r="K223" s="469"/>
      <c r="L223" s="469"/>
    </row>
    <row r="224" spans="1:12" x14ac:dyDescent="0.25">
      <c r="A224" s="469"/>
      <c r="B224" s="469"/>
      <c r="C224" s="469"/>
      <c r="D224" s="469"/>
      <c r="E224" s="469"/>
      <c r="F224" s="469"/>
      <c r="G224" s="469"/>
      <c r="H224" s="469"/>
      <c r="I224" s="469"/>
      <c r="J224" s="469"/>
      <c r="K224" s="469"/>
      <c r="L224" s="469"/>
    </row>
    <row r="225" spans="1:12" x14ac:dyDescent="0.25">
      <c r="A225" s="469"/>
      <c r="B225" s="469"/>
      <c r="C225" s="469"/>
      <c r="D225" s="469"/>
      <c r="E225" s="469"/>
      <c r="F225" s="469"/>
      <c r="G225" s="469"/>
      <c r="H225" s="469"/>
      <c r="I225" s="469"/>
      <c r="J225" s="469"/>
      <c r="K225" s="469"/>
      <c r="L225" s="469"/>
    </row>
    <row r="226" spans="1:12" x14ac:dyDescent="0.25">
      <c r="A226" s="469"/>
      <c r="B226" s="469"/>
      <c r="C226" s="469"/>
      <c r="D226" s="469"/>
      <c r="E226" s="469"/>
      <c r="F226" s="469"/>
      <c r="G226" s="469"/>
      <c r="H226" s="469"/>
      <c r="I226" s="469"/>
      <c r="J226" s="469"/>
      <c r="K226" s="469"/>
      <c r="L226" s="469"/>
    </row>
    <row r="227" spans="1:12" x14ac:dyDescent="0.25">
      <c r="A227" s="469"/>
      <c r="B227" s="469"/>
      <c r="C227" s="469"/>
      <c r="D227" s="469"/>
      <c r="E227" s="469"/>
      <c r="F227" s="469"/>
      <c r="G227" s="469"/>
      <c r="H227" s="469"/>
      <c r="I227" s="469"/>
      <c r="J227" s="469"/>
      <c r="K227" s="469"/>
      <c r="L227" s="469"/>
    </row>
    <row r="228" spans="1:12" x14ac:dyDescent="0.25">
      <c r="A228" s="469"/>
      <c r="B228" s="469"/>
      <c r="C228" s="469"/>
      <c r="D228" s="469"/>
      <c r="E228" s="469"/>
      <c r="F228" s="469"/>
      <c r="G228" s="469"/>
      <c r="H228" s="469"/>
      <c r="I228" s="469"/>
      <c r="J228" s="469"/>
      <c r="K228" s="469"/>
      <c r="L228" s="469"/>
    </row>
    <row r="229" spans="1:12" x14ac:dyDescent="0.25">
      <c r="A229" s="469"/>
      <c r="B229" s="469"/>
      <c r="C229" s="469"/>
      <c r="D229" s="469"/>
      <c r="E229" s="469"/>
      <c r="F229" s="469"/>
      <c r="G229" s="469"/>
      <c r="H229" s="469"/>
      <c r="I229" s="469"/>
      <c r="J229" s="469"/>
      <c r="K229" s="469"/>
      <c r="L229" s="469"/>
    </row>
    <row r="230" spans="1:12" x14ac:dyDescent="0.25">
      <c r="A230" s="469"/>
      <c r="B230" s="469"/>
      <c r="C230" s="469"/>
      <c r="D230" s="469"/>
      <c r="E230" s="469"/>
      <c r="F230" s="469"/>
      <c r="G230" s="469"/>
      <c r="H230" s="469"/>
      <c r="I230" s="469"/>
      <c r="J230" s="469"/>
      <c r="K230" s="469"/>
      <c r="L230" s="469"/>
    </row>
    <row r="231" spans="1:12" x14ac:dyDescent="0.25">
      <c r="A231" s="469"/>
      <c r="B231" s="469"/>
      <c r="C231" s="469"/>
      <c r="D231" s="469"/>
      <c r="E231" s="469"/>
      <c r="F231" s="469"/>
      <c r="G231" s="469"/>
      <c r="H231" s="469"/>
      <c r="I231" s="469"/>
      <c r="J231" s="469"/>
      <c r="K231" s="469"/>
      <c r="L231" s="469"/>
    </row>
    <row r="232" spans="1:12" x14ac:dyDescent="0.25">
      <c r="A232" s="469"/>
      <c r="B232" s="469"/>
      <c r="C232" s="469"/>
      <c r="D232" s="469"/>
      <c r="E232" s="469"/>
      <c r="F232" s="469"/>
      <c r="G232" s="469"/>
      <c r="H232" s="469"/>
      <c r="I232" s="469"/>
      <c r="J232" s="469"/>
      <c r="K232" s="469"/>
      <c r="L232" s="469"/>
    </row>
    <row r="233" spans="1:12" x14ac:dyDescent="0.25">
      <c r="A233" s="469"/>
      <c r="B233" s="469"/>
      <c r="C233" s="469"/>
      <c r="D233" s="469"/>
      <c r="E233" s="469"/>
      <c r="F233" s="469"/>
      <c r="G233" s="469"/>
      <c r="H233" s="469"/>
      <c r="I233" s="469"/>
      <c r="J233" s="469"/>
      <c r="K233" s="469"/>
      <c r="L233" s="469"/>
    </row>
    <row r="234" spans="1:12" x14ac:dyDescent="0.25">
      <c r="A234" s="469"/>
      <c r="B234" s="469"/>
      <c r="C234" s="469"/>
      <c r="D234" s="469"/>
      <c r="E234" s="469"/>
      <c r="F234" s="469"/>
      <c r="G234" s="469"/>
      <c r="H234" s="469"/>
      <c r="I234" s="469"/>
      <c r="J234" s="469"/>
      <c r="K234" s="469"/>
      <c r="L234" s="469"/>
    </row>
    <row r="235" spans="1:12" x14ac:dyDescent="0.25">
      <c r="A235" s="469"/>
      <c r="B235" s="469"/>
      <c r="C235" s="469"/>
      <c r="D235" s="469"/>
      <c r="E235" s="469"/>
      <c r="F235" s="469"/>
      <c r="G235" s="469"/>
      <c r="H235" s="469"/>
      <c r="I235" s="469"/>
      <c r="J235" s="469"/>
      <c r="K235" s="469"/>
      <c r="L235" s="469"/>
    </row>
    <row r="236" spans="1:12" x14ac:dyDescent="0.25">
      <c r="A236" s="469"/>
      <c r="B236" s="469"/>
      <c r="C236" s="469"/>
      <c r="D236" s="469"/>
      <c r="E236" s="469"/>
      <c r="F236" s="469"/>
      <c r="G236" s="469"/>
      <c r="H236" s="469"/>
      <c r="I236" s="469"/>
      <c r="J236" s="469"/>
      <c r="K236" s="469"/>
      <c r="L236" s="469"/>
    </row>
    <row r="237" spans="1:12" x14ac:dyDescent="0.25">
      <c r="A237" s="469"/>
      <c r="B237" s="469"/>
      <c r="C237" s="469"/>
      <c r="D237" s="469"/>
      <c r="E237" s="469"/>
      <c r="F237" s="469"/>
      <c r="G237" s="469"/>
      <c r="H237" s="469"/>
      <c r="I237" s="469"/>
      <c r="J237" s="469"/>
      <c r="K237" s="469"/>
      <c r="L237" s="469"/>
    </row>
    <row r="238" spans="1:12" x14ac:dyDescent="0.25">
      <c r="A238" s="469"/>
      <c r="B238" s="469"/>
      <c r="C238" s="469"/>
      <c r="D238" s="469"/>
      <c r="E238" s="469"/>
      <c r="F238" s="469"/>
      <c r="G238" s="469"/>
      <c r="H238" s="469"/>
      <c r="I238" s="469"/>
      <c r="J238" s="469"/>
      <c r="K238" s="469"/>
      <c r="L238" s="469"/>
    </row>
    <row r="239" spans="1:12" x14ac:dyDescent="0.25">
      <c r="A239" s="469"/>
      <c r="B239" s="469"/>
      <c r="C239" s="469"/>
      <c r="D239" s="469"/>
      <c r="E239" s="469"/>
      <c r="F239" s="469"/>
      <c r="G239" s="469"/>
      <c r="H239" s="469"/>
      <c r="I239" s="469"/>
      <c r="J239" s="469"/>
      <c r="K239" s="469"/>
      <c r="L239" s="469"/>
    </row>
    <row r="240" spans="1:12" x14ac:dyDescent="0.25">
      <c r="A240" s="469"/>
      <c r="B240" s="469"/>
      <c r="C240" s="469"/>
      <c r="D240" s="469"/>
      <c r="E240" s="469"/>
      <c r="F240" s="469"/>
      <c r="G240" s="469"/>
      <c r="H240" s="469"/>
      <c r="I240" s="469"/>
      <c r="J240" s="469"/>
      <c r="K240" s="469"/>
      <c r="L240" s="469"/>
    </row>
    <row r="241" spans="1:12" x14ac:dyDescent="0.25">
      <c r="A241" s="469"/>
      <c r="B241" s="469"/>
      <c r="C241" s="469"/>
      <c r="D241" s="469"/>
      <c r="E241" s="469"/>
      <c r="F241" s="469"/>
      <c r="G241" s="469"/>
      <c r="H241" s="469"/>
      <c r="I241" s="469"/>
      <c r="J241" s="469"/>
      <c r="K241" s="469"/>
      <c r="L241" s="469"/>
    </row>
    <row r="242" spans="1:12" x14ac:dyDescent="0.25">
      <c r="A242" s="469"/>
      <c r="B242" s="469"/>
      <c r="C242" s="469"/>
      <c r="D242" s="469"/>
      <c r="E242" s="469"/>
      <c r="F242" s="469"/>
      <c r="G242" s="469"/>
      <c r="H242" s="469"/>
      <c r="I242" s="469"/>
      <c r="J242" s="469"/>
      <c r="K242" s="469"/>
      <c r="L242" s="469"/>
    </row>
    <row r="243" spans="1:12" x14ac:dyDescent="0.25">
      <c r="A243" s="469"/>
      <c r="B243" s="469"/>
      <c r="C243" s="469"/>
      <c r="D243" s="469"/>
      <c r="E243" s="469"/>
      <c r="F243" s="469"/>
      <c r="G243" s="469"/>
      <c r="H243" s="469"/>
      <c r="I243" s="469"/>
      <c r="J243" s="469"/>
      <c r="K243" s="469"/>
      <c r="L243" s="469"/>
    </row>
    <row r="244" spans="1:12" x14ac:dyDescent="0.25">
      <c r="A244" s="469"/>
      <c r="B244" s="469"/>
      <c r="C244" s="469"/>
      <c r="D244" s="469"/>
      <c r="E244" s="469"/>
      <c r="F244" s="469"/>
      <c r="G244" s="469"/>
      <c r="H244" s="469"/>
      <c r="I244" s="469"/>
      <c r="J244" s="469"/>
      <c r="K244" s="469"/>
      <c r="L244" s="469"/>
    </row>
    <row r="245" spans="1:12" x14ac:dyDescent="0.25">
      <c r="A245" s="469"/>
      <c r="B245" s="469"/>
      <c r="C245" s="469"/>
      <c r="D245" s="469"/>
      <c r="E245" s="469"/>
      <c r="F245" s="469"/>
      <c r="G245" s="469"/>
      <c r="H245" s="469"/>
      <c r="I245" s="469"/>
      <c r="J245" s="469"/>
      <c r="K245" s="469"/>
      <c r="L245" s="469"/>
    </row>
    <row r="246" spans="1:12" x14ac:dyDescent="0.25">
      <c r="A246" s="469"/>
      <c r="B246" s="469"/>
      <c r="C246" s="469"/>
      <c r="D246" s="469"/>
      <c r="E246" s="469"/>
      <c r="F246" s="469"/>
      <c r="G246" s="469"/>
      <c r="H246" s="469"/>
      <c r="I246" s="469"/>
      <c r="J246" s="469"/>
      <c r="K246" s="469"/>
      <c r="L246" s="469"/>
    </row>
    <row r="247" spans="1:12" x14ac:dyDescent="0.25">
      <c r="A247" s="469"/>
      <c r="B247" s="469"/>
      <c r="C247" s="469"/>
      <c r="D247" s="469"/>
      <c r="E247" s="469"/>
      <c r="F247" s="469"/>
      <c r="G247" s="469"/>
      <c r="H247" s="469"/>
      <c r="I247" s="469"/>
      <c r="J247" s="469"/>
      <c r="K247" s="469"/>
      <c r="L247" s="469"/>
    </row>
    <row r="248" spans="1:12" x14ac:dyDescent="0.25">
      <c r="A248" s="469"/>
      <c r="B248" s="469"/>
      <c r="C248" s="469"/>
      <c r="D248" s="469"/>
      <c r="E248" s="469"/>
      <c r="F248" s="469"/>
      <c r="G248" s="469"/>
      <c r="H248" s="469"/>
      <c r="I248" s="469"/>
      <c r="J248" s="469"/>
      <c r="K248" s="469"/>
      <c r="L248" s="469"/>
    </row>
    <row r="249" spans="1:12" x14ac:dyDescent="0.25">
      <c r="A249" s="469"/>
      <c r="B249" s="469"/>
      <c r="C249" s="469"/>
      <c r="D249" s="469"/>
      <c r="E249" s="469"/>
      <c r="F249" s="469"/>
      <c r="G249" s="469"/>
      <c r="H249" s="469"/>
      <c r="I249" s="469"/>
      <c r="J249" s="469"/>
      <c r="K249" s="469"/>
      <c r="L249" s="469"/>
    </row>
    <row r="250" spans="1:12" x14ac:dyDescent="0.25">
      <c r="A250" s="469"/>
      <c r="B250" s="469"/>
      <c r="C250" s="469"/>
      <c r="D250" s="469"/>
      <c r="E250" s="469"/>
      <c r="F250" s="469"/>
      <c r="G250" s="469"/>
      <c r="H250" s="469"/>
      <c r="I250" s="469"/>
      <c r="J250" s="469"/>
      <c r="K250" s="469"/>
      <c r="L250" s="469"/>
    </row>
    <row r="251" spans="1:12" x14ac:dyDescent="0.25">
      <c r="A251" s="469"/>
      <c r="B251" s="469"/>
      <c r="C251" s="469"/>
      <c r="D251" s="469"/>
      <c r="E251" s="469"/>
      <c r="F251" s="469"/>
      <c r="G251" s="469"/>
      <c r="H251" s="469"/>
      <c r="I251" s="469"/>
      <c r="J251" s="469"/>
      <c r="K251" s="469"/>
      <c r="L251" s="469"/>
    </row>
    <row r="252" spans="1:12" x14ac:dyDescent="0.25">
      <c r="A252" s="469"/>
      <c r="B252" s="469"/>
      <c r="C252" s="469"/>
      <c r="D252" s="469"/>
      <c r="E252" s="469"/>
      <c r="F252" s="469"/>
      <c r="G252" s="469"/>
      <c r="H252" s="469"/>
      <c r="I252" s="469"/>
      <c r="J252" s="469"/>
      <c r="K252" s="469"/>
      <c r="L252" s="469"/>
    </row>
    <row r="253" spans="1:12" x14ac:dyDescent="0.25">
      <c r="A253" s="469"/>
      <c r="B253" s="469"/>
      <c r="C253" s="469"/>
      <c r="D253" s="469"/>
      <c r="E253" s="469"/>
      <c r="F253" s="469"/>
      <c r="G253" s="469"/>
      <c r="H253" s="469"/>
      <c r="I253" s="469"/>
      <c r="J253" s="469"/>
      <c r="K253" s="469"/>
      <c r="L253" s="469"/>
    </row>
    <row r="254" spans="1:12" x14ac:dyDescent="0.25">
      <c r="A254" s="469"/>
      <c r="B254" s="469"/>
      <c r="C254" s="469"/>
      <c r="D254" s="469"/>
      <c r="E254" s="469"/>
      <c r="F254" s="469"/>
      <c r="G254" s="469"/>
      <c r="H254" s="469"/>
      <c r="I254" s="469"/>
      <c r="J254" s="469"/>
      <c r="K254" s="469"/>
      <c r="L254" s="469"/>
    </row>
    <row r="255" spans="1:12" x14ac:dyDescent="0.25">
      <c r="A255" s="469"/>
      <c r="B255" s="469"/>
      <c r="C255" s="469"/>
      <c r="D255" s="469"/>
      <c r="E255" s="469"/>
      <c r="F255" s="469"/>
      <c r="G255" s="469"/>
      <c r="H255" s="469"/>
      <c r="I255" s="469"/>
      <c r="J255" s="469"/>
      <c r="K255" s="469"/>
      <c r="L255" s="469"/>
    </row>
    <row r="256" spans="1:12" x14ac:dyDescent="0.25">
      <c r="A256" s="469"/>
      <c r="B256" s="469"/>
      <c r="C256" s="469"/>
      <c r="D256" s="469"/>
      <c r="E256" s="469"/>
      <c r="F256" s="469"/>
      <c r="G256" s="469"/>
      <c r="H256" s="469"/>
      <c r="I256" s="469"/>
      <c r="J256" s="469"/>
      <c r="K256" s="469"/>
      <c r="L256" s="469"/>
    </row>
    <row r="257" spans="1:12" x14ac:dyDescent="0.25">
      <c r="A257" s="469"/>
      <c r="B257" s="469"/>
      <c r="C257" s="469"/>
      <c r="D257" s="469"/>
      <c r="E257" s="469"/>
      <c r="F257" s="469"/>
      <c r="G257" s="469"/>
      <c r="H257" s="469"/>
      <c r="I257" s="469"/>
      <c r="J257" s="469"/>
      <c r="K257" s="469"/>
      <c r="L257" s="469"/>
    </row>
    <row r="258" spans="1:12" x14ac:dyDescent="0.25">
      <c r="A258" s="469"/>
      <c r="B258" s="469"/>
      <c r="C258" s="469"/>
      <c r="D258" s="469"/>
      <c r="E258" s="469"/>
      <c r="F258" s="469"/>
      <c r="G258" s="469"/>
      <c r="H258" s="469"/>
      <c r="I258" s="469"/>
      <c r="J258" s="469"/>
      <c r="K258" s="469"/>
      <c r="L258" s="469"/>
    </row>
    <row r="259" spans="1:12" x14ac:dyDescent="0.25">
      <c r="A259" s="469"/>
      <c r="B259" s="469"/>
      <c r="C259" s="469"/>
      <c r="D259" s="469"/>
      <c r="E259" s="469"/>
      <c r="F259" s="469"/>
      <c r="G259" s="469"/>
      <c r="H259" s="469"/>
      <c r="I259" s="469"/>
      <c r="J259" s="469"/>
      <c r="K259" s="469"/>
      <c r="L259" s="469"/>
    </row>
    <row r="260" spans="1:12" x14ac:dyDescent="0.25">
      <c r="A260" s="469"/>
      <c r="B260" s="469"/>
      <c r="C260" s="469"/>
      <c r="D260" s="469"/>
      <c r="E260" s="469"/>
      <c r="F260" s="469"/>
      <c r="G260" s="469"/>
      <c r="H260" s="469"/>
      <c r="I260" s="469"/>
      <c r="J260" s="469"/>
      <c r="K260" s="469"/>
      <c r="L260" s="469"/>
    </row>
    <row r="261" spans="1:12" x14ac:dyDescent="0.25">
      <c r="A261" s="469"/>
      <c r="B261" s="469"/>
      <c r="C261" s="469"/>
      <c r="D261" s="469"/>
      <c r="E261" s="469"/>
      <c r="F261" s="469"/>
      <c r="G261" s="469"/>
      <c r="H261" s="469"/>
      <c r="I261" s="469"/>
      <c r="J261" s="469"/>
      <c r="K261" s="469"/>
      <c r="L261" s="469"/>
    </row>
    <row r="262" spans="1:12" x14ac:dyDescent="0.25">
      <c r="A262" s="469"/>
      <c r="B262" s="469"/>
      <c r="C262" s="469"/>
      <c r="D262" s="469"/>
      <c r="E262" s="469"/>
      <c r="F262" s="469"/>
      <c r="G262" s="469"/>
      <c r="H262" s="469"/>
      <c r="I262" s="469"/>
      <c r="J262" s="469"/>
      <c r="K262" s="469"/>
      <c r="L262" s="469"/>
    </row>
    <row r="263" spans="1:12" x14ac:dyDescent="0.25">
      <c r="A263" s="469"/>
      <c r="B263" s="469"/>
      <c r="C263" s="469"/>
      <c r="D263" s="469"/>
      <c r="E263" s="469"/>
      <c r="F263" s="469"/>
      <c r="G263" s="469"/>
      <c r="H263" s="469"/>
      <c r="I263" s="469"/>
      <c r="J263" s="469"/>
      <c r="K263" s="469"/>
      <c r="L263" s="469"/>
    </row>
    <row r="264" spans="1:12" x14ac:dyDescent="0.25">
      <c r="A264" s="469"/>
      <c r="B264" s="469"/>
      <c r="C264" s="469"/>
      <c r="D264" s="469"/>
      <c r="E264" s="469"/>
      <c r="F264" s="469"/>
      <c r="G264" s="469"/>
      <c r="H264" s="469"/>
      <c r="I264" s="469"/>
      <c r="J264" s="469"/>
      <c r="K264" s="469"/>
      <c r="L264" s="469"/>
    </row>
    <row r="265" spans="1:12" x14ac:dyDescent="0.25">
      <c r="A265" s="469"/>
      <c r="B265" s="469"/>
      <c r="C265" s="469"/>
      <c r="D265" s="469"/>
      <c r="E265" s="469"/>
      <c r="F265" s="469"/>
      <c r="G265" s="469"/>
      <c r="H265" s="469"/>
      <c r="I265" s="469"/>
      <c r="J265" s="469"/>
      <c r="K265" s="469"/>
      <c r="L265" s="469"/>
    </row>
    <row r="266" spans="1:12" x14ac:dyDescent="0.25">
      <c r="A266" s="469"/>
      <c r="B266" s="469"/>
      <c r="C266" s="469"/>
      <c r="D266" s="469"/>
      <c r="E266" s="469"/>
      <c r="F266" s="469"/>
      <c r="G266" s="469"/>
      <c r="H266" s="469"/>
      <c r="I266" s="469"/>
      <c r="J266" s="469"/>
      <c r="K266" s="469"/>
      <c r="L266" s="469"/>
    </row>
    <row r="267" spans="1:12" x14ac:dyDescent="0.25">
      <c r="A267" s="469"/>
      <c r="B267" s="469"/>
      <c r="C267" s="469"/>
      <c r="D267" s="469"/>
      <c r="E267" s="469"/>
      <c r="F267" s="469"/>
      <c r="G267" s="469"/>
      <c r="H267" s="469"/>
      <c r="I267" s="469"/>
      <c r="J267" s="469"/>
      <c r="K267" s="469"/>
      <c r="L267" s="469"/>
    </row>
    <row r="268" spans="1:12" x14ac:dyDescent="0.25">
      <c r="A268" s="469"/>
      <c r="B268" s="469"/>
      <c r="C268" s="469"/>
      <c r="D268" s="469"/>
      <c r="E268" s="469"/>
      <c r="F268" s="469"/>
      <c r="G268" s="469"/>
      <c r="H268" s="469"/>
      <c r="I268" s="469"/>
      <c r="J268" s="469"/>
      <c r="K268" s="469"/>
      <c r="L268" s="469"/>
    </row>
    <row r="269" spans="1:12" x14ac:dyDescent="0.25">
      <c r="A269" s="469"/>
      <c r="B269" s="469"/>
      <c r="C269" s="469"/>
      <c r="D269" s="469"/>
      <c r="E269" s="469"/>
      <c r="F269" s="469"/>
      <c r="G269" s="469"/>
      <c r="H269" s="469"/>
      <c r="I269" s="469"/>
      <c r="J269" s="469"/>
      <c r="K269" s="469"/>
      <c r="L269" s="469"/>
    </row>
    <row r="270" spans="1:12" x14ac:dyDescent="0.25">
      <c r="A270" s="469"/>
      <c r="B270" s="469"/>
      <c r="C270" s="469"/>
      <c r="D270" s="469"/>
      <c r="E270" s="469"/>
      <c r="F270" s="469"/>
      <c r="G270" s="469"/>
      <c r="H270" s="469"/>
      <c r="I270" s="469"/>
      <c r="J270" s="469"/>
      <c r="K270" s="469"/>
      <c r="L270" s="469"/>
    </row>
    <row r="271" spans="1:12" x14ac:dyDescent="0.25">
      <c r="A271" s="469"/>
      <c r="B271" s="469"/>
      <c r="C271" s="469"/>
      <c r="D271" s="469"/>
      <c r="E271" s="469"/>
      <c r="F271" s="469"/>
      <c r="G271" s="469"/>
      <c r="H271" s="469"/>
      <c r="I271" s="469"/>
      <c r="J271" s="469"/>
      <c r="K271" s="469"/>
      <c r="L271" s="469"/>
    </row>
    <row r="272" spans="1:12" x14ac:dyDescent="0.25">
      <c r="A272" s="469"/>
      <c r="B272" s="469"/>
      <c r="C272" s="469"/>
      <c r="D272" s="469"/>
      <c r="E272" s="469"/>
      <c r="F272" s="469"/>
      <c r="G272" s="469"/>
      <c r="H272" s="469"/>
      <c r="I272" s="469"/>
      <c r="J272" s="469"/>
      <c r="K272" s="469"/>
      <c r="L272" s="469"/>
    </row>
    <row r="273" spans="1:12" x14ac:dyDescent="0.25">
      <c r="A273" s="469"/>
      <c r="B273" s="469"/>
      <c r="C273" s="469"/>
      <c r="D273" s="469"/>
      <c r="E273" s="469"/>
      <c r="F273" s="469"/>
      <c r="G273" s="469"/>
      <c r="H273" s="469"/>
      <c r="I273" s="469"/>
      <c r="J273" s="469"/>
      <c r="K273" s="469"/>
      <c r="L273" s="469"/>
    </row>
    <row r="274" spans="1:12" x14ac:dyDescent="0.25">
      <c r="A274" s="469"/>
      <c r="B274" s="469"/>
      <c r="C274" s="469"/>
      <c r="D274" s="469"/>
      <c r="E274" s="469"/>
      <c r="F274" s="469"/>
      <c r="G274" s="469"/>
      <c r="H274" s="469"/>
      <c r="I274" s="469"/>
      <c r="J274" s="469"/>
      <c r="K274" s="469"/>
      <c r="L274" s="469"/>
    </row>
    <row r="275" spans="1:12" x14ac:dyDescent="0.25">
      <c r="A275" s="469"/>
      <c r="B275" s="469"/>
      <c r="C275" s="469"/>
      <c r="D275" s="469"/>
      <c r="E275" s="469"/>
      <c r="F275" s="469"/>
      <c r="G275" s="469"/>
      <c r="H275" s="469"/>
      <c r="I275" s="469"/>
      <c r="J275" s="469"/>
      <c r="K275" s="469"/>
      <c r="L275" s="469"/>
    </row>
    <row r="276" spans="1:12" x14ac:dyDescent="0.25">
      <c r="A276" s="469"/>
      <c r="B276" s="469"/>
      <c r="C276" s="469"/>
      <c r="D276" s="469"/>
      <c r="E276" s="469"/>
      <c r="F276" s="469"/>
      <c r="G276" s="469"/>
      <c r="H276" s="469"/>
      <c r="I276" s="469"/>
      <c r="J276" s="469"/>
      <c r="K276" s="469"/>
      <c r="L276" s="469"/>
    </row>
    <row r="277" spans="1:12" x14ac:dyDescent="0.25">
      <c r="A277" s="469"/>
      <c r="B277" s="469"/>
      <c r="C277" s="469"/>
      <c r="D277" s="469"/>
      <c r="E277" s="469"/>
      <c r="F277" s="469"/>
      <c r="G277" s="469"/>
      <c r="H277" s="469"/>
      <c r="I277" s="469"/>
      <c r="J277" s="469"/>
      <c r="K277" s="469"/>
      <c r="L277" s="469"/>
    </row>
    <row r="278" spans="1:12" x14ac:dyDescent="0.25">
      <c r="A278" s="469"/>
      <c r="B278" s="469"/>
      <c r="C278" s="469"/>
      <c r="D278" s="469"/>
      <c r="E278" s="469"/>
      <c r="F278" s="469"/>
      <c r="G278" s="469"/>
      <c r="H278" s="469"/>
      <c r="I278" s="469"/>
      <c r="J278" s="469"/>
      <c r="K278" s="469"/>
      <c r="L278" s="469"/>
    </row>
    <row r="279" spans="1:12" x14ac:dyDescent="0.25">
      <c r="A279" s="469"/>
      <c r="B279" s="469"/>
      <c r="C279" s="469"/>
      <c r="D279" s="469"/>
      <c r="E279" s="469"/>
      <c r="F279" s="469"/>
      <c r="G279" s="469"/>
      <c r="H279" s="469"/>
      <c r="I279" s="469"/>
      <c r="J279" s="469"/>
      <c r="K279" s="469"/>
      <c r="L279" s="469"/>
    </row>
    <row r="280" spans="1:12" x14ac:dyDescent="0.25">
      <c r="A280" s="469"/>
      <c r="B280" s="469"/>
      <c r="C280" s="469"/>
      <c r="D280" s="469"/>
      <c r="E280" s="469"/>
      <c r="F280" s="469"/>
      <c r="G280" s="469"/>
      <c r="H280" s="469"/>
      <c r="I280" s="469"/>
      <c r="J280" s="469"/>
      <c r="K280" s="469"/>
      <c r="L280" s="469"/>
    </row>
    <row r="281" spans="1:12" x14ac:dyDescent="0.25">
      <c r="A281" s="469"/>
      <c r="B281" s="469"/>
      <c r="C281" s="469"/>
      <c r="D281" s="469"/>
      <c r="E281" s="469"/>
      <c r="F281" s="469"/>
      <c r="G281" s="469"/>
      <c r="H281" s="469"/>
      <c r="I281" s="469"/>
      <c r="J281" s="469"/>
      <c r="K281" s="469"/>
      <c r="L281" s="469"/>
    </row>
    <row r="282" spans="1:12" x14ac:dyDescent="0.25">
      <c r="A282" s="469"/>
      <c r="B282" s="469"/>
      <c r="C282" s="469"/>
      <c r="D282" s="469"/>
      <c r="E282" s="469"/>
      <c r="F282" s="469"/>
      <c r="G282" s="469"/>
      <c r="H282" s="469"/>
      <c r="I282" s="469"/>
      <c r="J282" s="469"/>
      <c r="K282" s="469"/>
      <c r="L282" s="469"/>
    </row>
    <row r="283" spans="1:12" x14ac:dyDescent="0.25">
      <c r="A283" s="469"/>
      <c r="B283" s="469"/>
      <c r="C283" s="469"/>
      <c r="D283" s="469"/>
      <c r="E283" s="469"/>
      <c r="F283" s="469"/>
      <c r="G283" s="469"/>
      <c r="H283" s="469"/>
      <c r="I283" s="469"/>
      <c r="J283" s="469"/>
      <c r="K283" s="469"/>
      <c r="L283" s="469"/>
    </row>
    <row r="284" spans="1:12" x14ac:dyDescent="0.25">
      <c r="A284" s="469"/>
      <c r="B284" s="469"/>
      <c r="C284" s="469"/>
      <c r="D284" s="469"/>
      <c r="E284" s="469"/>
      <c r="F284" s="469"/>
      <c r="G284" s="469"/>
      <c r="H284" s="469"/>
      <c r="I284" s="469"/>
      <c r="J284" s="469"/>
      <c r="K284" s="469"/>
      <c r="L284" s="469"/>
    </row>
    <row r="285" spans="1:12" x14ac:dyDescent="0.25">
      <c r="A285" s="469"/>
      <c r="B285" s="469"/>
      <c r="C285" s="469"/>
      <c r="D285" s="469"/>
      <c r="E285" s="469"/>
      <c r="F285" s="469"/>
      <c r="G285" s="469"/>
      <c r="H285" s="469"/>
      <c r="I285" s="469"/>
      <c r="J285" s="469"/>
      <c r="K285" s="469"/>
      <c r="L285" s="469"/>
    </row>
    <row r="286" spans="1:12" x14ac:dyDescent="0.25">
      <c r="A286" s="469"/>
      <c r="B286" s="469"/>
      <c r="C286" s="469"/>
      <c r="D286" s="469"/>
      <c r="E286" s="469"/>
      <c r="F286" s="469"/>
      <c r="G286" s="469"/>
      <c r="H286" s="469"/>
      <c r="I286" s="469"/>
      <c r="J286" s="469"/>
      <c r="K286" s="469"/>
      <c r="L286" s="469"/>
    </row>
    <row r="287" spans="1:12" x14ac:dyDescent="0.25">
      <c r="A287" s="469"/>
      <c r="B287" s="469"/>
      <c r="C287" s="469"/>
      <c r="D287" s="469"/>
      <c r="E287" s="469"/>
      <c r="F287" s="469"/>
      <c r="G287" s="469"/>
      <c r="H287" s="469"/>
      <c r="I287" s="469"/>
      <c r="J287" s="469"/>
      <c r="K287" s="469"/>
      <c r="L287" s="469"/>
    </row>
    <row r="288" spans="1:12" x14ac:dyDescent="0.25">
      <c r="A288" s="469"/>
      <c r="B288" s="469"/>
      <c r="C288" s="469"/>
      <c r="D288" s="469"/>
      <c r="E288" s="469"/>
      <c r="F288" s="469"/>
      <c r="G288" s="469"/>
      <c r="H288" s="469"/>
      <c r="I288" s="469"/>
      <c r="J288" s="469"/>
      <c r="K288" s="469"/>
      <c r="L288" s="469"/>
    </row>
    <row r="289" spans="1:12" x14ac:dyDescent="0.25">
      <c r="A289" s="469"/>
      <c r="B289" s="469"/>
      <c r="C289" s="469"/>
      <c r="D289" s="469"/>
      <c r="E289" s="469"/>
      <c r="F289" s="469"/>
      <c r="G289" s="469"/>
      <c r="H289" s="469"/>
      <c r="I289" s="469"/>
      <c r="J289" s="469"/>
      <c r="K289" s="469"/>
      <c r="L289" s="469"/>
    </row>
    <row r="290" spans="1:12" x14ac:dyDescent="0.25">
      <c r="A290" s="469"/>
      <c r="B290" s="469"/>
      <c r="C290" s="469"/>
      <c r="D290" s="469"/>
      <c r="E290" s="469"/>
      <c r="F290" s="469"/>
      <c r="G290" s="469"/>
      <c r="H290" s="469"/>
      <c r="I290" s="469"/>
      <c r="J290" s="469"/>
      <c r="K290" s="469"/>
      <c r="L290" s="469"/>
    </row>
    <row r="291" spans="1:12" x14ac:dyDescent="0.25">
      <c r="A291" s="469"/>
      <c r="B291" s="469"/>
      <c r="C291" s="469"/>
      <c r="D291" s="469"/>
      <c r="E291" s="469"/>
      <c r="F291" s="469"/>
      <c r="G291" s="469"/>
      <c r="H291" s="469"/>
      <c r="I291" s="469"/>
      <c r="J291" s="469"/>
      <c r="K291" s="469"/>
      <c r="L291" s="469"/>
    </row>
    <row r="292" spans="1:12" x14ac:dyDescent="0.25">
      <c r="A292" s="469"/>
      <c r="B292" s="469"/>
      <c r="C292" s="469"/>
      <c r="D292" s="469"/>
      <c r="E292" s="469"/>
      <c r="F292" s="469"/>
      <c r="G292" s="469"/>
      <c r="H292" s="469"/>
      <c r="I292" s="469"/>
      <c r="J292" s="469"/>
      <c r="K292" s="469"/>
      <c r="L292" s="469"/>
    </row>
    <row r="293" spans="1:12" x14ac:dyDescent="0.25">
      <c r="A293" s="469"/>
      <c r="B293" s="469"/>
      <c r="C293" s="469"/>
      <c r="D293" s="469"/>
      <c r="E293" s="469"/>
      <c r="F293" s="469"/>
      <c r="G293" s="469"/>
      <c r="H293" s="469"/>
      <c r="I293" s="469"/>
      <c r="J293" s="469"/>
      <c r="K293" s="469"/>
      <c r="L293" s="469"/>
    </row>
    <row r="294" spans="1:12" x14ac:dyDescent="0.25">
      <c r="A294" s="469"/>
      <c r="B294" s="469"/>
      <c r="C294" s="469"/>
      <c r="D294" s="469"/>
      <c r="E294" s="469"/>
      <c r="F294" s="469"/>
      <c r="G294" s="469"/>
      <c r="H294" s="469"/>
      <c r="I294" s="469"/>
      <c r="J294" s="469"/>
      <c r="K294" s="469"/>
      <c r="L294" s="469"/>
    </row>
    <row r="295" spans="1:12" x14ac:dyDescent="0.25">
      <c r="A295" s="469"/>
      <c r="B295" s="469"/>
      <c r="C295" s="469"/>
      <c r="D295" s="469"/>
      <c r="E295" s="469"/>
      <c r="F295" s="469"/>
      <c r="G295" s="469"/>
      <c r="H295" s="469"/>
      <c r="I295" s="469"/>
      <c r="J295" s="469"/>
      <c r="K295" s="469"/>
      <c r="L295" s="469"/>
    </row>
    <row r="296" spans="1:12" x14ac:dyDescent="0.25">
      <c r="A296" s="469"/>
      <c r="B296" s="469"/>
      <c r="C296" s="469"/>
      <c r="D296" s="469"/>
      <c r="E296" s="469"/>
      <c r="F296" s="469"/>
      <c r="G296" s="469"/>
      <c r="H296" s="469"/>
      <c r="I296" s="469"/>
      <c r="J296" s="469"/>
      <c r="K296" s="469"/>
      <c r="L296" s="469"/>
    </row>
    <row r="297" spans="1:12" x14ac:dyDescent="0.25">
      <c r="A297" s="469"/>
      <c r="B297" s="469"/>
      <c r="C297" s="469"/>
      <c r="D297" s="469"/>
      <c r="E297" s="469"/>
      <c r="F297" s="469"/>
      <c r="G297" s="469"/>
      <c r="H297" s="469"/>
      <c r="I297" s="469"/>
      <c r="J297" s="469"/>
      <c r="K297" s="469"/>
      <c r="L297" s="469"/>
    </row>
    <row r="298" spans="1:12" x14ac:dyDescent="0.25">
      <c r="A298" s="469"/>
      <c r="B298" s="469"/>
      <c r="C298" s="469"/>
      <c r="D298" s="469"/>
      <c r="E298" s="469"/>
      <c r="F298" s="469"/>
      <c r="G298" s="469"/>
      <c r="H298" s="469"/>
      <c r="I298" s="469"/>
      <c r="J298" s="469"/>
      <c r="K298" s="469"/>
      <c r="L298" s="469"/>
    </row>
    <row r="299" spans="1:12" x14ac:dyDescent="0.25">
      <c r="A299" s="469"/>
      <c r="B299" s="469"/>
      <c r="C299" s="469"/>
      <c r="D299" s="469"/>
      <c r="E299" s="469"/>
      <c r="F299" s="469"/>
      <c r="G299" s="469"/>
      <c r="H299" s="469"/>
      <c r="I299" s="469"/>
      <c r="J299" s="469"/>
      <c r="K299" s="469"/>
      <c r="L299" s="469"/>
    </row>
    <row r="300" spans="1:12" x14ac:dyDescent="0.25">
      <c r="A300" s="469"/>
      <c r="B300" s="469"/>
      <c r="C300" s="469"/>
      <c r="D300" s="469"/>
      <c r="E300" s="469"/>
      <c r="F300" s="469"/>
      <c r="G300" s="469"/>
      <c r="H300" s="469"/>
      <c r="I300" s="469"/>
      <c r="J300" s="469"/>
      <c r="K300" s="469"/>
      <c r="L300" s="469"/>
    </row>
    <row r="301" spans="1:12" x14ac:dyDescent="0.25">
      <c r="A301" s="469"/>
      <c r="B301" s="469"/>
      <c r="C301" s="469"/>
      <c r="D301" s="469"/>
      <c r="E301" s="469"/>
      <c r="F301" s="469"/>
      <c r="G301" s="469"/>
      <c r="H301" s="469"/>
      <c r="I301" s="469"/>
      <c r="J301" s="469"/>
      <c r="K301" s="469"/>
      <c r="L301" s="469"/>
    </row>
    <row r="302" spans="1:12" x14ac:dyDescent="0.25">
      <c r="A302" s="469"/>
      <c r="B302" s="469"/>
      <c r="C302" s="469"/>
      <c r="D302" s="469"/>
      <c r="E302" s="469"/>
      <c r="F302" s="469"/>
      <c r="G302" s="469"/>
      <c r="H302" s="469"/>
      <c r="I302" s="469"/>
      <c r="J302" s="469"/>
      <c r="K302" s="469"/>
      <c r="L302" s="469"/>
    </row>
    <row r="303" spans="1:12" x14ac:dyDescent="0.25">
      <c r="A303" s="469"/>
      <c r="B303" s="469"/>
      <c r="C303" s="469"/>
      <c r="D303" s="469"/>
      <c r="E303" s="469"/>
      <c r="F303" s="469"/>
      <c r="G303" s="469"/>
      <c r="H303" s="469"/>
      <c r="I303" s="469"/>
      <c r="J303" s="469"/>
      <c r="K303" s="469"/>
      <c r="L303" s="469"/>
    </row>
    <row r="304" spans="1:12" x14ac:dyDescent="0.25">
      <c r="A304" s="469"/>
      <c r="B304" s="469"/>
      <c r="C304" s="469"/>
      <c r="D304" s="469"/>
      <c r="E304" s="469"/>
      <c r="F304" s="469"/>
      <c r="G304" s="469"/>
      <c r="H304" s="469"/>
      <c r="I304" s="469"/>
      <c r="J304" s="469"/>
      <c r="K304" s="469"/>
      <c r="L304" s="469"/>
    </row>
    <row r="305" spans="1:12" x14ac:dyDescent="0.25">
      <c r="A305" s="469"/>
      <c r="B305" s="469"/>
      <c r="C305" s="469"/>
      <c r="D305" s="469"/>
      <c r="E305" s="469"/>
      <c r="F305" s="469"/>
      <c r="G305" s="469"/>
      <c r="H305" s="469"/>
      <c r="I305" s="469"/>
      <c r="J305" s="469"/>
      <c r="K305" s="469"/>
      <c r="L305" s="469"/>
    </row>
    <row r="306" spans="1:12" x14ac:dyDescent="0.25">
      <c r="A306" s="469"/>
      <c r="B306" s="469"/>
      <c r="C306" s="469"/>
      <c r="D306" s="469"/>
      <c r="E306" s="469"/>
      <c r="F306" s="469"/>
      <c r="G306" s="469"/>
      <c r="H306" s="469"/>
      <c r="I306" s="469"/>
      <c r="J306" s="469"/>
      <c r="K306" s="469"/>
      <c r="L306" s="469"/>
    </row>
    <row r="307" spans="1:12" x14ac:dyDescent="0.25">
      <c r="A307" s="469"/>
      <c r="B307" s="469"/>
      <c r="C307" s="469"/>
      <c r="D307" s="469"/>
      <c r="E307" s="469"/>
      <c r="F307" s="469"/>
      <c r="G307" s="469"/>
      <c r="H307" s="469"/>
      <c r="I307" s="469"/>
      <c r="J307" s="469"/>
      <c r="K307" s="469"/>
      <c r="L307" s="469"/>
    </row>
    <row r="308" spans="1:12" x14ac:dyDescent="0.25">
      <c r="A308" s="469"/>
      <c r="B308" s="469"/>
      <c r="C308" s="469"/>
      <c r="D308" s="469"/>
      <c r="E308" s="469"/>
      <c r="F308" s="469"/>
      <c r="G308" s="469"/>
      <c r="H308" s="469"/>
      <c r="I308" s="469"/>
      <c r="J308" s="469"/>
      <c r="K308" s="469"/>
      <c r="L308" s="469"/>
    </row>
    <row r="309" spans="1:12" x14ac:dyDescent="0.25">
      <c r="A309" s="469"/>
      <c r="B309" s="469"/>
      <c r="C309" s="469"/>
      <c r="D309" s="469"/>
      <c r="E309" s="469"/>
      <c r="F309" s="469"/>
      <c r="G309" s="469"/>
      <c r="H309" s="469"/>
      <c r="I309" s="469"/>
      <c r="J309" s="469"/>
      <c r="K309" s="469"/>
      <c r="L309" s="469"/>
    </row>
    <row r="310" spans="1:12" x14ac:dyDescent="0.25">
      <c r="A310" s="469"/>
      <c r="B310" s="469"/>
      <c r="C310" s="469"/>
      <c r="D310" s="469"/>
      <c r="E310" s="469"/>
      <c r="F310" s="469"/>
      <c r="G310" s="469"/>
      <c r="H310" s="469"/>
      <c r="I310" s="469"/>
      <c r="J310" s="469"/>
      <c r="K310" s="469"/>
      <c r="L310" s="469"/>
    </row>
    <row r="311" spans="1:12" x14ac:dyDescent="0.25">
      <c r="A311" s="469"/>
      <c r="B311" s="469"/>
      <c r="C311" s="469"/>
      <c r="D311" s="469"/>
      <c r="E311" s="469"/>
      <c r="F311" s="469"/>
      <c r="G311" s="469"/>
      <c r="H311" s="469"/>
      <c r="I311" s="469"/>
      <c r="J311" s="469"/>
      <c r="K311" s="469"/>
      <c r="L311" s="469"/>
    </row>
    <row r="312" spans="1:12" x14ac:dyDescent="0.25">
      <c r="A312" s="469"/>
      <c r="B312" s="469"/>
      <c r="C312" s="469"/>
      <c r="D312" s="469"/>
      <c r="E312" s="469"/>
      <c r="F312" s="469"/>
      <c r="G312" s="469"/>
      <c r="H312" s="469"/>
      <c r="I312" s="469"/>
      <c r="J312" s="469"/>
      <c r="K312" s="469"/>
      <c r="L312" s="469"/>
    </row>
    <row r="313" spans="1:12" x14ac:dyDescent="0.25">
      <c r="A313" s="469"/>
      <c r="B313" s="469"/>
      <c r="C313" s="469"/>
      <c r="D313" s="469"/>
      <c r="E313" s="469"/>
      <c r="F313" s="469"/>
      <c r="G313" s="469"/>
      <c r="H313" s="469"/>
      <c r="I313" s="469"/>
      <c r="J313" s="469"/>
      <c r="K313" s="469"/>
      <c r="L313" s="469"/>
    </row>
    <row r="314" spans="1:12" x14ac:dyDescent="0.25">
      <c r="A314" s="469"/>
      <c r="B314" s="469"/>
      <c r="C314" s="469"/>
      <c r="D314" s="469"/>
      <c r="E314" s="469"/>
      <c r="F314" s="469"/>
      <c r="G314" s="469"/>
      <c r="H314" s="469"/>
      <c r="I314" s="469"/>
      <c r="J314" s="469"/>
      <c r="K314" s="469"/>
      <c r="L314" s="469"/>
    </row>
    <row r="315" spans="1:12" x14ac:dyDescent="0.25">
      <c r="A315" s="469"/>
      <c r="B315" s="469"/>
      <c r="C315" s="469"/>
      <c r="D315" s="469"/>
      <c r="E315" s="469"/>
      <c r="F315" s="469"/>
      <c r="G315" s="469"/>
      <c r="H315" s="469"/>
      <c r="I315" s="469"/>
      <c r="J315" s="469"/>
      <c r="K315" s="469"/>
      <c r="L315" s="469"/>
    </row>
    <row r="316" spans="1:12" x14ac:dyDescent="0.25">
      <c r="A316" s="469"/>
      <c r="B316" s="469"/>
      <c r="C316" s="469"/>
      <c r="D316" s="469"/>
      <c r="E316" s="469"/>
      <c r="F316" s="469"/>
      <c r="G316" s="469"/>
      <c r="H316" s="469"/>
      <c r="I316" s="469"/>
      <c r="J316" s="469"/>
      <c r="K316" s="469"/>
      <c r="L316" s="469"/>
    </row>
    <row r="317" spans="1:12" x14ac:dyDescent="0.25">
      <c r="A317" s="469"/>
      <c r="B317" s="469"/>
      <c r="C317" s="469"/>
      <c r="D317" s="469"/>
      <c r="E317" s="469"/>
      <c r="F317" s="469"/>
      <c r="G317" s="469"/>
      <c r="H317" s="469"/>
      <c r="I317" s="469"/>
      <c r="J317" s="469"/>
      <c r="K317" s="469"/>
      <c r="L317" s="469"/>
    </row>
    <row r="318" spans="1:12" x14ac:dyDescent="0.25">
      <c r="A318" s="469"/>
      <c r="B318" s="469"/>
      <c r="C318" s="469"/>
      <c r="D318" s="469"/>
      <c r="E318" s="469"/>
      <c r="F318" s="469"/>
      <c r="G318" s="469"/>
      <c r="H318" s="469"/>
      <c r="I318" s="469"/>
      <c r="J318" s="469"/>
      <c r="K318" s="469"/>
      <c r="L318" s="469"/>
    </row>
    <row r="319" spans="1:12" x14ac:dyDescent="0.25">
      <c r="A319" s="469"/>
      <c r="B319" s="469"/>
      <c r="C319" s="469"/>
      <c r="D319" s="469"/>
      <c r="E319" s="469"/>
      <c r="F319" s="469"/>
      <c r="G319" s="469"/>
      <c r="H319" s="469"/>
      <c r="I319" s="469"/>
      <c r="J319" s="469"/>
      <c r="K319" s="469"/>
      <c r="L319" s="469"/>
    </row>
    <row r="320" spans="1:12" x14ac:dyDescent="0.25">
      <c r="A320" s="469"/>
      <c r="B320" s="469"/>
      <c r="C320" s="469"/>
      <c r="D320" s="469"/>
      <c r="E320" s="469"/>
      <c r="F320" s="469"/>
      <c r="G320" s="469"/>
      <c r="H320" s="469"/>
      <c r="I320" s="469"/>
      <c r="J320" s="469"/>
      <c r="K320" s="469"/>
      <c r="L320" s="469"/>
    </row>
    <row r="321" spans="1:12" x14ac:dyDescent="0.25">
      <c r="A321" s="469"/>
      <c r="B321" s="469"/>
      <c r="C321" s="469"/>
      <c r="D321" s="469"/>
      <c r="E321" s="469"/>
      <c r="F321" s="469"/>
      <c r="G321" s="469"/>
      <c r="H321" s="469"/>
      <c r="I321" s="469"/>
      <c r="J321" s="469"/>
      <c r="K321" s="469"/>
      <c r="L321" s="469"/>
    </row>
    <row r="322" spans="1:12" x14ac:dyDescent="0.25">
      <c r="A322" s="469"/>
      <c r="B322" s="469"/>
      <c r="C322" s="469"/>
      <c r="D322" s="469"/>
      <c r="E322" s="469"/>
      <c r="F322" s="469"/>
      <c r="G322" s="469"/>
      <c r="H322" s="469"/>
      <c r="I322" s="469"/>
      <c r="J322" s="469"/>
      <c r="K322" s="469"/>
      <c r="L322" s="469"/>
    </row>
    <row r="323" spans="1:12" x14ac:dyDescent="0.25">
      <c r="A323" s="469"/>
      <c r="B323" s="469"/>
      <c r="C323" s="469"/>
      <c r="D323" s="469"/>
      <c r="E323" s="469"/>
      <c r="F323" s="469"/>
      <c r="G323" s="469"/>
      <c r="H323" s="469"/>
      <c r="I323" s="469"/>
      <c r="J323" s="469"/>
      <c r="K323" s="469"/>
      <c r="L323" s="469"/>
    </row>
    <row r="324" spans="1:12" x14ac:dyDescent="0.25">
      <c r="A324" s="469"/>
      <c r="B324" s="469"/>
      <c r="C324" s="469"/>
      <c r="D324" s="469"/>
      <c r="E324" s="469"/>
      <c r="F324" s="469"/>
      <c r="G324" s="469"/>
      <c r="H324" s="469"/>
      <c r="I324" s="469"/>
      <c r="J324" s="469"/>
      <c r="K324" s="469"/>
      <c r="L324" s="469"/>
    </row>
    <row r="325" spans="1:12" x14ac:dyDescent="0.25">
      <c r="A325" s="469"/>
      <c r="B325" s="469"/>
      <c r="C325" s="469"/>
      <c r="D325" s="469"/>
      <c r="E325" s="469"/>
      <c r="F325" s="469"/>
      <c r="G325" s="469"/>
      <c r="H325" s="469"/>
      <c r="I325" s="469"/>
      <c r="J325" s="469"/>
      <c r="K325" s="469"/>
      <c r="L325" s="469"/>
    </row>
    <row r="326" spans="1:12" x14ac:dyDescent="0.25">
      <c r="A326" s="469"/>
      <c r="B326" s="469"/>
      <c r="C326" s="469"/>
      <c r="D326" s="469"/>
      <c r="E326" s="469"/>
      <c r="F326" s="469"/>
      <c r="G326" s="469"/>
      <c r="H326" s="469"/>
      <c r="I326" s="469"/>
      <c r="J326" s="469"/>
      <c r="K326" s="469"/>
      <c r="L326" s="469"/>
    </row>
    <row r="327" spans="1:12" x14ac:dyDescent="0.25">
      <c r="A327" s="469"/>
      <c r="B327" s="469"/>
      <c r="C327" s="469"/>
      <c r="D327" s="469"/>
      <c r="E327" s="469"/>
      <c r="F327" s="469"/>
      <c r="G327" s="469"/>
      <c r="H327" s="469"/>
      <c r="I327" s="469"/>
      <c r="J327" s="469"/>
      <c r="K327" s="469"/>
      <c r="L327" s="469"/>
    </row>
    <row r="328" spans="1:12" x14ac:dyDescent="0.25">
      <c r="A328" s="469"/>
      <c r="B328" s="469"/>
      <c r="C328" s="469"/>
      <c r="D328" s="469"/>
      <c r="E328" s="469"/>
      <c r="F328" s="469"/>
      <c r="G328" s="469"/>
      <c r="H328" s="469"/>
      <c r="I328" s="469"/>
      <c r="J328" s="469"/>
      <c r="K328" s="469"/>
      <c r="L328" s="469"/>
    </row>
    <row r="329" spans="1:12" x14ac:dyDescent="0.25">
      <c r="A329" s="469"/>
      <c r="B329" s="469"/>
      <c r="C329" s="469"/>
      <c r="D329" s="469"/>
      <c r="E329" s="469"/>
      <c r="F329" s="469"/>
      <c r="G329" s="469"/>
      <c r="H329" s="469"/>
      <c r="I329" s="469"/>
      <c r="J329" s="469"/>
      <c r="K329" s="469"/>
      <c r="L329" s="469"/>
    </row>
    <row r="330" spans="1:12" x14ac:dyDescent="0.25">
      <c r="A330" s="469"/>
      <c r="B330" s="469"/>
      <c r="C330" s="469"/>
      <c r="D330" s="469"/>
      <c r="E330" s="469"/>
      <c r="F330" s="469"/>
      <c r="G330" s="469"/>
      <c r="H330" s="469"/>
      <c r="I330" s="469"/>
      <c r="J330" s="469"/>
      <c r="K330" s="469"/>
      <c r="L330" s="469"/>
    </row>
    <row r="331" spans="1:12" x14ac:dyDescent="0.25">
      <c r="A331" s="469"/>
      <c r="B331" s="469"/>
      <c r="C331" s="469"/>
      <c r="D331" s="469"/>
      <c r="E331" s="469"/>
      <c r="F331" s="469"/>
      <c r="G331" s="469"/>
      <c r="H331" s="469"/>
      <c r="I331" s="469"/>
      <c r="J331" s="469"/>
      <c r="K331" s="469"/>
      <c r="L331" s="469"/>
    </row>
    <row r="332" spans="1:12" x14ac:dyDescent="0.25">
      <c r="A332" s="469"/>
      <c r="B332" s="469"/>
      <c r="C332" s="469"/>
      <c r="D332" s="469"/>
      <c r="E332" s="469"/>
      <c r="F332" s="469"/>
      <c r="G332" s="469"/>
      <c r="H332" s="469"/>
      <c r="I332" s="469"/>
      <c r="J332" s="469"/>
      <c r="K332" s="469"/>
      <c r="L332" s="469"/>
    </row>
    <row r="333" spans="1:12" x14ac:dyDescent="0.25">
      <c r="A333" s="469"/>
      <c r="B333" s="469"/>
      <c r="C333" s="469"/>
      <c r="D333" s="469"/>
      <c r="E333" s="469"/>
      <c r="F333" s="469"/>
      <c r="G333" s="469"/>
      <c r="H333" s="469"/>
      <c r="I333" s="469"/>
      <c r="J333" s="469"/>
      <c r="K333" s="469"/>
      <c r="L333" s="469"/>
    </row>
    <row r="334" spans="1:12" x14ac:dyDescent="0.25">
      <c r="A334" s="469"/>
      <c r="B334" s="469"/>
      <c r="C334" s="469"/>
      <c r="D334" s="469"/>
      <c r="E334" s="469"/>
      <c r="F334" s="469"/>
      <c r="G334" s="469"/>
      <c r="H334" s="469"/>
      <c r="I334" s="469"/>
      <c r="J334" s="469"/>
      <c r="K334" s="469"/>
      <c r="L334" s="469"/>
    </row>
    <row r="335" spans="1:12" x14ac:dyDescent="0.25">
      <c r="A335" s="469"/>
      <c r="B335" s="469"/>
      <c r="C335" s="469"/>
      <c r="D335" s="469"/>
      <c r="E335" s="469"/>
      <c r="F335" s="469"/>
      <c r="G335" s="469"/>
      <c r="H335" s="469"/>
      <c r="I335" s="469"/>
      <c r="J335" s="469"/>
      <c r="K335" s="469"/>
      <c r="L335" s="469"/>
    </row>
    <row r="336" spans="1:12" x14ac:dyDescent="0.25">
      <c r="A336" s="469"/>
      <c r="B336" s="469"/>
      <c r="C336" s="469"/>
      <c r="D336" s="469"/>
      <c r="E336" s="469"/>
      <c r="F336" s="469"/>
      <c r="G336" s="469"/>
      <c r="H336" s="469"/>
      <c r="I336" s="469"/>
      <c r="J336" s="469"/>
      <c r="K336" s="469"/>
      <c r="L336" s="469"/>
    </row>
    <row r="337" spans="1:12" x14ac:dyDescent="0.25">
      <c r="A337" s="469"/>
      <c r="B337" s="469"/>
      <c r="C337" s="469"/>
      <c r="D337" s="469"/>
      <c r="E337" s="469"/>
      <c r="F337" s="469"/>
      <c r="G337" s="469"/>
      <c r="H337" s="469"/>
      <c r="I337" s="469"/>
      <c r="J337" s="469"/>
      <c r="K337" s="469"/>
      <c r="L337" s="469"/>
    </row>
    <row r="338" spans="1:12" x14ac:dyDescent="0.25">
      <c r="A338" s="469"/>
      <c r="B338" s="469"/>
      <c r="C338" s="469"/>
      <c r="D338" s="469"/>
      <c r="E338" s="469"/>
      <c r="F338" s="469"/>
      <c r="G338" s="469"/>
      <c r="H338" s="469"/>
      <c r="I338" s="469"/>
      <c r="J338" s="469"/>
      <c r="K338" s="469"/>
      <c r="L338" s="469"/>
    </row>
    <row r="339" spans="1:12" x14ac:dyDescent="0.25">
      <c r="A339" s="469"/>
      <c r="B339" s="469"/>
      <c r="C339" s="469"/>
      <c r="D339" s="469"/>
      <c r="E339" s="469"/>
      <c r="F339" s="469"/>
      <c r="G339" s="469"/>
      <c r="H339" s="469"/>
      <c r="I339" s="469"/>
      <c r="J339" s="469"/>
      <c r="K339" s="469"/>
      <c r="L339" s="469"/>
    </row>
    <row r="340" spans="1:12" x14ac:dyDescent="0.25">
      <c r="A340" s="469"/>
      <c r="B340" s="469"/>
      <c r="C340" s="469"/>
      <c r="D340" s="469"/>
      <c r="E340" s="469"/>
      <c r="F340" s="469"/>
      <c r="G340" s="469"/>
      <c r="H340" s="469"/>
      <c r="I340" s="469"/>
      <c r="J340" s="469"/>
      <c r="K340" s="469"/>
      <c r="L340" s="469"/>
    </row>
    <row r="341" spans="1:12" x14ac:dyDescent="0.25">
      <c r="A341" s="469"/>
      <c r="B341" s="469"/>
      <c r="C341" s="469"/>
      <c r="D341" s="469"/>
      <c r="E341" s="469"/>
      <c r="F341" s="469"/>
      <c r="G341" s="469"/>
      <c r="H341" s="469"/>
      <c r="I341" s="469"/>
      <c r="J341" s="469"/>
      <c r="K341" s="469"/>
      <c r="L341" s="469"/>
    </row>
    <row r="342" spans="1:12" x14ac:dyDescent="0.25">
      <c r="A342" s="469"/>
      <c r="B342" s="469"/>
      <c r="C342" s="469"/>
      <c r="D342" s="469"/>
      <c r="E342" s="469"/>
      <c r="F342" s="469"/>
      <c r="G342" s="469"/>
      <c r="H342" s="469"/>
      <c r="I342" s="469"/>
      <c r="J342" s="469"/>
      <c r="K342" s="469"/>
      <c r="L342" s="469"/>
    </row>
    <row r="343" spans="1:12" x14ac:dyDescent="0.25">
      <c r="A343" s="469"/>
      <c r="B343" s="469"/>
      <c r="C343" s="469"/>
      <c r="D343" s="469"/>
      <c r="E343" s="469"/>
      <c r="F343" s="469"/>
      <c r="G343" s="469"/>
      <c r="H343" s="469"/>
      <c r="I343" s="469"/>
      <c r="J343" s="469"/>
      <c r="K343" s="469"/>
      <c r="L343" s="469"/>
    </row>
    <row r="344" spans="1:12" x14ac:dyDescent="0.25">
      <c r="A344" s="469"/>
      <c r="B344" s="469"/>
      <c r="C344" s="469"/>
      <c r="D344" s="469"/>
      <c r="E344" s="469"/>
      <c r="F344" s="469"/>
      <c r="G344" s="469"/>
      <c r="H344" s="469"/>
      <c r="I344" s="469"/>
      <c r="J344" s="469"/>
      <c r="K344" s="469"/>
      <c r="L344" s="469"/>
    </row>
    <row r="345" spans="1:12" x14ac:dyDescent="0.25">
      <c r="A345" s="469"/>
      <c r="B345" s="469"/>
      <c r="C345" s="469"/>
      <c r="D345" s="469"/>
      <c r="E345" s="469"/>
      <c r="F345" s="469"/>
      <c r="G345" s="469"/>
      <c r="H345" s="469"/>
      <c r="I345" s="469"/>
      <c r="J345" s="469"/>
      <c r="K345" s="469"/>
      <c r="L345" s="469"/>
    </row>
    <row r="346" spans="1:12" x14ac:dyDescent="0.25">
      <c r="A346" s="469"/>
      <c r="B346" s="469"/>
      <c r="C346" s="469"/>
      <c r="D346" s="469"/>
      <c r="E346" s="469"/>
      <c r="F346" s="469"/>
      <c r="G346" s="469"/>
      <c r="H346" s="469"/>
      <c r="I346" s="469"/>
      <c r="J346" s="469"/>
      <c r="K346" s="469"/>
      <c r="L346" s="469"/>
    </row>
    <row r="347" spans="1:12" x14ac:dyDescent="0.25">
      <c r="A347" s="469"/>
      <c r="B347" s="469"/>
      <c r="C347" s="469"/>
      <c r="D347" s="469"/>
      <c r="E347" s="469"/>
      <c r="F347" s="469"/>
      <c r="G347" s="469"/>
      <c r="H347" s="469"/>
      <c r="I347" s="469"/>
      <c r="J347" s="469"/>
      <c r="K347" s="469"/>
      <c r="L347" s="469"/>
    </row>
    <row r="348" spans="1:12" x14ac:dyDescent="0.25">
      <c r="A348" s="469"/>
      <c r="B348" s="469"/>
      <c r="C348" s="469"/>
      <c r="D348" s="469"/>
      <c r="E348" s="469"/>
      <c r="F348" s="469"/>
      <c r="G348" s="469"/>
      <c r="H348" s="469"/>
      <c r="I348" s="469"/>
      <c r="J348" s="469"/>
      <c r="K348" s="469"/>
      <c r="L348" s="469"/>
    </row>
    <row r="349" spans="1:12" x14ac:dyDescent="0.25">
      <c r="A349" s="469"/>
      <c r="B349" s="469"/>
      <c r="C349" s="469"/>
      <c r="D349" s="469"/>
      <c r="E349" s="469"/>
      <c r="F349" s="469"/>
      <c r="G349" s="469"/>
      <c r="H349" s="469"/>
      <c r="I349" s="469"/>
      <c r="J349" s="469"/>
      <c r="K349" s="469"/>
      <c r="L349" s="469"/>
    </row>
    <row r="350" spans="1:12" x14ac:dyDescent="0.25">
      <c r="A350" s="469"/>
      <c r="B350" s="469"/>
      <c r="C350" s="469"/>
      <c r="D350" s="469"/>
      <c r="E350" s="469"/>
      <c r="F350" s="469"/>
      <c r="G350" s="469"/>
      <c r="H350" s="469"/>
      <c r="I350" s="469"/>
      <c r="J350" s="469"/>
      <c r="K350" s="469"/>
      <c r="L350" s="469"/>
    </row>
    <row r="351" spans="1:12" x14ac:dyDescent="0.25">
      <c r="A351" s="469"/>
      <c r="B351" s="469"/>
      <c r="C351" s="469"/>
      <c r="D351" s="469"/>
      <c r="E351" s="469"/>
      <c r="F351" s="469"/>
      <c r="G351" s="469"/>
      <c r="H351" s="469"/>
      <c r="I351" s="469"/>
      <c r="J351" s="469"/>
      <c r="K351" s="469"/>
      <c r="L351" s="469"/>
    </row>
    <row r="352" spans="1:12" x14ac:dyDescent="0.25">
      <c r="A352" s="469"/>
      <c r="B352" s="469"/>
      <c r="C352" s="469"/>
      <c r="D352" s="469"/>
      <c r="E352" s="469"/>
      <c r="F352" s="469"/>
      <c r="G352" s="469"/>
      <c r="H352" s="469"/>
      <c r="I352" s="469"/>
      <c r="J352" s="469"/>
      <c r="K352" s="469"/>
      <c r="L352" s="469"/>
    </row>
    <row r="353" spans="1:12" x14ac:dyDescent="0.25">
      <c r="A353" s="469"/>
      <c r="B353" s="469"/>
      <c r="C353" s="469"/>
      <c r="D353" s="469"/>
      <c r="E353" s="469"/>
      <c r="F353" s="469"/>
      <c r="G353" s="469"/>
      <c r="H353" s="469"/>
      <c r="I353" s="469"/>
      <c r="J353" s="469"/>
      <c r="K353" s="469"/>
      <c r="L353" s="469"/>
    </row>
    <row r="354" spans="1:12" x14ac:dyDescent="0.25">
      <c r="A354" s="469"/>
      <c r="B354" s="469"/>
      <c r="C354" s="469"/>
      <c r="D354" s="469"/>
      <c r="E354" s="469"/>
      <c r="F354" s="469"/>
      <c r="G354" s="469"/>
      <c r="H354" s="469"/>
      <c r="I354" s="469"/>
      <c r="J354" s="469"/>
      <c r="K354" s="469"/>
      <c r="L354" s="469"/>
    </row>
  </sheetData>
  <sheetProtection sheet="1" objects="1" scenarios="1"/>
  <mergeCells count="55">
    <mergeCell ref="B6:K6"/>
    <mergeCell ref="B7:K7"/>
    <mergeCell ref="B8:K8"/>
    <mergeCell ref="B10:K10"/>
    <mergeCell ref="B12:K12"/>
    <mergeCell ref="C25:D25"/>
    <mergeCell ref="F23:G23"/>
    <mergeCell ref="B57:K57"/>
    <mergeCell ref="B35:K35"/>
    <mergeCell ref="I51:K51"/>
    <mergeCell ref="B52:K52"/>
    <mergeCell ref="B53:K53"/>
    <mergeCell ref="B55:K55"/>
    <mergeCell ref="B30:K30"/>
    <mergeCell ref="B31:K31"/>
    <mergeCell ref="B33:K33"/>
    <mergeCell ref="C41:D41"/>
    <mergeCell ref="B48:C48"/>
    <mergeCell ref="G50:H50"/>
    <mergeCell ref="B130:K130"/>
    <mergeCell ref="C133:D133"/>
    <mergeCell ref="H133:I133"/>
    <mergeCell ref="C134:D134"/>
    <mergeCell ref="C120:D120"/>
    <mergeCell ref="C123:D123"/>
    <mergeCell ref="B128:K128"/>
    <mergeCell ref="B58:K58"/>
    <mergeCell ref="C74:D74"/>
    <mergeCell ref="C77:D77"/>
    <mergeCell ref="C80:D80"/>
    <mergeCell ref="B90:K90"/>
    <mergeCell ref="C94:D94"/>
    <mergeCell ref="C83:D83"/>
    <mergeCell ref="B85:K85"/>
    <mergeCell ref="B86:K86"/>
    <mergeCell ref="B88:K88"/>
    <mergeCell ref="C97:D97"/>
    <mergeCell ref="B105:K105"/>
    <mergeCell ref="B106:K106"/>
    <mergeCell ref="B108:K108"/>
    <mergeCell ref="C100:D100"/>
    <mergeCell ref="C103:D103"/>
    <mergeCell ref="B110:K110"/>
    <mergeCell ref="C114:D114"/>
    <mergeCell ref="C117:D117"/>
    <mergeCell ref="B125:K125"/>
    <mergeCell ref="B126:K126"/>
    <mergeCell ref="C148:D148"/>
    <mergeCell ref="J148:K148"/>
    <mergeCell ref="H134:I134"/>
    <mergeCell ref="C136:D136"/>
    <mergeCell ref="C137:D137"/>
    <mergeCell ref="B144:K144"/>
    <mergeCell ref="C147:D147"/>
    <mergeCell ref="J147:K147"/>
  </mergeCells>
  <pageMargins left="0.7" right="0.7" top="0.75" bottom="0.75" header="0.3" footer="0.3"/>
  <pageSetup scale="69" orientation="portrait" blackAndWhite="1" r:id="rId1"/>
  <rowBreaks count="2" manualBreakCount="2">
    <brk id="32" min="1" max="10" man="1"/>
    <brk id="89" min="1" max="1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 sqref="A4"/>
    </sheetView>
  </sheetViews>
  <sheetFormatPr defaultRowHeight="15" x14ac:dyDescent="0.25"/>
  <cols>
    <col min="1" max="1" width="71.25" customWidth="1"/>
  </cols>
  <sheetData>
    <row r="1" spans="1:1" ht="16.8" x14ac:dyDescent="0.3">
      <c r="A1" s="498" t="s">
        <v>679</v>
      </c>
    </row>
    <row r="3" spans="1:1" ht="31.2" x14ac:dyDescent="0.3">
      <c r="A3" s="2" t="s">
        <v>680</v>
      </c>
    </row>
    <row r="4" spans="1:1" ht="15.6" x14ac:dyDescent="0.3">
      <c r="A4" s="506" t="s">
        <v>681</v>
      </c>
    </row>
    <row r="7" spans="1:1" ht="31.2" x14ac:dyDescent="0.3">
      <c r="A7" s="2" t="s">
        <v>682</v>
      </c>
    </row>
    <row r="8" spans="1:1" ht="15.6" x14ac:dyDescent="0.3">
      <c r="A8" s="506" t="s">
        <v>683</v>
      </c>
    </row>
    <row r="11" spans="1:1" ht="15.6" x14ac:dyDescent="0.3">
      <c r="A11" s="1" t="s">
        <v>684</v>
      </c>
    </row>
    <row r="12" spans="1:1" ht="15.6" x14ac:dyDescent="0.3">
      <c r="A12" s="506" t="s">
        <v>685</v>
      </c>
    </row>
    <row r="15" spans="1:1" ht="15.6" x14ac:dyDescent="0.3">
      <c r="A15" s="1" t="s">
        <v>686</v>
      </c>
    </row>
    <row r="16" spans="1:1" ht="15.6" x14ac:dyDescent="0.3">
      <c r="A16" s="506" t="s">
        <v>687</v>
      </c>
    </row>
    <row r="19" spans="1:1" ht="15.6" x14ac:dyDescent="0.3">
      <c r="A19" s="1" t="s">
        <v>688</v>
      </c>
    </row>
    <row r="20" spans="1:1" ht="15.6" x14ac:dyDescent="0.3">
      <c r="A20" s="506" t="s">
        <v>689</v>
      </c>
    </row>
    <row r="23" spans="1:1" ht="15.6" x14ac:dyDescent="0.3">
      <c r="A23" s="1" t="s">
        <v>690</v>
      </c>
    </row>
    <row r="24" spans="1:1" ht="15.6" x14ac:dyDescent="0.3">
      <c r="A24" s="506" t="s">
        <v>691</v>
      </c>
    </row>
    <row r="27" spans="1:1" ht="15.6" x14ac:dyDescent="0.3">
      <c r="A27" s="1" t="s">
        <v>692</v>
      </c>
    </row>
    <row r="28" spans="1:1" ht="15.6" x14ac:dyDescent="0.3">
      <c r="A28" s="506" t="s">
        <v>693</v>
      </c>
    </row>
    <row r="31" spans="1:1" ht="15.6" x14ac:dyDescent="0.3">
      <c r="A31" s="1" t="s">
        <v>694</v>
      </c>
    </row>
    <row r="32" spans="1:1" ht="15.6" x14ac:dyDescent="0.3">
      <c r="A32" s="506" t="s">
        <v>695</v>
      </c>
    </row>
    <row r="35" spans="1:1" ht="15.6" x14ac:dyDescent="0.3">
      <c r="A35" s="1" t="s">
        <v>696</v>
      </c>
    </row>
    <row r="36" spans="1:1" ht="15.6" x14ac:dyDescent="0.3">
      <c r="A36" s="506" t="s">
        <v>697</v>
      </c>
    </row>
    <row r="39" spans="1:1" ht="15.6" x14ac:dyDescent="0.3">
      <c r="A39" s="1" t="s">
        <v>698</v>
      </c>
    </row>
    <row r="40" spans="1:1" ht="15.6" x14ac:dyDescent="0.3">
      <c r="A40" s="506" t="s">
        <v>699</v>
      </c>
    </row>
  </sheetData>
  <sheetProtection sheet="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7"/>
  <sheetViews>
    <sheetView workbookViewId="0">
      <selection activeCell="C14" sqref="C14"/>
    </sheetView>
  </sheetViews>
  <sheetFormatPr defaultColWidth="8.9140625" defaultRowHeight="15.6" x14ac:dyDescent="0.3"/>
  <cols>
    <col min="1" max="1" width="83.4140625" style="1" customWidth="1"/>
    <col min="2" max="16384" width="8.9140625" style="1"/>
  </cols>
  <sheetData>
    <row r="1" spans="1:1" x14ac:dyDescent="0.3">
      <c r="A1" s="539" t="s">
        <v>979</v>
      </c>
    </row>
    <row r="2" spans="1:1" x14ac:dyDescent="0.3">
      <c r="A2" s="50" t="s">
        <v>980</v>
      </c>
    </row>
    <row r="4" spans="1:1" x14ac:dyDescent="0.3">
      <c r="A4" s="539" t="s">
        <v>977</v>
      </c>
    </row>
    <row r="5" spans="1:1" x14ac:dyDescent="0.3">
      <c r="A5" s="758" t="s">
        <v>978</v>
      </c>
    </row>
    <row r="7" spans="1:1" x14ac:dyDescent="0.3">
      <c r="A7" s="539" t="s">
        <v>974</v>
      </c>
    </row>
    <row r="8" spans="1:1" x14ac:dyDescent="0.3">
      <c r="A8" s="1" t="s">
        <v>975</v>
      </c>
    </row>
    <row r="10" spans="1:1" x14ac:dyDescent="0.3">
      <c r="A10" s="539" t="s">
        <v>900</v>
      </c>
    </row>
    <row r="11" spans="1:1" x14ac:dyDescent="0.3">
      <c r="A11" s="746" t="s">
        <v>901</v>
      </c>
    </row>
    <row r="12" spans="1:1" x14ac:dyDescent="0.3">
      <c r="A12" s="50" t="s">
        <v>902</v>
      </c>
    </row>
    <row r="13" spans="1:1" x14ac:dyDescent="0.3">
      <c r="A13" s="50" t="s">
        <v>903</v>
      </c>
    </row>
    <row r="14" spans="1:1" x14ac:dyDescent="0.3">
      <c r="A14" s="50" t="s">
        <v>904</v>
      </c>
    </row>
    <row r="15" spans="1:1" x14ac:dyDescent="0.3">
      <c r="A15" s="50" t="s">
        <v>905</v>
      </c>
    </row>
    <row r="16" spans="1:1" x14ac:dyDescent="0.3">
      <c r="A16" s="50" t="s">
        <v>906</v>
      </c>
    </row>
    <row r="17" spans="1:1" x14ac:dyDescent="0.3">
      <c r="A17" s="50" t="s">
        <v>907</v>
      </c>
    </row>
    <row r="18" spans="1:1" x14ac:dyDescent="0.3">
      <c r="A18" s="50" t="s">
        <v>908</v>
      </c>
    </row>
    <row r="19" spans="1:1" x14ac:dyDescent="0.3">
      <c r="A19" s="50" t="s">
        <v>909</v>
      </c>
    </row>
    <row r="20" spans="1:1" x14ac:dyDescent="0.3">
      <c r="A20" s="50" t="s">
        <v>910</v>
      </c>
    </row>
    <row r="21" spans="1:1" x14ac:dyDescent="0.3">
      <c r="A21" s="50" t="s">
        <v>911</v>
      </c>
    </row>
    <row r="22" spans="1:1" x14ac:dyDescent="0.3">
      <c r="A22" s="50" t="s">
        <v>912</v>
      </c>
    </row>
    <row r="23" spans="1:1" x14ac:dyDescent="0.3">
      <c r="A23" s="50" t="s">
        <v>913</v>
      </c>
    </row>
    <row r="24" spans="1:1" x14ac:dyDescent="0.3">
      <c r="A24" s="50" t="s">
        <v>914</v>
      </c>
    </row>
    <row r="25" spans="1:1" x14ac:dyDescent="0.3">
      <c r="A25" s="50" t="s">
        <v>915</v>
      </c>
    </row>
    <row r="26" spans="1:1" x14ac:dyDescent="0.3">
      <c r="A26" s="50" t="s">
        <v>916</v>
      </c>
    </row>
    <row r="27" spans="1:1" ht="46.8" x14ac:dyDescent="0.3">
      <c r="A27" s="53" t="s">
        <v>917</v>
      </c>
    </row>
    <row r="28" spans="1:1" x14ac:dyDescent="0.3">
      <c r="A28" s="52" t="s">
        <v>918</v>
      </c>
    </row>
    <row r="29" spans="1:1" ht="31.2" x14ac:dyDescent="0.3">
      <c r="A29" s="53" t="s">
        <v>919</v>
      </c>
    </row>
    <row r="30" spans="1:1" x14ac:dyDescent="0.3">
      <c r="A30" s="50" t="s">
        <v>920</v>
      </c>
    </row>
    <row r="31" spans="1:1" x14ac:dyDescent="0.3">
      <c r="A31" s="50" t="s">
        <v>921</v>
      </c>
    </row>
    <row r="32" spans="1:1" x14ac:dyDescent="0.3">
      <c r="A32" s="50" t="s">
        <v>922</v>
      </c>
    </row>
    <row r="33" spans="1:1" x14ac:dyDescent="0.3">
      <c r="A33" s="50" t="s">
        <v>923</v>
      </c>
    </row>
    <row r="34" spans="1:1" x14ac:dyDescent="0.3">
      <c r="A34" s="50" t="s">
        <v>924</v>
      </c>
    </row>
    <row r="35" spans="1:1" x14ac:dyDescent="0.3">
      <c r="A35" s="50" t="s">
        <v>925</v>
      </c>
    </row>
    <row r="36" spans="1:1" x14ac:dyDescent="0.3">
      <c r="A36" s="50" t="s">
        <v>926</v>
      </c>
    </row>
    <row r="37" spans="1:1" x14ac:dyDescent="0.3">
      <c r="A37" s="50" t="s">
        <v>927</v>
      </c>
    </row>
    <row r="38" spans="1:1" x14ac:dyDescent="0.3">
      <c r="A38" s="50" t="s">
        <v>928</v>
      </c>
    </row>
    <row r="39" spans="1:1" x14ac:dyDescent="0.3">
      <c r="A39" s="50" t="s">
        <v>929</v>
      </c>
    </row>
    <row r="40" spans="1:1" x14ac:dyDescent="0.3">
      <c r="A40" s="50" t="s">
        <v>930</v>
      </c>
    </row>
    <row r="41" spans="1:1" x14ac:dyDescent="0.3">
      <c r="A41" s="50" t="s">
        <v>931</v>
      </c>
    </row>
    <row r="42" spans="1:1" x14ac:dyDescent="0.3">
      <c r="A42" s="50" t="s">
        <v>932</v>
      </c>
    </row>
    <row r="43" spans="1:1" x14ac:dyDescent="0.3">
      <c r="A43" s="50" t="s">
        <v>933</v>
      </c>
    </row>
    <row r="44" spans="1:1" x14ac:dyDescent="0.3">
      <c r="A44" s="50" t="s">
        <v>934</v>
      </c>
    </row>
    <row r="45" spans="1:1" x14ac:dyDescent="0.3">
      <c r="A45" s="50" t="s">
        <v>935</v>
      </c>
    </row>
    <row r="47" spans="1:1" x14ac:dyDescent="0.3">
      <c r="A47" s="539" t="s">
        <v>808</v>
      </c>
    </row>
    <row r="48" spans="1:1" x14ac:dyDescent="0.3">
      <c r="A48" s="540" t="s">
        <v>809</v>
      </c>
    </row>
    <row r="50" spans="1:1" x14ac:dyDescent="0.3">
      <c r="A50" s="539" t="s">
        <v>806</v>
      </c>
    </row>
    <row r="51" spans="1:1" x14ac:dyDescent="0.3">
      <c r="A51" s="1" t="s">
        <v>807</v>
      </c>
    </row>
    <row r="53" spans="1:1" x14ac:dyDescent="0.3">
      <c r="A53" s="539" t="s">
        <v>764</v>
      </c>
    </row>
    <row r="54" spans="1:1" x14ac:dyDescent="0.3">
      <c r="A54" s="540" t="s">
        <v>761</v>
      </c>
    </row>
    <row r="55" spans="1:1" x14ac:dyDescent="0.3">
      <c r="A55" s="540" t="s">
        <v>762</v>
      </c>
    </row>
    <row r="56" spans="1:1" ht="31.2" x14ac:dyDescent="0.3">
      <c r="A56" s="534" t="s">
        <v>763</v>
      </c>
    </row>
    <row r="57" spans="1:1" x14ac:dyDescent="0.3">
      <c r="A57" s="540" t="s">
        <v>766</v>
      </c>
    </row>
    <row r="58" spans="1:1" x14ac:dyDescent="0.3">
      <c r="A58" s="540" t="s">
        <v>767</v>
      </c>
    </row>
    <row r="59" spans="1:1" x14ac:dyDescent="0.3">
      <c r="A59" s="540" t="s">
        <v>768</v>
      </c>
    </row>
    <row r="60" spans="1:1" x14ac:dyDescent="0.3">
      <c r="A60" s="540" t="s">
        <v>769</v>
      </c>
    </row>
    <row r="61" spans="1:1" x14ac:dyDescent="0.3">
      <c r="A61" s="540" t="s">
        <v>770</v>
      </c>
    </row>
    <row r="62" spans="1:1" x14ac:dyDescent="0.3">
      <c r="A62" s="540" t="s">
        <v>771</v>
      </c>
    </row>
    <row r="63" spans="1:1" x14ac:dyDescent="0.3">
      <c r="A63" s="540" t="s">
        <v>772</v>
      </c>
    </row>
    <row r="64" spans="1:1" x14ac:dyDescent="0.3">
      <c r="A64" s="540" t="s">
        <v>773</v>
      </c>
    </row>
    <row r="65" spans="1:1" x14ac:dyDescent="0.3">
      <c r="A65" s="540" t="s">
        <v>774</v>
      </c>
    </row>
    <row r="66" spans="1:1" x14ac:dyDescent="0.3">
      <c r="A66" s="540" t="s">
        <v>775</v>
      </c>
    </row>
    <row r="67" spans="1:1" x14ac:dyDescent="0.3">
      <c r="A67" s="540" t="s">
        <v>776</v>
      </c>
    </row>
    <row r="68" spans="1:1" x14ac:dyDescent="0.3">
      <c r="A68" s="540" t="s">
        <v>777</v>
      </c>
    </row>
    <row r="69" spans="1:1" x14ac:dyDescent="0.3">
      <c r="A69" s="540" t="s">
        <v>778</v>
      </c>
    </row>
    <row r="70" spans="1:1" x14ac:dyDescent="0.3">
      <c r="A70" s="540" t="s">
        <v>779</v>
      </c>
    </row>
    <row r="71" spans="1:1" x14ac:dyDescent="0.3">
      <c r="A71" s="540" t="s">
        <v>780</v>
      </c>
    </row>
    <row r="72" spans="1:1" x14ac:dyDescent="0.3">
      <c r="A72" s="540" t="s">
        <v>781</v>
      </c>
    </row>
    <row r="73" spans="1:1" x14ac:dyDescent="0.3">
      <c r="A73" s="540" t="s">
        <v>782</v>
      </c>
    </row>
    <row r="74" spans="1:1" x14ac:dyDescent="0.3">
      <c r="A74" s="540" t="s">
        <v>783</v>
      </c>
    </row>
    <row r="75" spans="1:1" x14ac:dyDescent="0.3">
      <c r="A75" s="540" t="s">
        <v>784</v>
      </c>
    </row>
    <row r="76" spans="1:1" x14ac:dyDescent="0.3">
      <c r="A76" s="540" t="s">
        <v>785</v>
      </c>
    </row>
    <row r="77" spans="1:1" x14ac:dyDescent="0.3">
      <c r="A77" s="540" t="s">
        <v>786</v>
      </c>
    </row>
    <row r="78" spans="1:1" x14ac:dyDescent="0.3">
      <c r="A78" s="540" t="s">
        <v>787</v>
      </c>
    </row>
    <row r="79" spans="1:1" x14ac:dyDescent="0.3">
      <c r="A79" s="540" t="s">
        <v>788</v>
      </c>
    </row>
    <row r="80" spans="1:1" x14ac:dyDescent="0.3">
      <c r="A80" s="540" t="s">
        <v>789</v>
      </c>
    </row>
    <row r="81" spans="1:1" x14ac:dyDescent="0.3">
      <c r="A81" s="540" t="s">
        <v>790</v>
      </c>
    </row>
    <row r="82" spans="1:1" x14ac:dyDescent="0.3">
      <c r="A82" s="540" t="s">
        <v>791</v>
      </c>
    </row>
    <row r="83" spans="1:1" x14ac:dyDescent="0.3">
      <c r="A83" s="540" t="s">
        <v>792</v>
      </c>
    </row>
    <row r="84" spans="1:1" x14ac:dyDescent="0.3">
      <c r="A84" s="540" t="s">
        <v>793</v>
      </c>
    </row>
    <row r="85" spans="1:1" x14ac:dyDescent="0.3">
      <c r="A85" s="540" t="s">
        <v>794</v>
      </c>
    </row>
    <row r="86" spans="1:1" x14ac:dyDescent="0.3">
      <c r="A86" s="541" t="s">
        <v>795</v>
      </c>
    </row>
    <row r="87" spans="1:1" x14ac:dyDescent="0.3">
      <c r="A87" s="541" t="s">
        <v>796</v>
      </c>
    </row>
    <row r="89" spans="1:1" x14ac:dyDescent="0.3">
      <c r="A89" s="409" t="s">
        <v>659</v>
      </c>
    </row>
    <row r="90" spans="1:1" x14ac:dyDescent="0.3">
      <c r="A90" s="1" t="s">
        <v>660</v>
      </c>
    </row>
    <row r="91" spans="1:1" x14ac:dyDescent="0.3">
      <c r="A91" s="1" t="s">
        <v>661</v>
      </c>
    </row>
    <row r="93" spans="1:1" x14ac:dyDescent="0.3">
      <c r="A93" s="409" t="s">
        <v>655</v>
      </c>
    </row>
    <row r="94" spans="1:1" x14ac:dyDescent="0.3">
      <c r="A94" s="50" t="s">
        <v>656</v>
      </c>
    </row>
    <row r="95" spans="1:1" x14ac:dyDescent="0.3">
      <c r="A95" s="50" t="s">
        <v>657</v>
      </c>
    </row>
    <row r="96" spans="1:1" x14ac:dyDescent="0.3">
      <c r="A96" s="50" t="s">
        <v>658</v>
      </c>
    </row>
    <row r="98" spans="1:1" x14ac:dyDescent="0.3">
      <c r="A98" s="409" t="s">
        <v>644</v>
      </c>
    </row>
    <row r="99" spans="1:1" x14ac:dyDescent="0.3">
      <c r="A99" s="50" t="s">
        <v>654</v>
      </c>
    </row>
    <row r="101" spans="1:1" x14ac:dyDescent="0.3">
      <c r="A101" s="409" t="s">
        <v>627</v>
      </c>
    </row>
    <row r="102" spans="1:1" x14ac:dyDescent="0.3">
      <c r="A102" s="408" t="s">
        <v>628</v>
      </c>
    </row>
    <row r="103" spans="1:1" x14ac:dyDescent="0.3">
      <c r="A103" s="408" t="s">
        <v>629</v>
      </c>
    </row>
    <row r="104" spans="1:1" x14ac:dyDescent="0.3">
      <c r="A104" s="408" t="s">
        <v>630</v>
      </c>
    </row>
    <row r="105" spans="1:1" x14ac:dyDescent="0.3">
      <c r="A105" s="50" t="s">
        <v>642</v>
      </c>
    </row>
    <row r="107" spans="1:1" x14ac:dyDescent="0.3">
      <c r="A107" s="46" t="s">
        <v>400</v>
      </c>
    </row>
    <row r="108" spans="1:1" x14ac:dyDescent="0.3">
      <c r="A108" s="389" t="s">
        <v>401</v>
      </c>
    </row>
    <row r="109" spans="1:1" ht="21.75" customHeight="1" x14ac:dyDescent="0.3">
      <c r="A109" s="387" t="s">
        <v>402</v>
      </c>
    </row>
    <row r="110" spans="1:1" x14ac:dyDescent="0.3">
      <c r="A110" s="387" t="s">
        <v>403</v>
      </c>
    </row>
    <row r="111" spans="1:1" ht="31.2" x14ac:dyDescent="0.3">
      <c r="A111" s="388" t="s">
        <v>404</v>
      </c>
    </row>
    <row r="112" spans="1:1" x14ac:dyDescent="0.3">
      <c r="A112" s="387" t="s">
        <v>405</v>
      </c>
    </row>
    <row r="113" spans="1:1" x14ac:dyDescent="0.3">
      <c r="A113" s="387" t="s">
        <v>406</v>
      </c>
    </row>
    <row r="114" spans="1:1" x14ac:dyDescent="0.3">
      <c r="A114" s="387" t="s">
        <v>407</v>
      </c>
    </row>
    <row r="115" spans="1:1" x14ac:dyDescent="0.3">
      <c r="A115" s="387" t="s">
        <v>408</v>
      </c>
    </row>
    <row r="116" spans="1:1" x14ac:dyDescent="0.3">
      <c r="A116" s="390" t="s">
        <v>409</v>
      </c>
    </row>
    <row r="117" spans="1:1" x14ac:dyDescent="0.3">
      <c r="A117" s="391" t="s">
        <v>410</v>
      </c>
    </row>
    <row r="119" spans="1:1" x14ac:dyDescent="0.3">
      <c r="A119" s="46" t="s">
        <v>347</v>
      </c>
    </row>
    <row r="120" spans="1:1" ht="31.2" x14ac:dyDescent="0.3">
      <c r="A120" s="2" t="s">
        <v>348</v>
      </c>
    </row>
    <row r="122" spans="1:1" x14ac:dyDescent="0.3">
      <c r="A122" s="46" t="s">
        <v>344</v>
      </c>
    </row>
    <row r="123" spans="1:1" x14ac:dyDescent="0.3">
      <c r="A123" s="1" t="s">
        <v>345</v>
      </c>
    </row>
    <row r="124" spans="1:1" x14ac:dyDescent="0.3">
      <c r="A124" s="1" t="s">
        <v>346</v>
      </c>
    </row>
    <row r="126" spans="1:1" x14ac:dyDescent="0.3">
      <c r="A126" s="46" t="s">
        <v>239</v>
      </c>
    </row>
    <row r="127" spans="1:1" x14ac:dyDescent="0.3">
      <c r="A127" s="1" t="s">
        <v>221</v>
      </c>
    </row>
    <row r="128" spans="1:1" x14ac:dyDescent="0.3">
      <c r="A128" s="1" t="s">
        <v>222</v>
      </c>
    </row>
    <row r="129" spans="1:1" x14ac:dyDescent="0.3">
      <c r="A129" s="1" t="s">
        <v>223</v>
      </c>
    </row>
    <row r="130" spans="1:1" x14ac:dyDescent="0.3">
      <c r="A130" s="1" t="s">
        <v>224</v>
      </c>
    </row>
    <row r="131" spans="1:1" x14ac:dyDescent="0.3">
      <c r="A131" s="1" t="s">
        <v>225</v>
      </c>
    </row>
    <row r="132" spans="1:1" x14ac:dyDescent="0.3">
      <c r="A132" s="1" t="s">
        <v>226</v>
      </c>
    </row>
    <row r="133" spans="1:1" ht="31.2" x14ac:dyDescent="0.3">
      <c r="A133" s="2" t="s">
        <v>227</v>
      </c>
    </row>
    <row r="134" spans="1:1" ht="31.2" x14ac:dyDescent="0.3">
      <c r="A134" s="2" t="s">
        <v>228</v>
      </c>
    </row>
    <row r="135" spans="1:1" x14ac:dyDescent="0.3">
      <c r="A135" s="2" t="s">
        <v>229</v>
      </c>
    </row>
    <row r="136" spans="1:1" x14ac:dyDescent="0.3">
      <c r="A136" s="2" t="s">
        <v>230</v>
      </c>
    </row>
    <row r="137" spans="1:1" ht="31.2" x14ac:dyDescent="0.3">
      <c r="A137" s="2" t="s">
        <v>231</v>
      </c>
    </row>
    <row r="138" spans="1:1" x14ac:dyDescent="0.3">
      <c r="A138" s="1" t="s">
        <v>232</v>
      </c>
    </row>
    <row r="139" spans="1:1" x14ac:dyDescent="0.3">
      <c r="A139" s="2" t="s">
        <v>233</v>
      </c>
    </row>
    <row r="140" spans="1:1" x14ac:dyDescent="0.3">
      <c r="A140" s="1" t="s">
        <v>234</v>
      </c>
    </row>
    <row r="141" spans="1:1" x14ac:dyDescent="0.3">
      <c r="A141" s="1" t="s">
        <v>235</v>
      </c>
    </row>
    <row r="142" spans="1:1" x14ac:dyDescent="0.3">
      <c r="A142" s="1" t="s">
        <v>236</v>
      </c>
    </row>
    <row r="143" spans="1:1" ht="31.2" x14ac:dyDescent="0.3">
      <c r="A143" s="2" t="s">
        <v>237</v>
      </c>
    </row>
    <row r="144" spans="1:1" x14ac:dyDescent="0.3">
      <c r="A144" s="1" t="s">
        <v>238</v>
      </c>
    </row>
    <row r="147" spans="1:1" x14ac:dyDescent="0.3">
      <c r="A147" s="46" t="s">
        <v>216</v>
      </c>
    </row>
    <row r="148" spans="1:1" x14ac:dyDescent="0.3">
      <c r="A148" s="1" t="s">
        <v>217</v>
      </c>
    </row>
    <row r="150" spans="1:1" x14ac:dyDescent="0.3">
      <c r="A150" s="46" t="s">
        <v>242</v>
      </c>
    </row>
    <row r="151" spans="1:1" x14ac:dyDescent="0.3">
      <c r="A151" s="1" t="s">
        <v>243</v>
      </c>
    </row>
    <row r="152" spans="1:1" x14ac:dyDescent="0.3">
      <c r="A152" s="1" t="s">
        <v>244</v>
      </c>
    </row>
    <row r="153" spans="1:1" x14ac:dyDescent="0.3">
      <c r="A153" s="1" t="s">
        <v>245</v>
      </c>
    </row>
    <row r="154" spans="1:1" x14ac:dyDescent="0.3">
      <c r="A154" s="1" t="s">
        <v>246</v>
      </c>
    </row>
    <row r="156" spans="1:1" x14ac:dyDescent="0.3">
      <c r="A156" s="46" t="s">
        <v>214</v>
      </c>
    </row>
    <row r="157" spans="1:1" x14ac:dyDescent="0.3">
      <c r="A157" s="1" t="s">
        <v>215</v>
      </c>
    </row>
    <row r="159" spans="1:1" x14ac:dyDescent="0.3">
      <c r="A159" s="46" t="s">
        <v>207</v>
      </c>
    </row>
    <row r="160" spans="1:1" x14ac:dyDescent="0.3">
      <c r="A160" s="1" t="s">
        <v>208</v>
      </c>
    </row>
    <row r="161" spans="1:1" x14ac:dyDescent="0.3">
      <c r="A161" s="1" t="s">
        <v>209</v>
      </c>
    </row>
    <row r="162" spans="1:1" ht="31.2" x14ac:dyDescent="0.3">
      <c r="A162" s="2" t="s">
        <v>210</v>
      </c>
    </row>
    <row r="163" spans="1:1" x14ac:dyDescent="0.3">
      <c r="A163" s="1" t="s">
        <v>211</v>
      </c>
    </row>
    <row r="164" spans="1:1" x14ac:dyDescent="0.3">
      <c r="A164" s="1" t="s">
        <v>212</v>
      </c>
    </row>
    <row r="165" spans="1:1" x14ac:dyDescent="0.3">
      <c r="A165" s="1" t="s">
        <v>213</v>
      </c>
    </row>
    <row r="166" spans="1:1" ht="18" customHeight="1" x14ac:dyDescent="0.3"/>
    <row r="167" spans="1:1" ht="48.75" customHeight="1" x14ac:dyDescent="0.3"/>
    <row r="168" spans="1:1" x14ac:dyDescent="0.3">
      <c r="A168" s="46" t="s">
        <v>125</v>
      </c>
    </row>
    <row r="169" spans="1:1" ht="46.8" x14ac:dyDescent="0.3">
      <c r="A169" s="2" t="s">
        <v>153</v>
      </c>
    </row>
    <row r="170" spans="1:1" x14ac:dyDescent="0.3">
      <c r="A170" s="1" t="s">
        <v>126</v>
      </c>
    </row>
    <row r="171" spans="1:1" x14ac:dyDescent="0.3">
      <c r="A171" s="1" t="s">
        <v>127</v>
      </c>
    </row>
    <row r="172" spans="1:1" x14ac:dyDescent="0.3">
      <c r="A172" s="1" t="s">
        <v>154</v>
      </c>
    </row>
    <row r="173" spans="1:1" x14ac:dyDescent="0.3">
      <c r="A173" s="1" t="s">
        <v>128</v>
      </c>
    </row>
    <row r="174" spans="1:1" x14ac:dyDescent="0.3">
      <c r="A174" s="1" t="s">
        <v>129</v>
      </c>
    </row>
    <row r="175" spans="1:1" x14ac:dyDescent="0.3">
      <c r="A175" s="1" t="s">
        <v>249</v>
      </c>
    </row>
    <row r="176" spans="1:1" x14ac:dyDescent="0.3">
      <c r="A176" s="1" t="s">
        <v>130</v>
      </c>
    </row>
    <row r="177" spans="1:1" x14ac:dyDescent="0.3">
      <c r="A177" s="1" t="s">
        <v>131</v>
      </c>
    </row>
    <row r="178" spans="1:1" ht="31.2" x14ac:dyDescent="0.3">
      <c r="A178" s="2" t="s">
        <v>132</v>
      </c>
    </row>
    <row r="179" spans="1:1" ht="31.2" x14ac:dyDescent="0.3">
      <c r="A179" s="2" t="s">
        <v>250</v>
      </c>
    </row>
    <row r="180" spans="1:1" x14ac:dyDescent="0.3">
      <c r="A180" s="1" t="s">
        <v>133</v>
      </c>
    </row>
    <row r="181" spans="1:1" x14ac:dyDescent="0.3">
      <c r="A181" s="1" t="s">
        <v>134</v>
      </c>
    </row>
    <row r="182" spans="1:1" x14ac:dyDescent="0.3">
      <c r="A182" s="1" t="s">
        <v>155</v>
      </c>
    </row>
    <row r="183" spans="1:1" x14ac:dyDescent="0.3">
      <c r="A183" s="1" t="s">
        <v>135</v>
      </c>
    </row>
    <row r="184" spans="1:1" x14ac:dyDescent="0.3">
      <c r="A184" s="1" t="s">
        <v>156</v>
      </c>
    </row>
    <row r="185" spans="1:1" ht="31.2" x14ac:dyDescent="0.3">
      <c r="A185" s="2" t="s">
        <v>157</v>
      </c>
    </row>
    <row r="186" spans="1:1" x14ac:dyDescent="0.3">
      <c r="A186" s="1" t="s">
        <v>144</v>
      </c>
    </row>
    <row r="187" spans="1:1" x14ac:dyDescent="0.3">
      <c r="A187" s="1" t="s">
        <v>145</v>
      </c>
    </row>
    <row r="188" spans="1:1" ht="31.2" x14ac:dyDescent="0.3">
      <c r="A188" s="2" t="s">
        <v>146</v>
      </c>
    </row>
    <row r="189" spans="1:1" x14ac:dyDescent="0.3">
      <c r="A189" s="1" t="s">
        <v>193</v>
      </c>
    </row>
    <row r="190" spans="1:1" x14ac:dyDescent="0.3">
      <c r="A190" s="1" t="s">
        <v>194</v>
      </c>
    </row>
    <row r="191" spans="1:1" x14ac:dyDescent="0.3">
      <c r="A191" s="1" t="s">
        <v>196</v>
      </c>
    </row>
    <row r="192" spans="1:1" x14ac:dyDescent="0.3">
      <c r="A192" s="1" t="s">
        <v>197</v>
      </c>
    </row>
    <row r="193" spans="1:1" x14ac:dyDescent="0.3">
      <c r="A193" s="1" t="s">
        <v>198</v>
      </c>
    </row>
    <row r="194" spans="1:1" x14ac:dyDescent="0.3">
      <c r="A194" s="1" t="s">
        <v>199</v>
      </c>
    </row>
    <row r="195" spans="1:1" x14ac:dyDescent="0.3">
      <c r="A195" s="1" t="s">
        <v>200</v>
      </c>
    </row>
    <row r="196" spans="1:1" x14ac:dyDescent="0.3">
      <c r="A196" s="1" t="s">
        <v>201</v>
      </c>
    </row>
    <row r="197" spans="1:1" x14ac:dyDescent="0.3">
      <c r="A197" s="1" t="s">
        <v>202</v>
      </c>
    </row>
    <row r="198" spans="1:1" x14ac:dyDescent="0.3">
      <c r="A198" s="1" t="s">
        <v>203</v>
      </c>
    </row>
    <row r="199" spans="1:1" x14ac:dyDescent="0.3">
      <c r="A199" s="1" t="s">
        <v>204</v>
      </c>
    </row>
    <row r="200" spans="1:1" x14ac:dyDescent="0.3">
      <c r="A200" s="1" t="s">
        <v>205</v>
      </c>
    </row>
    <row r="201" spans="1:1" x14ac:dyDescent="0.3">
      <c r="A201" s="1" t="s">
        <v>251</v>
      </c>
    </row>
    <row r="202" spans="1:1" x14ac:dyDescent="0.3">
      <c r="A202" s="1" t="s">
        <v>252</v>
      </c>
    </row>
    <row r="203" spans="1:1" x14ac:dyDescent="0.3">
      <c r="A203" s="1" t="s">
        <v>253</v>
      </c>
    </row>
    <row r="204" spans="1:1" x14ac:dyDescent="0.3">
      <c r="A204" s="1" t="s">
        <v>254</v>
      </c>
    </row>
    <row r="205" spans="1:1" x14ac:dyDescent="0.3">
      <c r="A205" s="1" t="s">
        <v>188</v>
      </c>
    </row>
    <row r="206" spans="1:1" x14ac:dyDescent="0.3">
      <c r="A206" s="1" t="s">
        <v>206</v>
      </c>
    </row>
    <row r="207" spans="1:1" x14ac:dyDescent="0.3">
      <c r="A207" s="1" t="s">
        <v>191</v>
      </c>
    </row>
  </sheetData>
  <sheetProtection sheet="1"/>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8"/>
  <sheetViews>
    <sheetView topLeftCell="D1" zoomScaleNormal="100" workbookViewId="0">
      <selection activeCell="B2" sqref="B2:H2"/>
    </sheetView>
  </sheetViews>
  <sheetFormatPr defaultColWidth="8.9140625" defaultRowHeight="15.6" x14ac:dyDescent="0.25"/>
  <cols>
    <col min="1" max="1" width="8.9140625" style="127"/>
    <col min="2" max="2" width="24.33203125" style="63" customWidth="1"/>
    <col min="3" max="3" width="10.75" style="63" customWidth="1"/>
    <col min="4" max="4" width="5.75" style="63" customWidth="1"/>
    <col min="5" max="5" width="9.5" style="63" customWidth="1"/>
    <col min="6" max="6" width="11.6640625" style="63" customWidth="1"/>
    <col min="7" max="7" width="14.5" style="63" customWidth="1"/>
    <col min="8" max="8" width="10.9140625" style="63" customWidth="1"/>
    <col min="9" max="16384" width="8.9140625" style="127"/>
  </cols>
  <sheetData>
    <row r="1" spans="2:8" x14ac:dyDescent="0.25">
      <c r="B1" s="67"/>
      <c r="C1" s="67"/>
      <c r="D1" s="66" t="s">
        <v>1230</v>
      </c>
      <c r="E1" s="66"/>
      <c r="F1" s="67"/>
      <c r="G1" s="67"/>
      <c r="H1" s="50">
        <f>inputPrYr!C10</f>
        <v>2013</v>
      </c>
    </row>
    <row r="2" spans="2:8" x14ac:dyDescent="0.25">
      <c r="B2" s="845" t="str">
        <f>CONCATENATE("To the Clerk of ",(inputPrYr!D4),", State of Kansas")</f>
        <v>To the Clerk of Wyandotte County, State of Kansas</v>
      </c>
      <c r="C2" s="808"/>
      <c r="D2" s="808"/>
      <c r="E2" s="808"/>
      <c r="F2" s="808"/>
      <c r="G2" s="808"/>
      <c r="H2" s="808"/>
    </row>
    <row r="3" spans="2:8" x14ac:dyDescent="0.25">
      <c r="B3" s="179" t="s">
        <v>1225</v>
      </c>
      <c r="C3" s="77"/>
      <c r="D3" s="77"/>
      <c r="E3" s="77"/>
      <c r="F3" s="77"/>
      <c r="G3" s="77"/>
      <c r="H3" s="77"/>
    </row>
    <row r="4" spans="2:8" s="802" customFormat="1" x14ac:dyDescent="0.25">
      <c r="B4" s="179" t="s">
        <v>1224</v>
      </c>
      <c r="C4" s="77"/>
      <c r="D4" s="77"/>
      <c r="E4" s="77"/>
      <c r="F4" s="77"/>
      <c r="G4" s="77"/>
      <c r="H4" s="77"/>
    </row>
    <row r="5" spans="2:8" x14ac:dyDescent="0.25">
      <c r="B5" s="845" t="s">
        <v>1229</v>
      </c>
      <c r="C5" s="808"/>
      <c r="D5" s="808"/>
      <c r="E5" s="808"/>
      <c r="F5" s="808"/>
      <c r="G5" s="808"/>
      <c r="H5" s="808"/>
    </row>
    <row r="6" spans="2:8" x14ac:dyDescent="0.25">
      <c r="B6" s="179" t="str">
        <f>CONCATENATE("(3) the Amounts(s) of ",H1-1," Ad Valorem Tax are within statutory limitations.")</f>
        <v>(3) the Amounts(s) of 2012 Ad Valorem Tax are within statutory limitations.</v>
      </c>
      <c r="C6" s="77"/>
      <c r="D6" s="77"/>
      <c r="E6" s="77"/>
      <c r="F6" s="77"/>
      <c r="G6" s="77"/>
      <c r="H6" s="77"/>
    </row>
    <row r="7" spans="2:8" x14ac:dyDescent="0.25">
      <c r="B7" s="67"/>
      <c r="C7" s="67"/>
      <c r="D7" s="67"/>
      <c r="E7" s="67"/>
      <c r="F7" s="180" t="str">
        <f>CONCATENATE("",H1," Adopted Budget")</f>
        <v>2013 Adopted Budget</v>
      </c>
      <c r="G7" s="181"/>
      <c r="H7" s="182"/>
    </row>
    <row r="8" spans="2:8" ht="21" customHeight="1" x14ac:dyDescent="0.25">
      <c r="B8" s="67"/>
      <c r="C8" s="67"/>
      <c r="D8" s="183"/>
      <c r="E8" s="775" t="s">
        <v>261</v>
      </c>
      <c r="F8" s="184" t="s">
        <v>261</v>
      </c>
      <c r="G8" s="185" t="str">
        <f>CONCATENATE("Amount of ",H1-1,"")</f>
        <v>Amount of 2012</v>
      </c>
      <c r="H8" s="185" t="s">
        <v>262</v>
      </c>
    </row>
    <row r="9" spans="2:8" x14ac:dyDescent="0.25">
      <c r="B9" s="74"/>
      <c r="C9" s="67"/>
      <c r="D9" s="185" t="s">
        <v>263</v>
      </c>
      <c r="E9" s="776" t="s">
        <v>1084</v>
      </c>
      <c r="F9" s="186" t="s">
        <v>664</v>
      </c>
      <c r="G9" s="187" t="s">
        <v>98</v>
      </c>
      <c r="H9" s="186" t="s">
        <v>264</v>
      </c>
    </row>
    <row r="10" spans="2:8" x14ac:dyDescent="0.25">
      <c r="B10" s="188" t="s">
        <v>265</v>
      </c>
      <c r="C10" s="82"/>
      <c r="D10" s="189" t="s">
        <v>266</v>
      </c>
      <c r="E10" s="342" t="s">
        <v>1085</v>
      </c>
      <c r="F10" s="189" t="s">
        <v>665</v>
      </c>
      <c r="G10" s="190" t="s">
        <v>99</v>
      </c>
      <c r="H10" s="189" t="s">
        <v>267</v>
      </c>
    </row>
    <row r="11" spans="2:8" x14ac:dyDescent="0.25">
      <c r="B11" s="148" t="str">
        <f>CONCATENATE("Computation to Determine Limit for ",H1,"")</f>
        <v>Computation to Determine Limit for 2013</v>
      </c>
      <c r="C11" s="115"/>
      <c r="D11" s="191">
        <v>2</v>
      </c>
      <c r="E11" s="185"/>
      <c r="F11" s="192"/>
      <c r="G11" s="192"/>
      <c r="H11" s="192"/>
    </row>
    <row r="12" spans="2:8" x14ac:dyDescent="0.25">
      <c r="B12" s="148" t="s">
        <v>972</v>
      </c>
      <c r="C12" s="82"/>
      <c r="D12" s="189">
        <v>3</v>
      </c>
      <c r="E12" s="186"/>
      <c r="F12" s="186"/>
      <c r="G12" s="186"/>
      <c r="H12" s="186"/>
    </row>
    <row r="13" spans="2:8" x14ac:dyDescent="0.25">
      <c r="B13" s="148" t="s">
        <v>61</v>
      </c>
      <c r="C13" s="82"/>
      <c r="D13" s="189">
        <v>4</v>
      </c>
      <c r="E13" s="186"/>
      <c r="F13" s="186"/>
      <c r="G13" s="186"/>
      <c r="H13" s="186"/>
    </row>
    <row r="14" spans="2:8" x14ac:dyDescent="0.25">
      <c r="B14" s="148" t="s">
        <v>268</v>
      </c>
      <c r="C14" s="115"/>
      <c r="D14" s="191">
        <v>5</v>
      </c>
      <c r="E14" s="186"/>
      <c r="F14" s="193"/>
      <c r="G14" s="193"/>
      <c r="H14" s="193"/>
    </row>
    <row r="15" spans="2:8" x14ac:dyDescent="0.25">
      <c r="B15" s="148" t="s">
        <v>269</v>
      </c>
      <c r="C15" s="115"/>
      <c r="D15" s="191">
        <v>6</v>
      </c>
      <c r="E15" s="186"/>
      <c r="F15" s="193"/>
      <c r="G15" s="193"/>
      <c r="H15" s="193"/>
    </row>
    <row r="16" spans="2:8" x14ac:dyDescent="0.25">
      <c r="B16" s="330" t="str">
        <f>IF(inputPrYr!D24="","","Computation to Determine State Library Grant")</f>
        <v>Computation to Determine State Library Grant</v>
      </c>
      <c r="C16" s="115"/>
      <c r="D16" s="201">
        <f>IF(inputPrYr!D24="","",'Library Grant '!F40)</f>
        <v>7</v>
      </c>
      <c r="E16" s="768"/>
      <c r="F16" s="193"/>
      <c r="G16" s="193"/>
      <c r="H16" s="193"/>
    </row>
    <row r="17" spans="2:8" x14ac:dyDescent="0.25">
      <c r="B17" s="194" t="s">
        <v>270</v>
      </c>
      <c r="C17" s="195" t="s">
        <v>271</v>
      </c>
      <c r="D17" s="196"/>
      <c r="E17" s="240"/>
      <c r="F17" s="197"/>
      <c r="G17" s="197"/>
      <c r="H17" s="197"/>
    </row>
    <row r="18" spans="2:8" x14ac:dyDescent="0.25">
      <c r="B18" s="87" t="s">
        <v>258</v>
      </c>
      <c r="C18" s="198" t="str">
        <f>IF(inputPrYr!C22&gt;0,(inputPrYr!C22),"  ")</f>
        <v>12-101a</v>
      </c>
      <c r="D18" s="191">
        <f>general!D44</f>
        <v>8</v>
      </c>
      <c r="E18" s="767">
        <f>general!D85</f>
        <v>6803931</v>
      </c>
      <c r="F18" s="354">
        <f>IF(general!$E$85&lt;&gt;0,general!$E$85,"  ")</f>
        <v>7264267</v>
      </c>
      <c r="G18" s="732">
        <f>IF(general!$E$92&lt;&gt;0,general!$E$92,0)</f>
        <v>1226708.7800000003</v>
      </c>
      <c r="H18" s="733" t="str">
        <f>IF($C$58=0,"",ROUND(G18/$C$58*1000,3))</f>
        <v/>
      </c>
    </row>
    <row r="19" spans="2:8" x14ac:dyDescent="0.25">
      <c r="B19" s="107" t="str">
        <f>IF(inputPrYr!$B23&gt;"  ",(inputPrYr!$B23),"  ")</f>
        <v>Debt Service</v>
      </c>
      <c r="C19" s="198" t="str">
        <f>IF(inputPrYr!C23&gt;0,(inputPrYr!C23),"  ")</f>
        <v>10-113</v>
      </c>
      <c r="D19" s="191">
        <f>'Debt Service'!D52</f>
        <v>9</v>
      </c>
      <c r="E19" s="191"/>
      <c r="F19" s="354">
        <f>IF('Debt Service'!$E$43&lt;&gt;0,'Debt Service'!$E$43,"  ")</f>
        <v>3576632</v>
      </c>
      <c r="G19" s="732">
        <f>IF('Debt Service'!$E$50&lt;&gt;0,'Debt Service'!$E$50,0)</f>
        <v>471744</v>
      </c>
      <c r="H19" s="733" t="str">
        <f>IF($C$58=0,"",ROUND(G19/$C$58*1000,3))</f>
        <v/>
      </c>
    </row>
    <row r="20" spans="2:8" x14ac:dyDescent="0.25">
      <c r="B20" s="107" t="str">
        <f>IF(inputPrYr!$B24&gt;"  ",(inputPrYr!$B24),"  ")</f>
        <v>Library</v>
      </c>
      <c r="C20" s="198" t="str">
        <f>IF(inputPrYr!C24&gt;0,(inputPrYr!C24),"  ")</f>
        <v>12-1220</v>
      </c>
      <c r="D20" s="191">
        <f>IF(Library!B32&gt;0,Library!B32,"  ")</f>
        <v>10</v>
      </c>
      <c r="E20" s="191"/>
      <c r="F20" s="354">
        <f>IF(Library!$D$23&lt;&gt;0,Library!$D$23,"  ")</f>
        <v>353748</v>
      </c>
      <c r="G20" s="732">
        <f>IF(Library!$D$30&lt;&gt;0,Library!$D$30,0)</f>
        <v>327283</v>
      </c>
      <c r="H20" s="733" t="str">
        <f>IF($C$58=0,"",ROUND(G20/$C$58*1000,3))</f>
        <v/>
      </c>
    </row>
    <row r="21" spans="2:8" x14ac:dyDescent="0.25">
      <c r="B21" s="199" t="str">
        <f>IF(inputPrYr!$B29&gt;"  ",(inputPrYr!$B29),"  ")</f>
        <v>Spec. Rev. Aquatic Park Facility Sales Tax</v>
      </c>
      <c r="C21" s="200"/>
      <c r="D21" s="201">
        <f>IF('AqFac Co Infra'!C69&gt;0,'AqFac Co Infra'!C69,"  ")</f>
        <v>11</v>
      </c>
      <c r="E21" s="201"/>
      <c r="F21" s="354">
        <f>IF('AqFac Co Infra'!$E$30&gt;0,'AqFac Co Infra'!$E$30,"  ")</f>
        <v>1252821</v>
      </c>
      <c r="G21" s="354"/>
      <c r="H21" s="734"/>
    </row>
    <row r="22" spans="2:8" x14ac:dyDescent="0.25">
      <c r="B22" s="199" t="str">
        <f>IF(inputPrYr!$B30&gt;"  ",(inputPrYr!$B30),"  ")</f>
        <v>Spec. Rev. County Infrastructure</v>
      </c>
      <c r="C22" s="202"/>
      <c r="D22" s="201">
        <f>IF('AqFac Co Infra'!C69&gt;0,'AqFac Co Infra'!C69,"  ")</f>
        <v>11</v>
      </c>
      <c r="E22" s="201"/>
      <c r="F22" s="354">
        <f>'AqFac Co Infra'!E63</f>
        <v>0</v>
      </c>
      <c r="G22" s="354"/>
      <c r="H22" s="734"/>
    </row>
    <row r="23" spans="2:8" x14ac:dyDescent="0.25">
      <c r="B23" s="199" t="str">
        <f>IF(inputPrYr!$B31&gt;"  ",(inputPrYr!$B31),"  ")</f>
        <v>Spec. Rev. Convention &amp; Tourism</v>
      </c>
      <c r="C23" s="203"/>
      <c r="D23" s="201">
        <f>IF('Conv Drug'!C69&gt;0,'Conv Drug'!C69,"  ")</f>
        <v>12</v>
      </c>
      <c r="E23" s="201"/>
      <c r="F23" s="354">
        <f>'Conv Drug'!E30</f>
        <v>80196</v>
      </c>
      <c r="G23" s="354"/>
      <c r="H23" s="734"/>
    </row>
    <row r="24" spans="2:8" x14ac:dyDescent="0.25">
      <c r="B24" s="199" t="str">
        <f>IF(inputPrYr!$B32&gt;"  ",(inputPrYr!$B32),"  ")</f>
        <v>Spec. Rev. Drug &amp; Alcohol</v>
      </c>
      <c r="C24" s="203"/>
      <c r="D24" s="201">
        <f>IF('Conv Drug'!C69&gt;0,'Conv Drug'!C69,"  ")</f>
        <v>12</v>
      </c>
      <c r="E24" s="201"/>
      <c r="F24" s="354">
        <f>'Conv Drug'!E63</f>
        <v>79325</v>
      </c>
      <c r="G24" s="354"/>
      <c r="H24" s="734"/>
    </row>
    <row r="25" spans="2:8" x14ac:dyDescent="0.25">
      <c r="B25" s="199" t="str">
        <f>IF(inputPrYr!$B33&gt;"  ",(inputPrYr!$B33),"  ")</f>
        <v>Spec. Rev. Economic Development</v>
      </c>
      <c r="C25" s="203"/>
      <c r="D25" s="201">
        <f>IF('ED EMS Cap'!C69&gt;0,'ED EMS Cap'!C69,"  ")</f>
        <v>13</v>
      </c>
      <c r="E25" s="201"/>
      <c r="F25" s="354">
        <f>'ED EMS Cap'!E30</f>
        <v>11417</v>
      </c>
      <c r="G25" s="354"/>
      <c r="H25" s="734"/>
    </row>
    <row r="26" spans="2:8" x14ac:dyDescent="0.25">
      <c r="B26" s="199" t="str">
        <f>IF(inputPrYr!$B34&gt;"  ",(inputPrYr!$B34),"  ")</f>
        <v>Spec. Rev. Emergency Services Capital</v>
      </c>
      <c r="C26" s="203"/>
      <c r="D26" s="201">
        <f>IF('ED EMS Cap'!C69&gt;0,'ED EMS Cap'!C69,"  ")</f>
        <v>13</v>
      </c>
      <c r="E26" s="782">
        <f>'ED EMS Cap'!D63</f>
        <v>481383</v>
      </c>
      <c r="F26" s="354">
        <f>'ED EMS Cap'!E63</f>
        <v>714118</v>
      </c>
      <c r="G26" s="354"/>
      <c r="H26" s="734"/>
    </row>
    <row r="27" spans="2:8" x14ac:dyDescent="0.25">
      <c r="B27" s="199" t="str">
        <f>IF(inputPrYr!$B35&gt;"  ",(inputPrYr!$B35),"  ")</f>
        <v>Spec. Rev. Emergency Medical Services</v>
      </c>
      <c r="C27" s="203"/>
      <c r="D27" s="201">
        <f>IF('EMS Lib Sales'!C69&gt;0,'EMS Lib Sales'!C69,"  ")</f>
        <v>14</v>
      </c>
      <c r="E27" s="201"/>
      <c r="F27" s="354">
        <f>'EMS Lib Sales'!E30</f>
        <v>554947</v>
      </c>
      <c r="G27" s="354"/>
      <c r="H27" s="734"/>
    </row>
    <row r="28" spans="2:8" x14ac:dyDescent="0.25">
      <c r="B28" s="199" t="str">
        <f>IF(inputPrYr!$B36&gt;"  ",(inputPrYr!$B36),"  ")</f>
        <v>Spec. Rev. Library Sales Tax</v>
      </c>
      <c r="C28" s="203"/>
      <c r="D28" s="201">
        <f>IF('EMS Lib Sales'!C69&gt;0,'EMS Lib Sales'!C69,"  ")</f>
        <v>14</v>
      </c>
      <c r="E28" s="201"/>
      <c r="F28" s="354">
        <f>'EMS Lib Sales'!E63</f>
        <v>436530</v>
      </c>
      <c r="G28" s="354"/>
      <c r="H28" s="734"/>
    </row>
    <row r="29" spans="2:8" x14ac:dyDescent="0.25">
      <c r="B29" s="199" t="str">
        <f>IF(inputPrYr!$B37&gt;"  ",(inputPrYr!$B37),"  ")</f>
        <v>Spec. Rev. Park Dedication</v>
      </c>
      <c r="C29" s="200"/>
      <c r="D29" s="201">
        <f>IF('Park Dec Rec Prog'!C69&gt;0,'Park Dec Rec Prog'!C69,"  ")</f>
        <v>15</v>
      </c>
      <c r="E29" s="201"/>
      <c r="F29" s="354">
        <f>'Park Dec Rec Prog'!E30</f>
        <v>0</v>
      </c>
      <c r="G29" s="354"/>
      <c r="H29" s="734"/>
    </row>
    <row r="30" spans="2:8" x14ac:dyDescent="0.25">
      <c r="B30" s="199" t="str">
        <f>IF(inputPrYr!$B38&gt;"  ",(inputPrYr!$B38),"  ")</f>
        <v>Spec. Rev. Recreation Programs</v>
      </c>
      <c r="C30" s="200"/>
      <c r="D30" s="201">
        <f>IF('Park Dec Rec Prog'!C69&gt;0,'Park Dec Rec Prog'!C69,"  ")</f>
        <v>15</v>
      </c>
      <c r="E30" s="782">
        <f>'Park Dec Rec Prog'!D63</f>
        <v>63469</v>
      </c>
      <c r="F30" s="354">
        <f>'Park Dec Rec Prog'!E63</f>
        <v>73460</v>
      </c>
      <c r="G30" s="354"/>
      <c r="H30" s="734"/>
    </row>
    <row r="31" spans="2:8" x14ac:dyDescent="0.25">
      <c r="B31" s="199" t="str">
        <f>IF(inputPrYr!$B39&gt;"  ",(inputPrYr!$B39),"  ")</f>
        <v>Spec. Rev. Risk Management</v>
      </c>
      <c r="C31" s="200"/>
      <c r="D31" s="201">
        <f>IF('Risk Sen Ctr'!C69&gt;0,'Risk Sen Ctr'!C69,"  ")</f>
        <v>16</v>
      </c>
      <c r="E31" s="201"/>
      <c r="F31" s="354">
        <f>'Risk Sen Ctr'!E30</f>
        <v>134289</v>
      </c>
      <c r="G31" s="354"/>
      <c r="H31" s="734"/>
    </row>
    <row r="32" spans="2:8" x14ac:dyDescent="0.25">
      <c r="B32" s="199" t="str">
        <f>IF(inputPrYr!$B40&gt;"  ",(inputPrYr!$B40),"  ")</f>
        <v>Spec. Rev. Senior Center</v>
      </c>
      <c r="C32" s="200"/>
      <c r="D32" s="201">
        <f>IF('Risk Sen Ctr'!C69&gt;0,'Risk Sen Ctr'!C69,"  ")</f>
        <v>16</v>
      </c>
      <c r="E32" s="201"/>
      <c r="F32" s="354">
        <f>'Risk Sen Ctr'!E63</f>
        <v>47450</v>
      </c>
      <c r="G32" s="354"/>
      <c r="H32" s="734"/>
    </row>
    <row r="33" spans="2:8" x14ac:dyDescent="0.25">
      <c r="B33" s="199" t="str">
        <f>IF(inputPrYr!$B41&gt;"  ",(inputPrYr!$B41),"  ")</f>
        <v>Spec. Rev. Sidewalk Escrow</v>
      </c>
      <c r="C33" s="200"/>
      <c r="D33" s="201">
        <f>'Side Soccer'!C69</f>
        <v>17</v>
      </c>
      <c r="E33" s="201"/>
      <c r="F33" s="354">
        <f>'Side Soccer'!E30</f>
        <v>34383</v>
      </c>
      <c r="G33" s="354"/>
      <c r="H33" s="734"/>
    </row>
    <row r="34" spans="2:8" x14ac:dyDescent="0.25">
      <c r="B34" s="199" t="str">
        <f>IF(inputPrYr!$B42&gt;"  ",(inputPrYr!$B42),"  ")</f>
        <v>Spec. Rev. Soccer</v>
      </c>
      <c r="C34" s="200"/>
      <c r="D34" s="201">
        <f>'Side Soccer'!C69</f>
        <v>17</v>
      </c>
      <c r="E34" s="201"/>
      <c r="F34" s="354">
        <f>'Side Soccer'!E63</f>
        <v>8910</v>
      </c>
      <c r="G34" s="354"/>
      <c r="H34" s="734"/>
    </row>
    <row r="35" spans="2:8" x14ac:dyDescent="0.25">
      <c r="B35" s="199" t="str">
        <f>IF(inputPrYr!$B43&gt;"  ",(inputPrYr!$B43),"  ")</f>
        <v>Spec. Rev. Special Parks &amp; Recreation</v>
      </c>
      <c r="C35" s="200"/>
      <c r="D35" s="201">
        <f>'Spec Park Street'!C68</f>
        <v>18</v>
      </c>
      <c r="E35" s="201"/>
      <c r="F35" s="354">
        <f>'Spec Park Street'!E30</f>
        <v>102900</v>
      </c>
      <c r="G35" s="354"/>
      <c r="H35" s="734"/>
    </row>
    <row r="36" spans="2:8" x14ac:dyDescent="0.25">
      <c r="B36" s="199" t="str">
        <f>IF(inputPrYr!$B44&gt;"  ",(inputPrYr!$B44),"  ")</f>
        <v>Spec. Rev. Street Projects</v>
      </c>
      <c r="C36" s="200"/>
      <c r="D36" s="201">
        <f>'Spec Park Street'!C68</f>
        <v>18</v>
      </c>
      <c r="E36" s="782">
        <f>'Spec Park Street'!D62</f>
        <v>622600</v>
      </c>
      <c r="F36" s="354">
        <f>'Spec Park Street'!E62</f>
        <v>537412</v>
      </c>
      <c r="G36" s="354"/>
      <c r="H36" s="734"/>
    </row>
    <row r="37" spans="2:8" x14ac:dyDescent="0.25">
      <c r="B37" s="199" t="str">
        <f>IF(inputPrYr!$B45&gt;"  ",(inputPrYr!$B45),"  ")</f>
        <v>Spec. Rev. Summer Ball</v>
      </c>
      <c r="C37" s="200"/>
      <c r="D37" s="801">
        <f>'Ball Pool'!C67</f>
        <v>19</v>
      </c>
      <c r="E37" s="201"/>
      <c r="F37" s="354">
        <f>'Ball Pool'!E25</f>
        <v>42270</v>
      </c>
      <c r="G37" s="354"/>
      <c r="H37" s="734"/>
    </row>
    <row r="38" spans="2:8" x14ac:dyDescent="0.25">
      <c r="B38" s="199" t="str">
        <f>IF(inputPrYr!$B46&gt;"  ",(inputPrYr!$B46),"  ")</f>
        <v>Spec. Rev. Swimming Pool</v>
      </c>
      <c r="C38" s="200"/>
      <c r="D38" s="801">
        <f>'Ball Pool'!C67</f>
        <v>19</v>
      </c>
      <c r="E38" s="201"/>
      <c r="F38" s="354">
        <f>'Ball Pool'!E63</f>
        <v>245645</v>
      </c>
      <c r="G38" s="354"/>
      <c r="H38" s="734"/>
    </row>
    <row r="39" spans="2:8" x14ac:dyDescent="0.25">
      <c r="B39" s="199" t="str">
        <f>IF(inputPrYr!$B47&gt;"  ",(inputPrYr!$B47),"  ")</f>
        <v>Spec. Rev. Tiblow Transit</v>
      </c>
      <c r="C39" s="200"/>
      <c r="D39" s="201">
        <f>'Tiblow TIF Dev'!C64</f>
        <v>20</v>
      </c>
      <c r="E39" s="782">
        <f>'Tiblow TIF Dev'!D30</f>
        <v>79409</v>
      </c>
      <c r="F39" s="354">
        <f>'Tiblow TIF Dev'!E30</f>
        <v>95389</v>
      </c>
      <c r="G39" s="354"/>
      <c r="H39" s="734"/>
    </row>
    <row r="40" spans="2:8" x14ac:dyDescent="0.25">
      <c r="B40" s="199" t="str">
        <f>IF(inputPrYr!$B48&gt;"  ",(inputPrYr!$B48),"  ")</f>
        <v>Spec. Rev. TIF Develop Funds</v>
      </c>
      <c r="C40" s="200"/>
      <c r="D40" s="201">
        <f>'Tiblow TIF Dev'!C64</f>
        <v>20</v>
      </c>
      <c r="E40" s="201"/>
      <c r="F40" s="354">
        <f>'Tiblow TIF Dev'!E58</f>
        <v>0</v>
      </c>
      <c r="G40" s="354"/>
      <c r="H40" s="734"/>
    </row>
    <row r="41" spans="2:8" s="759" customFormat="1" x14ac:dyDescent="0.25">
      <c r="B41" s="199" t="str">
        <f>IF(inputPrYr!$B49&gt;"  ",(inputPrYr!$B49),"  ")</f>
        <v>Bonner Pointe TIF Increment</v>
      </c>
      <c r="C41" s="200"/>
      <c r="D41" s="201">
        <f>'TIF Inc CID Dev Fees'!C69</f>
        <v>22</v>
      </c>
      <c r="E41" s="201"/>
      <c r="F41" s="354">
        <f>'TIF Inc CID Dev Fees'!E30</f>
        <v>140000</v>
      </c>
      <c r="G41" s="354"/>
      <c r="H41" s="734"/>
    </row>
    <row r="42" spans="2:8" s="759" customFormat="1" x14ac:dyDescent="0.25">
      <c r="B42" s="199" t="str">
        <f>IF(inputPrYr!$B50&gt;"  ",(inputPrYr!$B50),"  ")</f>
        <v>CID Development Fees</v>
      </c>
      <c r="C42" s="200"/>
      <c r="D42" s="201">
        <f>'TIF Inc CID Dev Fees'!C69</f>
        <v>22</v>
      </c>
      <c r="E42" s="782">
        <f>'TIF Inc CID Dev Fees'!D63</f>
        <v>10000</v>
      </c>
      <c r="F42" s="354">
        <f>'TIF Inc CID Dev Fees'!E63</f>
        <v>0</v>
      </c>
      <c r="G42" s="354"/>
      <c r="H42" s="734"/>
    </row>
    <row r="43" spans="2:8" s="759" customFormat="1" x14ac:dyDescent="0.25">
      <c r="B43" s="199" t="str">
        <f>IF(inputPrYr!$B51&gt;"  ",(inputPrYr!$B51),"  ")</f>
        <v>Bonner Springs Center CID</v>
      </c>
      <c r="C43" s="203"/>
      <c r="D43" s="201">
        <f>'CID  City Contrib'!C69</f>
        <v>21</v>
      </c>
      <c r="E43" s="201"/>
      <c r="F43" s="354">
        <f>'CID  City Contrib'!E30</f>
        <v>100000</v>
      </c>
      <c r="G43" s="354"/>
      <c r="H43" s="734"/>
    </row>
    <row r="44" spans="2:8" s="759" customFormat="1" x14ac:dyDescent="0.25">
      <c r="B44" s="199" t="str">
        <f>IF(inputPrYr!$B52&gt;"  ",(inputPrYr!$B52),"  ")</f>
        <v>Bonner Springs Ctr City Contribution</v>
      </c>
      <c r="C44" s="203"/>
      <c r="D44" s="201">
        <f>'CID  City Contrib'!C69</f>
        <v>21</v>
      </c>
      <c r="E44" s="201"/>
      <c r="F44" s="354">
        <f>'CID  City Contrib'!E63</f>
        <v>33000</v>
      </c>
      <c r="G44" s="354"/>
      <c r="H44" s="734"/>
    </row>
    <row r="45" spans="2:8" s="759" customFormat="1" x14ac:dyDescent="0.25">
      <c r="B45" s="199" t="str">
        <f>IF(inputPrYr!$B53&gt;"  ",(inputPrYr!$B53),"  ")</f>
        <v>Enterprise Fund - Solid Waste</v>
      </c>
      <c r="C45" s="203"/>
      <c r="D45" s="201">
        <f>'Waste Storm'!C68</f>
        <v>23</v>
      </c>
      <c r="E45" s="201"/>
      <c r="F45" s="354">
        <f>'Waste Storm'!E30</f>
        <v>338184</v>
      </c>
      <c r="G45" s="354"/>
      <c r="H45" s="734"/>
    </row>
    <row r="46" spans="2:8" s="759" customFormat="1" x14ac:dyDescent="0.25">
      <c r="B46" s="199" t="str">
        <f>IF(inputPrYr!$B54&gt;"  ",(inputPrYr!$B54),"  ")</f>
        <v>Enterprise Fund - Storm Water</v>
      </c>
      <c r="C46" s="203"/>
      <c r="D46" s="201">
        <f>'Waste Storm'!C68</f>
        <v>23</v>
      </c>
      <c r="E46" s="201"/>
      <c r="F46" s="354">
        <f>'Waste Storm'!E62</f>
        <v>110293</v>
      </c>
      <c r="G46" s="354"/>
      <c r="H46" s="734"/>
    </row>
    <row r="47" spans="2:8" x14ac:dyDescent="0.25">
      <c r="B47" s="199" t="str">
        <f>IF(inputPrYr!$B55&gt;"  ",(inputPrYr!$B55),"  ")</f>
        <v>Enterprise Fund - Waste Water</v>
      </c>
      <c r="C47" s="203"/>
      <c r="D47" s="201">
        <f>'Waste Water'!C50</f>
        <v>24</v>
      </c>
      <c r="E47" s="782">
        <f>'Waste Water'!D44</f>
        <v>1575843</v>
      </c>
      <c r="F47" s="354">
        <f>'Waste Water'!E44</f>
        <v>1481719</v>
      </c>
      <c r="G47" s="354"/>
      <c r="H47" s="734"/>
    </row>
    <row r="48" spans="2:8" x14ac:dyDescent="0.25">
      <c r="B48" s="199" t="str">
        <f>IF(inputPrYr!$B56&gt;"  ",(inputPrYr!$B56),"  ")</f>
        <v>Enterprise Fund - Water</v>
      </c>
      <c r="C48" s="203"/>
      <c r="D48" s="201">
        <f>Water!C48</f>
        <v>25</v>
      </c>
      <c r="E48" s="201"/>
      <c r="F48" s="354">
        <f>Water!E42</f>
        <v>1665041</v>
      </c>
      <c r="G48" s="354"/>
      <c r="H48" s="734"/>
    </row>
    <row r="49" spans="2:8" ht="16.2" thickBot="1" x14ac:dyDescent="0.3">
      <c r="B49" s="199" t="str">
        <f>IF(inputPrYr!$B57&gt;"  ",(inputPrYr!$B57),"  ")</f>
        <v>Non Budgeted Funds</v>
      </c>
      <c r="C49" s="203"/>
      <c r="D49" s="201">
        <f>NonBudA!F33</f>
        <v>26</v>
      </c>
      <c r="E49" s="201"/>
      <c r="F49" s="354"/>
      <c r="G49" s="354"/>
      <c r="H49" s="734"/>
    </row>
    <row r="50" spans="2:8" ht="16.2" thickBot="1" x14ac:dyDescent="0.3">
      <c r="B50" s="337" t="s">
        <v>765</v>
      </c>
      <c r="C50" s="108"/>
      <c r="D50" s="363" t="s">
        <v>273</v>
      </c>
      <c r="E50" s="769"/>
      <c r="F50" s="735">
        <f>SUM(F18:F49)</f>
        <v>19514346</v>
      </c>
      <c r="G50" s="735">
        <f>SUM(G18:G49)</f>
        <v>2025735.7800000003</v>
      </c>
      <c r="H50" s="736" t="str">
        <f>IF(SUM(H18:H49)=0,"",SUM(H18:H49))</f>
        <v/>
      </c>
    </row>
    <row r="51" spans="2:8" ht="16.2" thickTop="1" x14ac:dyDescent="0.25">
      <c r="B51" s="204" t="s">
        <v>150</v>
      </c>
      <c r="C51" s="205"/>
      <c r="D51" s="206"/>
      <c r="E51" s="770"/>
      <c r="F51" s="546"/>
      <c r="G51" s="547" t="str">
        <f>IF(G50&gt;computation!J40,"Yes","No")</f>
        <v>No</v>
      </c>
      <c r="H51" s="432"/>
    </row>
    <row r="52" spans="2:8" x14ac:dyDescent="0.25">
      <c r="B52" s="148" t="s">
        <v>149</v>
      </c>
      <c r="C52" s="115"/>
      <c r="D52" s="191">
        <f>summ!D65</f>
        <v>27</v>
      </c>
      <c r="E52" s="764"/>
      <c r="F52" s="67"/>
      <c r="G52" s="67"/>
      <c r="H52" s="67"/>
    </row>
    <row r="53" spans="2:8" x14ac:dyDescent="0.25">
      <c r="B53" s="148" t="s">
        <v>182</v>
      </c>
      <c r="C53" s="115"/>
      <c r="D53" s="191" t="str">
        <f>IF(nhood!C40&gt;0,nhood!C40,"")</f>
        <v/>
      </c>
      <c r="E53" s="764"/>
      <c r="F53" s="67"/>
      <c r="G53" s="67"/>
      <c r="H53" s="67"/>
    </row>
    <row r="54" spans="2:8" x14ac:dyDescent="0.25">
      <c r="B54" s="207" t="s">
        <v>166</v>
      </c>
      <c r="C54" s="846" t="s">
        <v>65</v>
      </c>
      <c r="D54" s="847"/>
      <c r="E54" s="771"/>
      <c r="F54" s="433"/>
      <c r="G54" s="96"/>
      <c r="H54" s="96"/>
    </row>
    <row r="55" spans="2:8" x14ac:dyDescent="0.25">
      <c r="B55" s="208" t="str">
        <f>inputPrYr!D4</f>
        <v>Wyandotte County</v>
      </c>
      <c r="C55" s="848"/>
      <c r="D55" s="849"/>
      <c r="E55" s="772"/>
      <c r="F55" s="434"/>
      <c r="G55" s="96"/>
      <c r="H55" s="96"/>
    </row>
    <row r="56" spans="2:8" x14ac:dyDescent="0.25">
      <c r="B56" s="87" t="str">
        <f>inputPrYr!D6</f>
        <v>Johnson</v>
      </c>
      <c r="C56" s="848"/>
      <c r="D56" s="849"/>
      <c r="E56" s="772"/>
      <c r="F56" s="434"/>
      <c r="G56" s="96"/>
      <c r="H56" s="96"/>
    </row>
    <row r="57" spans="2:8" x14ac:dyDescent="0.25">
      <c r="B57" s="87" t="str">
        <f>inputPrYr!D7</f>
        <v>Leavenworth</v>
      </c>
      <c r="C57" s="848"/>
      <c r="D57" s="849"/>
      <c r="E57" s="772"/>
      <c r="F57" s="434"/>
      <c r="G57" s="96"/>
      <c r="H57" s="96"/>
    </row>
    <row r="58" spans="2:8" x14ac:dyDescent="0.25">
      <c r="B58" s="208" t="s">
        <v>167</v>
      </c>
      <c r="C58" s="851">
        <f>SUM(C55:D57)</f>
        <v>0</v>
      </c>
      <c r="D58" s="852"/>
      <c r="E58" s="773"/>
      <c r="F58" s="658"/>
      <c r="G58" s="96"/>
      <c r="H58" s="96"/>
    </row>
    <row r="59" spans="2:8" x14ac:dyDescent="0.25">
      <c r="B59" s="67" t="s">
        <v>274</v>
      </c>
      <c r="C59" s="853" t="str">
        <f>CONCATENATE("Nov 1, ",H1-1," Total Accessed Valuation")</f>
        <v>Nov 1, 2012 Total Accessed Valuation</v>
      </c>
      <c r="D59" s="854"/>
      <c r="E59" s="774"/>
      <c r="F59" s="96" t="s">
        <v>895</v>
      </c>
      <c r="G59" s="96"/>
      <c r="H59" s="96"/>
    </row>
    <row r="60" spans="2:8" x14ac:dyDescent="0.25">
      <c r="B60" s="210"/>
      <c r="C60" s="855"/>
      <c r="D60" s="856"/>
      <c r="E60" s="774"/>
      <c r="G60" s="659" t="s">
        <v>1221</v>
      </c>
      <c r="H60" s="274"/>
    </row>
    <row r="61" spans="2:8" x14ac:dyDescent="0.25">
      <c r="B61" s="211"/>
      <c r="C61" s="96"/>
      <c r="D61" s="67"/>
      <c r="E61" s="67"/>
      <c r="F61" s="96" t="s">
        <v>895</v>
      </c>
      <c r="G61" s="274"/>
      <c r="H61" s="274"/>
    </row>
    <row r="62" spans="2:8" x14ac:dyDescent="0.25">
      <c r="B62" s="95" t="s">
        <v>77</v>
      </c>
      <c r="C62" s="209"/>
      <c r="D62" s="96"/>
      <c r="E62" s="96"/>
      <c r="F62" s="96" t="s">
        <v>261</v>
      </c>
      <c r="G62" s="656"/>
      <c r="H62" s="656"/>
    </row>
    <row r="63" spans="2:8" x14ac:dyDescent="0.25">
      <c r="B63" s="210"/>
      <c r="C63" s="209"/>
      <c r="D63" s="96"/>
      <c r="E63" s="96"/>
      <c r="F63" s="96" t="s">
        <v>895</v>
      </c>
      <c r="G63" s="656"/>
      <c r="H63" s="656"/>
    </row>
    <row r="64" spans="2:8" x14ac:dyDescent="0.25">
      <c r="B64" s="211"/>
      <c r="C64" s="209"/>
      <c r="D64" s="96"/>
      <c r="E64" s="96"/>
      <c r="F64" s="96" t="s">
        <v>1222</v>
      </c>
      <c r="G64" s="660"/>
      <c r="H64" s="660"/>
    </row>
    <row r="65" spans="2:8" x14ac:dyDescent="0.25">
      <c r="B65" s="657" t="s">
        <v>894</v>
      </c>
      <c r="C65" s="212"/>
      <c r="D65" s="96"/>
      <c r="E65" s="96"/>
      <c r="F65" s="96" t="s">
        <v>895</v>
      </c>
      <c r="G65" s="656"/>
      <c r="H65" s="656"/>
    </row>
    <row r="66" spans="2:8" x14ac:dyDescent="0.25">
      <c r="B66" s="210"/>
      <c r="C66" s="212"/>
      <c r="D66" s="96"/>
      <c r="E66" s="96"/>
      <c r="F66" s="96" t="s">
        <v>1223</v>
      </c>
      <c r="G66" s="660"/>
      <c r="H66" s="660"/>
    </row>
    <row r="67" spans="2:8" x14ac:dyDescent="0.25">
      <c r="B67" s="549" t="s">
        <v>168</v>
      </c>
      <c r="C67" s="213">
        <f>H1-1</f>
        <v>2012</v>
      </c>
      <c r="D67" s="96"/>
      <c r="E67" s="96"/>
      <c r="F67" s="96" t="s">
        <v>895</v>
      </c>
      <c r="G67" s="661"/>
      <c r="H67" s="96"/>
    </row>
    <row r="68" spans="2:8" x14ac:dyDescent="0.25">
      <c r="B68" s="548"/>
      <c r="C68" s="67"/>
      <c r="D68" s="96"/>
      <c r="E68" s="96"/>
      <c r="F68" s="96" t="s">
        <v>895</v>
      </c>
      <c r="G68" s="96"/>
      <c r="H68" s="96"/>
    </row>
    <row r="69" spans="2:8" x14ac:dyDescent="0.25">
      <c r="B69" s="85" t="s">
        <v>275</v>
      </c>
      <c r="C69" s="67"/>
      <c r="D69" s="660"/>
      <c r="E69" s="660"/>
      <c r="F69" s="850" t="s">
        <v>261</v>
      </c>
      <c r="G69" s="839"/>
      <c r="H69" s="839"/>
    </row>
    <row r="70" spans="2:8" x14ac:dyDescent="0.25">
      <c r="B70" s="50"/>
    </row>
    <row r="76" spans="2:8" hidden="1" x14ac:dyDescent="0.25">
      <c r="C76" s="63" t="e">
        <f>inputOth!#REF!</f>
        <v>#REF!</v>
      </c>
    </row>
    <row r="80" spans="2:8" ht="15" x14ac:dyDescent="0.25">
      <c r="B80" s="127"/>
      <c r="C80" s="127"/>
      <c r="D80" s="127"/>
      <c r="E80" s="761"/>
      <c r="F80" s="127"/>
      <c r="G80" s="127"/>
      <c r="H80" s="127"/>
    </row>
    <row r="81" spans="2:8" ht="15" x14ac:dyDescent="0.25">
      <c r="B81" s="127"/>
      <c r="C81" s="127"/>
      <c r="D81" s="127"/>
      <c r="E81" s="761"/>
      <c r="F81" s="127"/>
      <c r="G81" s="127"/>
      <c r="H81" s="127"/>
    </row>
    <row r="82" spans="2:8" ht="15" x14ac:dyDescent="0.25">
      <c r="B82" s="127"/>
      <c r="C82" s="127"/>
      <c r="D82" s="127"/>
      <c r="E82" s="761"/>
      <c r="F82" s="127"/>
      <c r="G82" s="127"/>
      <c r="H82" s="127"/>
    </row>
    <row r="83" spans="2:8" ht="15" x14ac:dyDescent="0.25">
      <c r="B83" s="127"/>
      <c r="C83" s="127"/>
      <c r="D83" s="127"/>
      <c r="E83" s="761"/>
      <c r="F83" s="127"/>
      <c r="G83" s="127"/>
      <c r="H83" s="127"/>
    </row>
    <row r="84" spans="2:8" ht="15" x14ac:dyDescent="0.25">
      <c r="B84" s="127"/>
      <c r="C84" s="127"/>
      <c r="D84" s="127"/>
      <c r="E84" s="761"/>
      <c r="F84" s="127"/>
      <c r="G84" s="127"/>
      <c r="H84" s="127"/>
    </row>
    <row r="85" spans="2:8" ht="15" x14ac:dyDescent="0.25">
      <c r="B85" s="127"/>
      <c r="C85" s="127"/>
      <c r="D85" s="127"/>
      <c r="E85" s="761"/>
      <c r="F85" s="127"/>
      <c r="G85" s="127"/>
      <c r="H85" s="127"/>
    </row>
    <row r="86" spans="2:8" ht="15" x14ac:dyDescent="0.25">
      <c r="B86" s="127"/>
      <c r="C86" s="127"/>
      <c r="D86" s="127"/>
      <c r="E86" s="761"/>
      <c r="F86" s="127"/>
      <c r="G86" s="127"/>
      <c r="H86" s="127"/>
    </row>
    <row r="87" spans="2:8" ht="15" x14ac:dyDescent="0.25">
      <c r="B87" s="127"/>
      <c r="C87" s="127"/>
      <c r="D87" s="127"/>
      <c r="E87" s="761"/>
      <c r="F87" s="127"/>
      <c r="G87" s="127"/>
      <c r="H87" s="127"/>
    </row>
    <row r="88" spans="2:8" ht="15" x14ac:dyDescent="0.25">
      <c r="B88" s="127"/>
      <c r="C88" s="127"/>
      <c r="D88" s="127"/>
      <c r="E88" s="761"/>
      <c r="F88" s="127"/>
      <c r="G88" s="127"/>
      <c r="H88" s="127"/>
    </row>
    <row r="89" spans="2:8" ht="15" x14ac:dyDescent="0.25">
      <c r="B89" s="127"/>
      <c r="C89" s="127"/>
      <c r="D89" s="127"/>
      <c r="E89" s="761"/>
      <c r="F89" s="127"/>
      <c r="G89" s="127"/>
      <c r="H89" s="127"/>
    </row>
    <row r="90" spans="2:8" ht="15" x14ac:dyDescent="0.25">
      <c r="B90" s="127"/>
      <c r="C90" s="127"/>
      <c r="D90" s="127"/>
      <c r="E90" s="761"/>
      <c r="F90" s="127"/>
      <c r="G90" s="127"/>
      <c r="H90" s="127"/>
    </row>
    <row r="91" spans="2:8" ht="15" x14ac:dyDescent="0.25">
      <c r="B91" s="127"/>
      <c r="C91" s="127"/>
      <c r="D91" s="127"/>
      <c r="E91" s="761"/>
      <c r="F91" s="127"/>
      <c r="G91" s="127"/>
      <c r="H91" s="127"/>
    </row>
    <row r="92" spans="2:8" ht="15" x14ac:dyDescent="0.25">
      <c r="B92" s="127"/>
      <c r="C92" s="127"/>
      <c r="D92" s="127"/>
      <c r="E92" s="761"/>
      <c r="F92" s="127"/>
      <c r="G92" s="127"/>
      <c r="H92" s="127"/>
    </row>
    <row r="93" spans="2:8" ht="15" x14ac:dyDescent="0.25">
      <c r="B93" s="127"/>
      <c r="C93" s="127"/>
      <c r="D93" s="127"/>
      <c r="E93" s="761"/>
      <c r="F93" s="127"/>
      <c r="G93" s="127"/>
      <c r="H93" s="127"/>
    </row>
    <row r="94" spans="2:8" ht="15" x14ac:dyDescent="0.25">
      <c r="B94" s="127"/>
      <c r="C94" s="127"/>
      <c r="D94" s="127"/>
      <c r="E94" s="761"/>
      <c r="F94" s="127"/>
      <c r="G94" s="127"/>
      <c r="H94" s="127"/>
    </row>
    <row r="95" spans="2:8" ht="15" x14ac:dyDescent="0.25">
      <c r="B95" s="127"/>
      <c r="C95" s="127"/>
      <c r="D95" s="127"/>
      <c r="E95" s="761"/>
      <c r="F95" s="127"/>
      <c r="G95" s="127"/>
      <c r="H95" s="127"/>
    </row>
    <row r="98" spans="2:8" x14ac:dyDescent="0.25">
      <c r="B98" s="50"/>
      <c r="C98" s="50"/>
      <c r="D98" s="50"/>
      <c r="E98" s="50"/>
      <c r="F98" s="50"/>
      <c r="G98" s="50"/>
      <c r="H98" s="50"/>
    </row>
  </sheetData>
  <mergeCells count="9">
    <mergeCell ref="B2:H2"/>
    <mergeCell ref="B5:H5"/>
    <mergeCell ref="C54:D54"/>
    <mergeCell ref="C55:D55"/>
    <mergeCell ref="F69:H69"/>
    <mergeCell ref="C56:D56"/>
    <mergeCell ref="C57:D57"/>
    <mergeCell ref="C58:D58"/>
    <mergeCell ref="C59:D60"/>
  </mergeCells>
  <phoneticPr fontId="0" type="noConversion"/>
  <printOptions horizontalCentered="1" verticalCentered="1"/>
  <pageMargins left="0.75" right="0.5" top="0.25" bottom="0.25" header="0.25" footer="0.25"/>
  <pageSetup scale="65"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zoomScale="85" workbookViewId="0">
      <selection activeCell="J40" sqref="J40"/>
    </sheetView>
  </sheetViews>
  <sheetFormatPr defaultColWidth="8.9140625" defaultRowHeight="15.9" customHeight="1" x14ac:dyDescent="0.25"/>
  <cols>
    <col min="1" max="2" width="3.33203125" style="50" customWidth="1"/>
    <col min="3" max="3" width="31.33203125" style="50" customWidth="1"/>
    <col min="4" max="4" width="2.33203125" style="50" customWidth="1"/>
    <col min="5" max="5" width="15.75" style="50" customWidth="1"/>
    <col min="6" max="6" width="2" style="50" customWidth="1"/>
    <col min="7" max="7" width="15.75" style="50" customWidth="1"/>
    <col min="8" max="8" width="1.9140625" style="50" customWidth="1"/>
    <col min="9" max="9" width="1.75" style="50" customWidth="1"/>
    <col min="10" max="10" width="15.75" style="50" customWidth="1"/>
    <col min="11" max="16384" width="8.9140625" style="50"/>
  </cols>
  <sheetData>
    <row r="1" spans="1:10" ht="15.9" customHeight="1" x14ac:dyDescent="0.25">
      <c r="A1" s="129"/>
      <c r="B1" s="129"/>
      <c r="C1" s="128" t="str">
        <f>inputPrYr!D3</f>
        <v>City of Bonner Springs</v>
      </c>
      <c r="D1" s="129"/>
      <c r="E1" s="129"/>
      <c r="F1" s="129"/>
      <c r="G1" s="129"/>
      <c r="H1" s="129"/>
      <c r="I1" s="129"/>
      <c r="J1" s="129">
        <f>inputPrYr!C10</f>
        <v>2013</v>
      </c>
    </row>
    <row r="2" spans="1:10" ht="15.9" customHeight="1" x14ac:dyDescent="0.25">
      <c r="A2" s="129"/>
      <c r="B2" s="129"/>
      <c r="C2" s="129"/>
      <c r="D2" s="129"/>
      <c r="E2" s="129"/>
      <c r="F2" s="129"/>
      <c r="G2" s="129"/>
      <c r="H2" s="129"/>
      <c r="I2" s="129"/>
      <c r="J2" s="129"/>
    </row>
    <row r="3" spans="1:10" ht="15.6" x14ac:dyDescent="0.25">
      <c r="A3" s="858" t="str">
        <f>CONCATENATE("Computation to Determine Limit for ",J1,"")</f>
        <v>Computation to Determine Limit for 2013</v>
      </c>
      <c r="B3" s="859"/>
      <c r="C3" s="859"/>
      <c r="D3" s="859"/>
      <c r="E3" s="859"/>
      <c r="F3" s="859"/>
      <c r="G3" s="859"/>
      <c r="H3" s="859"/>
      <c r="I3" s="859"/>
      <c r="J3" s="859"/>
    </row>
    <row r="4" spans="1:10" ht="15.6" x14ac:dyDescent="0.25">
      <c r="A4" s="129"/>
      <c r="B4" s="129"/>
      <c r="C4" s="129"/>
      <c r="D4" s="129"/>
      <c r="E4" s="859"/>
      <c r="F4" s="859"/>
      <c r="G4" s="859"/>
      <c r="H4" s="214"/>
      <c r="I4" s="129"/>
      <c r="J4" s="215" t="s">
        <v>13</v>
      </c>
    </row>
    <row r="5" spans="1:10" ht="15.6" x14ac:dyDescent="0.25">
      <c r="A5" s="216" t="s">
        <v>14</v>
      </c>
      <c r="B5" s="129" t="str">
        <f>CONCATENATE("Total Tax Levy Amount in ",J1-1," Budget")</f>
        <v>Total Tax Levy Amount in 2012 Budget</v>
      </c>
      <c r="C5" s="129"/>
      <c r="D5" s="129"/>
      <c r="E5" s="217"/>
      <c r="F5" s="217"/>
      <c r="G5" s="217"/>
      <c r="H5" s="218" t="s">
        <v>15</v>
      </c>
      <c r="I5" s="217" t="s">
        <v>16</v>
      </c>
      <c r="J5" s="219">
        <f>inputPrYr!E26</f>
        <v>2034437</v>
      </c>
    </row>
    <row r="6" spans="1:10" ht="15.6" x14ac:dyDescent="0.25">
      <c r="A6" s="216" t="s">
        <v>17</v>
      </c>
      <c r="B6" s="129" t="str">
        <f>CONCATENATE("Debt Service Levy in ",J1-1," Budget")</f>
        <v>Debt Service Levy in 2012 Budget</v>
      </c>
      <c r="C6" s="129"/>
      <c r="D6" s="129"/>
      <c r="E6" s="217"/>
      <c r="F6" s="217"/>
      <c r="G6" s="217"/>
      <c r="H6" s="218" t="s">
        <v>18</v>
      </c>
      <c r="I6" s="217" t="s">
        <v>16</v>
      </c>
      <c r="J6" s="220">
        <f>inputPrYr!E23</f>
        <v>462668</v>
      </c>
    </row>
    <row r="7" spans="1:10" ht="15.6" x14ac:dyDescent="0.25">
      <c r="A7" s="216" t="s">
        <v>42</v>
      </c>
      <c r="B7" s="221" t="s">
        <v>39</v>
      </c>
      <c r="C7" s="129"/>
      <c r="D7" s="129"/>
      <c r="E7" s="217"/>
      <c r="F7" s="217"/>
      <c r="G7" s="217"/>
      <c r="H7" s="217"/>
      <c r="I7" s="217" t="s">
        <v>16</v>
      </c>
      <c r="J7" s="222">
        <f>J5-J6</f>
        <v>1571769</v>
      </c>
    </row>
    <row r="8" spans="1:10" ht="15.6" x14ac:dyDescent="0.25">
      <c r="A8" s="129"/>
      <c r="B8" s="129"/>
      <c r="C8" s="129"/>
      <c r="D8" s="129"/>
      <c r="E8" s="217"/>
      <c r="F8" s="217"/>
      <c r="G8" s="217"/>
      <c r="H8" s="217"/>
      <c r="I8" s="217"/>
      <c r="J8" s="217"/>
    </row>
    <row r="9" spans="1:10" ht="15.6" x14ac:dyDescent="0.25">
      <c r="A9" s="129"/>
      <c r="B9" s="221" t="str">
        <f>CONCATENATE("",J1-1," Valuation Information for Valuation Adjustments:")</f>
        <v>2012 Valuation Information for Valuation Adjustments:</v>
      </c>
      <c r="C9" s="129"/>
      <c r="D9" s="129"/>
      <c r="E9" s="217"/>
      <c r="F9" s="217"/>
      <c r="G9" s="217"/>
      <c r="H9" s="217"/>
      <c r="I9" s="217"/>
      <c r="J9" s="217"/>
    </row>
    <row r="10" spans="1:10" ht="15.6" x14ac:dyDescent="0.25">
      <c r="A10" s="129"/>
      <c r="B10" s="129"/>
      <c r="C10" s="221"/>
      <c r="D10" s="129"/>
      <c r="E10" s="217"/>
      <c r="F10" s="217"/>
      <c r="G10" s="217"/>
      <c r="H10" s="217"/>
      <c r="I10" s="217"/>
      <c r="J10" s="217"/>
    </row>
    <row r="11" spans="1:10" ht="15.6" x14ac:dyDescent="0.25">
      <c r="A11" s="216" t="s">
        <v>19</v>
      </c>
      <c r="B11" s="221" t="str">
        <f>CONCATENATE("New Improvements for ",J1-1,":")</f>
        <v>New Improvements for 2012:</v>
      </c>
      <c r="C11" s="129"/>
      <c r="D11" s="129"/>
      <c r="E11" s="218"/>
      <c r="F11" s="218" t="s">
        <v>15</v>
      </c>
      <c r="G11" s="151">
        <f>inputOth!C14</f>
        <v>269778</v>
      </c>
      <c r="H11" s="223"/>
      <c r="I11" s="217"/>
      <c r="J11" s="217"/>
    </row>
    <row r="12" spans="1:10" ht="15.6" x14ac:dyDescent="0.25">
      <c r="A12" s="216"/>
      <c r="B12" s="224"/>
      <c r="C12" s="129"/>
      <c r="D12" s="129"/>
      <c r="E12" s="218"/>
      <c r="F12" s="218"/>
      <c r="G12" s="223"/>
      <c r="H12" s="223"/>
      <c r="I12" s="217"/>
      <c r="J12" s="217"/>
    </row>
    <row r="13" spans="1:10" ht="15.6" x14ac:dyDescent="0.25">
      <c r="A13" s="216" t="s">
        <v>20</v>
      </c>
      <c r="B13" s="221" t="str">
        <f>CONCATENATE("Increase in Personal Property for ",J1-1,":")</f>
        <v>Increase in Personal Property for 2012:</v>
      </c>
      <c r="C13" s="129"/>
      <c r="D13" s="129"/>
      <c r="E13" s="218"/>
      <c r="F13" s="218"/>
      <c r="G13" s="223"/>
      <c r="H13" s="223"/>
      <c r="I13" s="217"/>
      <c r="J13" s="217"/>
    </row>
    <row r="14" spans="1:10" ht="15.6" x14ac:dyDescent="0.25">
      <c r="A14" s="225"/>
      <c r="B14" s="129" t="s">
        <v>21</v>
      </c>
      <c r="C14" s="129" t="str">
        <f>CONCATENATE("Personal Property ",J1-1,"")</f>
        <v>Personal Property 2012</v>
      </c>
      <c r="D14" s="224" t="s">
        <v>15</v>
      </c>
      <c r="E14" s="151">
        <f>inputOth!D14</f>
        <v>2467627</v>
      </c>
      <c r="F14" s="218"/>
      <c r="G14" s="217"/>
      <c r="H14" s="217"/>
      <c r="I14" s="223"/>
      <c r="J14" s="217"/>
    </row>
    <row r="15" spans="1:10" ht="15.6" x14ac:dyDescent="0.25">
      <c r="A15" s="224"/>
      <c r="B15" s="129" t="s">
        <v>22</v>
      </c>
      <c r="C15" s="129" t="str">
        <f>CONCATENATE("Personal Property ",J1-2,"")</f>
        <v>Personal Property 2011</v>
      </c>
      <c r="D15" s="224" t="s">
        <v>18</v>
      </c>
      <c r="E15" s="226">
        <f>inputOth!F14</f>
        <v>2367874</v>
      </c>
      <c r="F15" s="218"/>
      <c r="G15" s="223"/>
      <c r="H15" s="223"/>
      <c r="I15" s="217"/>
      <c r="J15" s="217"/>
    </row>
    <row r="16" spans="1:10" ht="15.6" x14ac:dyDescent="0.25">
      <c r="A16" s="224"/>
      <c r="B16" s="129" t="s">
        <v>23</v>
      </c>
      <c r="C16" s="129" t="s">
        <v>41</v>
      </c>
      <c r="D16" s="129"/>
      <c r="E16" s="217"/>
      <c r="F16" s="217" t="s">
        <v>15</v>
      </c>
      <c r="G16" s="219">
        <f>IF(E14&gt;E15,E14-E15,0)</f>
        <v>99753</v>
      </c>
      <c r="H16" s="223"/>
      <c r="I16" s="217"/>
      <c r="J16" s="217"/>
    </row>
    <row r="17" spans="1:10" ht="15.6" x14ac:dyDescent="0.25">
      <c r="A17" s="224"/>
      <c r="B17" s="224"/>
      <c r="C17" s="129"/>
      <c r="D17" s="129"/>
      <c r="E17" s="217"/>
      <c r="F17" s="217"/>
      <c r="G17" s="223" t="s">
        <v>36</v>
      </c>
      <c r="H17" s="223"/>
      <c r="I17" s="217"/>
      <c r="J17" s="217"/>
    </row>
    <row r="18" spans="1:10" ht="15.6" x14ac:dyDescent="0.25">
      <c r="A18" s="224" t="s">
        <v>24</v>
      </c>
      <c r="B18" s="221" t="str">
        <f>CONCATENATE("Valuation of annexed territory for ",J1-1,":")</f>
        <v>Valuation of annexed territory for 2012:</v>
      </c>
      <c r="C18" s="129"/>
      <c r="D18" s="129"/>
      <c r="E18" s="223"/>
      <c r="F18" s="217"/>
      <c r="G18" s="217"/>
      <c r="H18" s="217"/>
      <c r="I18" s="217"/>
      <c r="J18" s="217"/>
    </row>
    <row r="19" spans="1:10" ht="15.6" x14ac:dyDescent="0.25">
      <c r="A19" s="224"/>
      <c r="B19" s="129" t="s">
        <v>25</v>
      </c>
      <c r="C19" s="129" t="s">
        <v>43</v>
      </c>
      <c r="D19" s="224" t="s">
        <v>15</v>
      </c>
      <c r="E19" s="151">
        <f>inputOth!B22</f>
        <v>0</v>
      </c>
      <c r="F19" s="217"/>
      <c r="G19" s="217"/>
      <c r="H19" s="217"/>
      <c r="I19" s="217"/>
      <c r="J19" s="217"/>
    </row>
    <row r="20" spans="1:10" ht="15.6" x14ac:dyDescent="0.25">
      <c r="A20" s="224"/>
      <c r="B20" s="129" t="s">
        <v>26</v>
      </c>
      <c r="C20" s="129" t="s">
        <v>44</v>
      </c>
      <c r="D20" s="224" t="s">
        <v>15</v>
      </c>
      <c r="E20" s="151">
        <f>inputOth!C22</f>
        <v>0</v>
      </c>
      <c r="F20" s="217"/>
      <c r="G20" s="223"/>
      <c r="H20" s="223"/>
      <c r="I20" s="217"/>
      <c r="J20" s="217"/>
    </row>
    <row r="21" spans="1:10" ht="15.6" x14ac:dyDescent="0.25">
      <c r="A21" s="224"/>
      <c r="B21" s="129" t="s">
        <v>27</v>
      </c>
      <c r="C21" s="129" t="s">
        <v>40</v>
      </c>
      <c r="D21" s="224" t="s">
        <v>18</v>
      </c>
      <c r="E21" s="151">
        <f>inputOth!D22</f>
        <v>0</v>
      </c>
      <c r="F21" s="217"/>
      <c r="G21" s="223"/>
      <c r="H21" s="223"/>
      <c r="I21" s="217"/>
      <c r="J21" s="217"/>
    </row>
    <row r="22" spans="1:10" ht="15.6" x14ac:dyDescent="0.25">
      <c r="A22" s="224"/>
      <c r="B22" s="129" t="s">
        <v>28</v>
      </c>
      <c r="C22" s="129" t="s">
        <v>45</v>
      </c>
      <c r="D22" s="224"/>
      <c r="E22" s="223"/>
      <c r="F22" s="217" t="s">
        <v>15</v>
      </c>
      <c r="G22" s="219">
        <f>E19+E20-E21</f>
        <v>0</v>
      </c>
      <c r="H22" s="223"/>
      <c r="I22" s="217"/>
      <c r="J22" s="217"/>
    </row>
    <row r="23" spans="1:10" ht="15.6" x14ac:dyDescent="0.25">
      <c r="A23" s="224"/>
      <c r="B23" s="224"/>
      <c r="C23" s="129"/>
      <c r="D23" s="224"/>
      <c r="E23" s="223"/>
      <c r="F23" s="217"/>
      <c r="G23" s="223"/>
      <c r="H23" s="223"/>
      <c r="I23" s="217"/>
      <c r="J23" s="217"/>
    </row>
    <row r="24" spans="1:10" ht="15.6" x14ac:dyDescent="0.25">
      <c r="A24" s="224" t="s">
        <v>29</v>
      </c>
      <c r="B24" s="221" t="str">
        <f>CONCATENATE("Valuation of Property that has Changed in Use during ",J1-1,":")</f>
        <v>Valuation of Property that has Changed in Use during 2012:</v>
      </c>
      <c r="C24" s="129"/>
      <c r="D24" s="129"/>
      <c r="E24" s="217"/>
      <c r="F24" s="217"/>
      <c r="G24" s="119">
        <f>inputOth!E14</f>
        <v>347682</v>
      </c>
      <c r="H24" s="217"/>
      <c r="I24" s="217"/>
      <c r="J24" s="217"/>
    </row>
    <row r="25" spans="1:10" ht="15.6" x14ac:dyDescent="0.25">
      <c r="A25" s="129" t="s">
        <v>261</v>
      </c>
      <c r="B25" s="129"/>
      <c r="C25" s="129"/>
      <c r="D25" s="224"/>
      <c r="E25" s="223"/>
      <c r="F25" s="217"/>
      <c r="G25" s="227"/>
      <c r="H25" s="223"/>
      <c r="I25" s="217"/>
      <c r="J25" s="217"/>
    </row>
    <row r="26" spans="1:10" ht="15.6" x14ac:dyDescent="0.25">
      <c r="A26" s="224" t="s">
        <v>30</v>
      </c>
      <c r="B26" s="221" t="s">
        <v>46</v>
      </c>
      <c r="C26" s="129"/>
      <c r="D26" s="129"/>
      <c r="E26" s="217"/>
      <c r="F26" s="217"/>
      <c r="G26" s="219">
        <f>G11+G16+G22+G24</f>
        <v>717213</v>
      </c>
      <c r="H26" s="223"/>
      <c r="I26" s="217"/>
      <c r="J26" s="217"/>
    </row>
    <row r="27" spans="1:10" ht="15.6" x14ac:dyDescent="0.25">
      <c r="A27" s="224"/>
      <c r="B27" s="224"/>
      <c r="C27" s="221"/>
      <c r="D27" s="129"/>
      <c r="E27" s="217"/>
      <c r="F27" s="217"/>
      <c r="G27" s="223"/>
      <c r="H27" s="223"/>
      <c r="I27" s="217"/>
      <c r="J27" s="217"/>
    </row>
    <row r="28" spans="1:10" ht="15.6" x14ac:dyDescent="0.25">
      <c r="A28" s="224" t="s">
        <v>31</v>
      </c>
      <c r="B28" s="129" t="str">
        <f>CONCATENATE("Total Estimated Valuation July 1,",J1-1,"")</f>
        <v>Total Estimated Valuation July 1,2012</v>
      </c>
      <c r="C28" s="129"/>
      <c r="D28" s="129"/>
      <c r="E28" s="219">
        <f>inputOth!B14</f>
        <v>66248104</v>
      </c>
      <c r="F28" s="217"/>
      <c r="G28" s="217"/>
      <c r="H28" s="217"/>
      <c r="I28" s="218"/>
      <c r="J28" s="217"/>
    </row>
    <row r="29" spans="1:10" ht="15.6" x14ac:dyDescent="0.25">
      <c r="A29" s="224"/>
      <c r="B29" s="224"/>
      <c r="C29" s="129"/>
      <c r="D29" s="129"/>
      <c r="E29" s="223"/>
      <c r="F29" s="217"/>
      <c r="G29" s="217"/>
      <c r="H29" s="217"/>
      <c r="I29" s="218"/>
      <c r="J29" s="217"/>
    </row>
    <row r="30" spans="1:10" ht="15.6" x14ac:dyDescent="0.25">
      <c r="A30" s="224" t="s">
        <v>32</v>
      </c>
      <c r="B30" s="221" t="s">
        <v>47</v>
      </c>
      <c r="C30" s="129"/>
      <c r="D30" s="129"/>
      <c r="E30" s="217"/>
      <c r="F30" s="217"/>
      <c r="G30" s="219">
        <f>E28-G26</f>
        <v>65530891</v>
      </c>
      <c r="H30" s="223"/>
      <c r="I30" s="218"/>
      <c r="J30" s="217"/>
    </row>
    <row r="31" spans="1:10" ht="15.6" x14ac:dyDescent="0.25">
      <c r="A31" s="224"/>
      <c r="B31" s="224"/>
      <c r="C31" s="221"/>
      <c r="D31" s="129"/>
      <c r="E31" s="129"/>
      <c r="F31" s="129"/>
      <c r="G31" s="228"/>
      <c r="H31" s="229"/>
      <c r="I31" s="224"/>
      <c r="J31" s="129"/>
    </row>
    <row r="32" spans="1:10" ht="15.6" x14ac:dyDescent="0.25">
      <c r="A32" s="224" t="s">
        <v>33</v>
      </c>
      <c r="B32" s="129" t="s">
        <v>48</v>
      </c>
      <c r="C32" s="129"/>
      <c r="D32" s="129"/>
      <c r="E32" s="129"/>
      <c r="F32" s="129"/>
      <c r="G32" s="230">
        <f>IF(G30&gt;0,G26/G30,0)</f>
        <v>1.0944655094038016E-2</v>
      </c>
      <c r="H32" s="229"/>
      <c r="I32" s="129"/>
      <c r="J32" s="129"/>
    </row>
    <row r="33" spans="1:10" ht="15.6" x14ac:dyDescent="0.25">
      <c r="A33" s="224"/>
      <c r="B33" s="224"/>
      <c r="C33" s="129"/>
      <c r="D33" s="129"/>
      <c r="E33" s="129"/>
      <c r="F33" s="129"/>
      <c r="G33" s="229"/>
      <c r="H33" s="229"/>
      <c r="I33" s="129"/>
      <c r="J33" s="129"/>
    </row>
    <row r="34" spans="1:10" ht="15.6" x14ac:dyDescent="0.25">
      <c r="A34" s="224" t="s">
        <v>34</v>
      </c>
      <c r="B34" s="129" t="s">
        <v>49</v>
      </c>
      <c r="C34" s="129"/>
      <c r="D34" s="129"/>
      <c r="E34" s="129"/>
      <c r="F34" s="129"/>
      <c r="G34" s="229"/>
      <c r="H34" s="231" t="s">
        <v>15</v>
      </c>
      <c r="I34" s="129" t="s">
        <v>16</v>
      </c>
      <c r="J34" s="219">
        <f>ROUND(G32*J7,0)</f>
        <v>17202</v>
      </c>
    </row>
    <row r="35" spans="1:10" ht="15.6" x14ac:dyDescent="0.25">
      <c r="A35" s="224"/>
      <c r="B35" s="224"/>
      <c r="C35" s="129"/>
      <c r="D35" s="129"/>
      <c r="E35" s="129"/>
      <c r="F35" s="129"/>
      <c r="G35" s="229"/>
      <c r="H35" s="231"/>
      <c r="I35" s="129"/>
      <c r="J35" s="223"/>
    </row>
    <row r="36" spans="1:10" ht="16.2" thickBot="1" x14ac:dyDescent="0.3">
      <c r="A36" s="224" t="s">
        <v>35</v>
      </c>
      <c r="B36" s="221" t="s">
        <v>54</v>
      </c>
      <c r="C36" s="129"/>
      <c r="D36" s="129"/>
      <c r="E36" s="129"/>
      <c r="F36" s="129"/>
      <c r="G36" s="129"/>
      <c r="H36" s="129"/>
      <c r="I36" s="129" t="s">
        <v>16</v>
      </c>
      <c r="J36" s="232">
        <f>J7+J34</f>
        <v>1588971</v>
      </c>
    </row>
    <row r="37" spans="1:10" ht="16.2" thickTop="1" x14ac:dyDescent="0.25">
      <c r="A37" s="129"/>
      <c r="B37" s="129"/>
      <c r="C37" s="129"/>
      <c r="D37" s="129"/>
      <c r="E37" s="129"/>
      <c r="F37" s="129"/>
      <c r="G37" s="129"/>
      <c r="H37" s="129"/>
      <c r="I37" s="129"/>
      <c r="J37" s="129"/>
    </row>
    <row r="38" spans="1:10" ht="15.6" x14ac:dyDescent="0.25">
      <c r="A38" s="224" t="s">
        <v>52</v>
      </c>
      <c r="B38" s="221" t="str">
        <f>CONCATENATE("Debt Service in this ",J1," Budget")</f>
        <v>Debt Service in this 2013 Budget</v>
      </c>
      <c r="C38" s="129"/>
      <c r="D38" s="129"/>
      <c r="E38" s="129"/>
      <c r="F38" s="129"/>
      <c r="G38" s="129"/>
      <c r="H38" s="129"/>
      <c r="I38" s="129"/>
      <c r="J38" s="233">
        <f>'Debt Service'!E50</f>
        <v>471744</v>
      </c>
    </row>
    <row r="39" spans="1:10" ht="15.6" x14ac:dyDescent="0.25">
      <c r="A39" s="224"/>
      <c r="B39" s="221"/>
      <c r="C39" s="129"/>
      <c r="D39" s="129"/>
      <c r="E39" s="129"/>
      <c r="F39" s="129"/>
      <c r="G39" s="129"/>
      <c r="H39" s="129"/>
      <c r="I39" s="129"/>
      <c r="J39" s="229"/>
    </row>
    <row r="40" spans="1:10" ht="16.2" thickBot="1" x14ac:dyDescent="0.3">
      <c r="A40" s="224" t="s">
        <v>53</v>
      </c>
      <c r="B40" s="221" t="s">
        <v>55</v>
      </c>
      <c r="C40" s="129"/>
      <c r="D40" s="129"/>
      <c r="E40" s="129"/>
      <c r="F40" s="129"/>
      <c r="G40" s="129"/>
      <c r="H40" s="129"/>
      <c r="I40" s="129"/>
      <c r="J40" s="232">
        <f>J36+J38</f>
        <v>2060715</v>
      </c>
    </row>
    <row r="41" spans="1:10" ht="16.2" thickTop="1" x14ac:dyDescent="0.25">
      <c r="A41" s="129"/>
      <c r="B41" s="129"/>
      <c r="C41" s="129"/>
      <c r="D41" s="129"/>
      <c r="E41" s="129"/>
      <c r="F41" s="129"/>
      <c r="G41" s="129"/>
      <c r="H41" s="129"/>
      <c r="I41" s="129"/>
      <c r="J41" s="129"/>
    </row>
    <row r="42" spans="1:10" s="234" customFormat="1" ht="18" x14ac:dyDescent="0.25">
      <c r="A42" s="857" t="str">
        <f>CONCATENATE("If the ",J1," budget includes tax levies exceeding the total on line 15, you must")</f>
        <v>If the 2013 budget includes tax levies exceeding the total on line 15, you must</v>
      </c>
      <c r="B42" s="857"/>
      <c r="C42" s="857"/>
      <c r="D42" s="857"/>
      <c r="E42" s="857"/>
      <c r="F42" s="857"/>
      <c r="G42" s="857"/>
      <c r="H42" s="857"/>
      <c r="I42" s="857"/>
      <c r="J42" s="857"/>
    </row>
    <row r="43" spans="1:10" s="234" customFormat="1" ht="18" x14ac:dyDescent="0.25">
      <c r="A43" s="857" t="s">
        <v>113</v>
      </c>
      <c r="B43" s="857"/>
      <c r="C43" s="857"/>
      <c r="D43" s="857"/>
      <c r="E43" s="857"/>
      <c r="F43" s="857"/>
      <c r="G43" s="857"/>
      <c r="H43" s="857"/>
      <c r="I43" s="857"/>
      <c r="J43" s="857"/>
    </row>
    <row r="44" spans="1:10" s="234" customFormat="1" ht="18" x14ac:dyDescent="0.25">
      <c r="A44" s="857" t="s">
        <v>114</v>
      </c>
      <c r="B44" s="857"/>
      <c r="C44" s="857"/>
      <c r="D44" s="857"/>
      <c r="E44" s="857"/>
      <c r="F44" s="857"/>
      <c r="G44" s="857"/>
      <c r="H44" s="857"/>
      <c r="I44" s="857"/>
      <c r="J44" s="857"/>
    </row>
  </sheetData>
  <mergeCells count="5">
    <mergeCell ref="A42:J42"/>
    <mergeCell ref="A44:J44"/>
    <mergeCell ref="A3:J3"/>
    <mergeCell ref="E4:G4"/>
    <mergeCell ref="A43:J43"/>
  </mergeCells>
  <phoneticPr fontId="0" type="noConversion"/>
  <pageMargins left="0.5" right="0.5" top="1" bottom="0.5" header="0.5" footer="0.5"/>
  <pageSetup scale="80"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workbookViewId="0">
      <selection activeCell="F7" sqref="F7"/>
    </sheetView>
  </sheetViews>
  <sheetFormatPr defaultColWidth="8.9140625" defaultRowHeight="15.6" x14ac:dyDescent="0.25"/>
  <cols>
    <col min="1" max="1" width="8.9140625" style="63"/>
    <col min="2" max="2" width="16.75" style="63" customWidth="1"/>
    <col min="3" max="3" width="16.08203125" style="63" customWidth="1"/>
    <col min="4" max="4" width="11.75" style="63" customWidth="1"/>
    <col min="5" max="5" width="12" style="63" customWidth="1"/>
    <col min="6" max="7" width="11.75" style="63" customWidth="1"/>
    <col min="8" max="16384" width="8.9140625" style="63"/>
  </cols>
  <sheetData>
    <row r="1" spans="1:7" x14ac:dyDescent="0.25">
      <c r="A1" s="67"/>
      <c r="B1" s="235" t="str">
        <f>inputPrYr!D3</f>
        <v>City of Bonner Springs</v>
      </c>
      <c r="C1" s="235"/>
      <c r="D1" s="67"/>
      <c r="E1" s="67"/>
      <c r="F1" s="67"/>
      <c r="G1" s="67">
        <f>inputPrYr!C10</f>
        <v>2013</v>
      </c>
    </row>
    <row r="2" spans="1:7" x14ac:dyDescent="0.25">
      <c r="A2" s="67"/>
      <c r="B2" s="235"/>
      <c r="C2" s="235"/>
      <c r="D2" s="67"/>
      <c r="E2" s="67"/>
      <c r="F2" s="67"/>
      <c r="G2" s="67"/>
    </row>
    <row r="3" spans="1:7" x14ac:dyDescent="0.25">
      <c r="A3" s="67"/>
      <c r="B3" s="67"/>
      <c r="C3" s="67"/>
      <c r="D3" s="67"/>
      <c r="E3" s="67"/>
      <c r="F3" s="67"/>
      <c r="G3" s="67"/>
    </row>
    <row r="4" spans="1:7" x14ac:dyDescent="0.25">
      <c r="A4" s="67"/>
      <c r="B4" s="863" t="s">
        <v>869</v>
      </c>
      <c r="C4" s="863"/>
      <c r="D4" s="863"/>
      <c r="E4" s="863"/>
      <c r="F4" s="863"/>
      <c r="G4" s="67"/>
    </row>
    <row r="5" spans="1:7" x14ac:dyDescent="0.25">
      <c r="A5" s="67"/>
      <c r="B5" s="67"/>
      <c r="C5" s="236"/>
      <c r="D5" s="237"/>
      <c r="E5" s="237"/>
      <c r="F5" s="67"/>
      <c r="G5" s="67"/>
    </row>
    <row r="6" spans="1:7" ht="21" customHeight="1" x14ac:dyDescent="0.25">
      <c r="A6" s="67"/>
      <c r="B6" s="238" t="s">
        <v>112</v>
      </c>
      <c r="C6" s="239" t="s">
        <v>353</v>
      </c>
      <c r="D6" s="860" t="str">
        <f>CONCATENATE("Allocation for Year ",G1,"")</f>
        <v>Allocation for Year 2013</v>
      </c>
      <c r="E6" s="861"/>
      <c r="F6" s="862"/>
      <c r="G6" s="67"/>
    </row>
    <row r="7" spans="1:7" x14ac:dyDescent="0.25">
      <c r="A7" s="67"/>
      <c r="B7" s="240" t="str">
        <f>CONCATENATE("for ",G1-1,"")</f>
        <v>for 2012</v>
      </c>
      <c r="C7" s="240" t="str">
        <f>CONCATENATE("Amount for ",G1-2,"")</f>
        <v>Amount for 2011</v>
      </c>
      <c r="D7" s="189" t="s">
        <v>9</v>
      </c>
      <c r="E7" s="189" t="s">
        <v>10</v>
      </c>
      <c r="F7" s="189" t="s">
        <v>8</v>
      </c>
      <c r="G7" s="470"/>
    </row>
    <row r="8" spans="1:7" x14ac:dyDescent="0.25">
      <c r="A8" s="67"/>
      <c r="B8" s="107" t="str">
        <f>(inputPrYr!B22)</f>
        <v>General</v>
      </c>
      <c r="C8" s="286">
        <f>(inputPrYr!E22)</f>
        <v>1253388</v>
      </c>
      <c r="D8" s="286">
        <f>IF(inputPrYr!E22=0,0,D16-SUM(D9:D13))</f>
        <v>145732.34</v>
      </c>
      <c r="E8" s="286">
        <f>IF(inputPrYr!E22=0,0,E18-SUM(E9:E13))</f>
        <v>982</v>
      </c>
      <c r="F8" s="286">
        <f>IF(inputPrYr!E22=0,0,F20-SUM(F9:F13))</f>
        <v>1423.88</v>
      </c>
      <c r="G8" s="474"/>
    </row>
    <row r="9" spans="1:7" x14ac:dyDescent="0.25">
      <c r="A9" s="67"/>
      <c r="B9" s="107" t="str">
        <f>IF(inputPrYr!$B23&gt;"  ",(inputPrYr!$B23),"  ")</f>
        <v>Debt Service</v>
      </c>
      <c r="C9" s="286">
        <f>IF(inputPrYr!$E23&gt;0,(inputPrYr!$E23),"  ")</f>
        <v>462668</v>
      </c>
      <c r="D9" s="286">
        <f>IF(inputPrYr!E23&gt;0,ROUND(C9*$D$23,0),"  ")</f>
        <v>53794</v>
      </c>
      <c r="E9" s="286">
        <f>IF(inputPrYr!E23&gt;0,ROUND(+C9*E$24,0)," ")</f>
        <v>363</v>
      </c>
      <c r="F9" s="286">
        <f>IF(inputPrYr!E23&gt;0,ROUND(C9*F$25,0)," ")</f>
        <v>526</v>
      </c>
      <c r="G9" s="474"/>
    </row>
    <row r="10" spans="1:7" x14ac:dyDescent="0.25">
      <c r="A10" s="67"/>
      <c r="B10" s="107" t="str">
        <f>IF(inputPrYr!$B24&gt;"  ",(inputPrYr!$B24),"  ")</f>
        <v>Library</v>
      </c>
      <c r="C10" s="286">
        <f>IF(inputPrYr!$E24&gt;0,(inputPrYr!$E24),"  ")</f>
        <v>318381</v>
      </c>
      <c r="D10" s="286">
        <f>IF(inputPrYr!E24&gt;0,ROUND(C10*$D$23,0),"  ")</f>
        <v>37018</v>
      </c>
      <c r="E10" s="286">
        <f>IF(inputPrYr!E24&gt;0,ROUND(+C10*E$24,0)," ")</f>
        <v>249</v>
      </c>
      <c r="F10" s="286">
        <f>IF(inputPrYr!E24&gt;0,ROUND(+C10*F$25,0)," ")</f>
        <v>362</v>
      </c>
      <c r="G10" s="474"/>
    </row>
    <row r="11" spans="1:7" x14ac:dyDescent="0.25">
      <c r="A11" s="67"/>
      <c r="B11" s="107" t="s">
        <v>261</v>
      </c>
      <c r="C11" s="286" t="s">
        <v>261</v>
      </c>
      <c r="D11" s="286" t="s">
        <v>261</v>
      </c>
      <c r="E11" s="286" t="s">
        <v>261</v>
      </c>
      <c r="F11" s="286" t="s">
        <v>261</v>
      </c>
      <c r="G11" s="474"/>
    </row>
    <row r="12" spans="1:7" x14ac:dyDescent="0.25">
      <c r="A12" s="67"/>
      <c r="B12" s="107" t="s">
        <v>261</v>
      </c>
      <c r="C12" s="286" t="s">
        <v>261</v>
      </c>
      <c r="D12" s="286" t="s">
        <v>261</v>
      </c>
      <c r="E12" s="286" t="s">
        <v>261</v>
      </c>
      <c r="F12" s="286" t="s">
        <v>261</v>
      </c>
      <c r="G12" s="474"/>
    </row>
    <row r="13" spans="1:7" x14ac:dyDescent="0.25">
      <c r="A13" s="67"/>
      <c r="B13" s="107" t="s">
        <v>261</v>
      </c>
      <c r="C13" s="286" t="s">
        <v>261</v>
      </c>
      <c r="D13" s="286" t="s">
        <v>261</v>
      </c>
      <c r="E13" s="286" t="s">
        <v>261</v>
      </c>
      <c r="F13" s="286" t="s">
        <v>261</v>
      </c>
      <c r="G13" s="474"/>
    </row>
    <row r="14" spans="1:7" ht="16.2" thickBot="1" x14ac:dyDescent="0.3">
      <c r="A14" s="67"/>
      <c r="B14" s="67" t="s">
        <v>278</v>
      </c>
      <c r="C14" s="241">
        <f>SUM(C8:C13)</f>
        <v>2034437</v>
      </c>
      <c r="D14" s="241">
        <f>SUM(D8:D13)</f>
        <v>236544.34</v>
      </c>
      <c r="E14" s="241">
        <f>SUM(E8:E13)</f>
        <v>1594</v>
      </c>
      <c r="F14" s="241">
        <f>SUM(F8:F13)</f>
        <v>2311.88</v>
      </c>
      <c r="G14" s="67"/>
    </row>
    <row r="15" spans="1:7" ht="16.2" thickTop="1" x14ac:dyDescent="0.25">
      <c r="A15" s="67"/>
      <c r="B15" s="67"/>
      <c r="C15" s="97"/>
      <c r="D15" s="97"/>
      <c r="E15" s="97"/>
      <c r="F15" s="97"/>
      <c r="G15" s="67"/>
    </row>
    <row r="16" spans="1:7" x14ac:dyDescent="0.25">
      <c r="A16" s="67"/>
      <c r="B16" s="74" t="s">
        <v>279</v>
      </c>
      <c r="C16" s="242"/>
      <c r="D16" s="243">
        <f>(inputOth!C49)</f>
        <v>236544.34</v>
      </c>
      <c r="E16" s="242"/>
      <c r="F16" s="67"/>
      <c r="G16" s="67"/>
    </row>
    <row r="17" spans="1:7" x14ac:dyDescent="0.25">
      <c r="A17" s="67"/>
      <c r="B17" s="74"/>
      <c r="C17" s="242"/>
      <c r="D17" s="97"/>
      <c r="E17" s="242"/>
      <c r="F17" s="67"/>
      <c r="G17" s="67"/>
    </row>
    <row r="18" spans="1:7" x14ac:dyDescent="0.25">
      <c r="A18" s="67"/>
      <c r="B18" s="74" t="s">
        <v>280</v>
      </c>
      <c r="C18" s="67"/>
      <c r="D18" s="67"/>
      <c r="E18" s="243">
        <f>(inputOth!D49)</f>
        <v>1594</v>
      </c>
      <c r="F18" s="67"/>
      <c r="G18" s="67"/>
    </row>
    <row r="19" spans="1:7" x14ac:dyDescent="0.25">
      <c r="A19" s="67"/>
      <c r="B19" s="74"/>
      <c r="C19" s="67"/>
      <c r="D19" s="67"/>
      <c r="E19" s="97"/>
      <c r="F19" s="67"/>
      <c r="G19" s="67"/>
    </row>
    <row r="20" spans="1:7" x14ac:dyDescent="0.25">
      <c r="A20" s="67"/>
      <c r="B20" s="74" t="s">
        <v>11</v>
      </c>
      <c r="C20" s="67"/>
      <c r="D20" s="67"/>
      <c r="E20" s="67"/>
      <c r="F20" s="243">
        <f>inputOth!E49</f>
        <v>2311.88</v>
      </c>
      <c r="G20" s="67"/>
    </row>
    <row r="21" spans="1:7" x14ac:dyDescent="0.25">
      <c r="A21" s="67"/>
      <c r="B21" s="74"/>
      <c r="C21" s="67"/>
      <c r="D21" s="67"/>
      <c r="E21" s="67"/>
      <c r="F21" s="97"/>
      <c r="G21" s="67"/>
    </row>
    <row r="22" spans="1:7" x14ac:dyDescent="0.25">
      <c r="A22" s="67"/>
      <c r="B22" s="74"/>
      <c r="C22" s="67"/>
      <c r="D22" s="67"/>
      <c r="E22" s="67"/>
      <c r="F22" s="97"/>
      <c r="G22" s="244"/>
    </row>
    <row r="23" spans="1:7" x14ac:dyDescent="0.25">
      <c r="A23" s="67"/>
      <c r="B23" s="74" t="s">
        <v>281</v>
      </c>
      <c r="C23" s="67"/>
      <c r="D23" s="245">
        <f>IF(C14=0,0,D16/C14)</f>
        <v>0.11627017204268306</v>
      </c>
      <c r="E23" s="67"/>
      <c r="F23" s="67"/>
      <c r="G23" s="67"/>
    </row>
    <row r="24" spans="1:7" x14ac:dyDescent="0.25">
      <c r="A24" s="67"/>
      <c r="B24" s="67"/>
      <c r="C24" s="74" t="s">
        <v>282</v>
      </c>
      <c r="D24" s="67"/>
      <c r="E24" s="245">
        <f>IF(C14=0,0,E18/C14)</f>
        <v>7.835091477396449E-4</v>
      </c>
      <c r="F24" s="67"/>
      <c r="G24" s="67"/>
    </row>
    <row r="25" spans="1:7" x14ac:dyDescent="0.25">
      <c r="A25" s="67"/>
      <c r="B25" s="67"/>
      <c r="C25" s="67"/>
      <c r="D25" s="74" t="s">
        <v>12</v>
      </c>
      <c r="E25" s="67"/>
      <c r="F25" s="245">
        <f>IF(C14=0,0,F20/C14)</f>
        <v>1.1363733553803829E-3</v>
      </c>
      <c r="G25" s="67"/>
    </row>
    <row r="26" spans="1:7" x14ac:dyDescent="0.25">
      <c r="A26" s="67"/>
      <c r="B26" s="90"/>
      <c r="C26" s="90"/>
      <c r="D26" s="90"/>
      <c r="E26" s="90"/>
      <c r="F26" s="90"/>
      <c r="G26" s="90"/>
    </row>
    <row r="27" spans="1:7" ht="15" customHeight="1" x14ac:dyDescent="0.25">
      <c r="A27" s="67"/>
      <c r="B27" s="90"/>
      <c r="C27" s="90"/>
      <c r="D27" s="90"/>
      <c r="E27" s="90"/>
      <c r="F27" s="90"/>
      <c r="G27" s="90"/>
    </row>
    <row r="28" spans="1:7" s="246" customFormat="1" ht="15" customHeight="1" x14ac:dyDescent="0.25">
      <c r="B28" s="127"/>
      <c r="C28" s="127"/>
      <c r="D28" s="127"/>
      <c r="E28" s="127"/>
      <c r="F28" s="127"/>
      <c r="G28" s="127"/>
    </row>
    <row r="29" spans="1:7" ht="15" customHeight="1" x14ac:dyDescent="0.25">
      <c r="B29" s="127"/>
      <c r="C29" s="127"/>
      <c r="D29" s="127"/>
      <c r="E29" s="127"/>
      <c r="F29" s="127"/>
      <c r="G29" s="127"/>
    </row>
    <row r="30" spans="1:7" ht="15" customHeight="1" x14ac:dyDescent="0.25">
      <c r="B30" s="127"/>
      <c r="C30" s="127"/>
      <c r="D30" s="127"/>
      <c r="E30" s="127"/>
      <c r="F30" s="127"/>
      <c r="G30" s="127"/>
    </row>
    <row r="31" spans="1:7" ht="15" customHeight="1" x14ac:dyDescent="0.25">
      <c r="B31" s="127"/>
      <c r="C31" s="127"/>
      <c r="D31" s="127"/>
      <c r="E31" s="127"/>
      <c r="F31" s="127"/>
      <c r="G31" s="127"/>
    </row>
    <row r="32" spans="1:7" ht="15" customHeight="1" x14ac:dyDescent="0.25">
      <c r="B32" s="127"/>
      <c r="C32" s="127"/>
      <c r="D32" s="127"/>
      <c r="E32" s="127"/>
      <c r="F32" s="127"/>
      <c r="G32" s="127"/>
    </row>
    <row r="33" spans="2:7" ht="15" customHeight="1" x14ac:dyDescent="0.25">
      <c r="B33" s="127"/>
      <c r="C33" s="127"/>
      <c r="D33" s="127"/>
      <c r="E33" s="127"/>
      <c r="F33" s="127"/>
      <c r="G33" s="127"/>
    </row>
    <row r="34" spans="2:7" ht="15" customHeight="1" x14ac:dyDescent="0.25">
      <c r="B34" s="127"/>
      <c r="C34" s="127"/>
      <c r="D34" s="127"/>
      <c r="E34" s="127"/>
      <c r="F34" s="127"/>
      <c r="G34" s="127"/>
    </row>
    <row r="35" spans="2:7" ht="15" customHeight="1" x14ac:dyDescent="0.25">
      <c r="B35" s="127"/>
      <c r="C35" s="127"/>
      <c r="D35" s="127"/>
      <c r="E35" s="127"/>
      <c r="F35" s="127"/>
      <c r="G35" s="127"/>
    </row>
    <row r="36" spans="2:7" ht="15" customHeight="1" x14ac:dyDescent="0.25">
      <c r="B36" s="127"/>
      <c r="C36" s="127"/>
      <c r="D36" s="127"/>
      <c r="E36" s="127"/>
      <c r="F36" s="127"/>
      <c r="G36" s="127"/>
    </row>
    <row r="37" spans="2:7" ht="15" customHeight="1" x14ac:dyDescent="0.25">
      <c r="B37" s="127"/>
      <c r="C37" s="127"/>
      <c r="D37" s="127"/>
      <c r="E37" s="127"/>
      <c r="F37" s="127"/>
      <c r="G37" s="127"/>
    </row>
    <row r="38" spans="2:7" ht="15" customHeight="1" x14ac:dyDescent="0.25">
      <c r="B38" s="127"/>
      <c r="C38" s="127"/>
      <c r="D38" s="127"/>
      <c r="E38" s="127"/>
      <c r="F38" s="127"/>
      <c r="G38" s="127"/>
    </row>
    <row r="39" spans="2:7" ht="15" customHeight="1" x14ac:dyDescent="0.25">
      <c r="B39" s="127"/>
      <c r="C39" s="127"/>
      <c r="D39" s="127"/>
      <c r="E39" s="127"/>
      <c r="F39" s="127"/>
      <c r="G39" s="127"/>
    </row>
    <row r="40" spans="2:7" ht="15" customHeight="1" x14ac:dyDescent="0.25">
      <c r="B40" s="127"/>
      <c r="C40" s="127"/>
      <c r="D40" s="127"/>
      <c r="E40" s="127"/>
      <c r="F40" s="127"/>
      <c r="G40" s="127"/>
    </row>
    <row r="41" spans="2:7" ht="15" customHeight="1" x14ac:dyDescent="0.25">
      <c r="B41" s="127"/>
      <c r="C41" s="127"/>
      <c r="D41" s="127"/>
      <c r="E41" s="127"/>
      <c r="F41" s="127"/>
      <c r="G41" s="127"/>
    </row>
    <row r="42" spans="2:7" ht="15" customHeight="1" x14ac:dyDescent="0.25">
      <c r="B42" s="127"/>
      <c r="C42" s="127"/>
      <c r="D42" s="127"/>
      <c r="E42" s="127"/>
      <c r="F42" s="127"/>
      <c r="G42" s="127"/>
    </row>
    <row r="43" spans="2:7" x14ac:dyDescent="0.25">
      <c r="B43" s="127"/>
      <c r="C43" s="127"/>
      <c r="D43" s="127"/>
      <c r="E43" s="127"/>
      <c r="F43" s="127"/>
      <c r="G43" s="127"/>
    </row>
    <row r="44" spans="2:7" x14ac:dyDescent="0.25">
      <c r="B44" s="127"/>
      <c r="C44" s="127"/>
      <c r="D44" s="127"/>
      <c r="E44" s="127"/>
      <c r="F44" s="127"/>
      <c r="G44" s="127"/>
    </row>
    <row r="45" spans="2:7" x14ac:dyDescent="0.25">
      <c r="B45" s="127"/>
      <c r="C45" s="127"/>
      <c r="D45" s="127"/>
      <c r="E45" s="127"/>
      <c r="F45" s="127"/>
      <c r="G45" s="127"/>
    </row>
    <row r="46" spans="2:7" x14ac:dyDescent="0.25">
      <c r="B46" s="127"/>
      <c r="C46" s="127"/>
      <c r="D46" s="127"/>
      <c r="E46" s="127"/>
      <c r="F46" s="127"/>
      <c r="G46" s="127"/>
    </row>
    <row r="47" spans="2:7" x14ac:dyDescent="0.25">
      <c r="B47" s="127"/>
      <c r="C47" s="127"/>
      <c r="D47" s="127"/>
      <c r="E47" s="127"/>
      <c r="F47" s="127"/>
      <c r="G47" s="127"/>
    </row>
    <row r="48" spans="2:7" x14ac:dyDescent="0.25">
      <c r="B48" s="127"/>
      <c r="C48" s="127"/>
      <c r="D48" s="127"/>
      <c r="E48" s="127"/>
      <c r="F48" s="127"/>
      <c r="G48" s="127"/>
    </row>
    <row r="49" spans="2:7" x14ac:dyDescent="0.25">
      <c r="B49" s="127"/>
      <c r="C49" s="127"/>
      <c r="D49" s="127"/>
      <c r="E49" s="127"/>
      <c r="F49" s="127"/>
      <c r="G49" s="127"/>
    </row>
    <row r="50" spans="2:7" x14ac:dyDescent="0.25">
      <c r="B50" s="127"/>
      <c r="C50" s="127"/>
      <c r="D50" s="127"/>
      <c r="E50" s="127"/>
      <c r="F50" s="127"/>
      <c r="G50" s="127"/>
    </row>
  </sheetData>
  <mergeCells count="2">
    <mergeCell ref="D6:F6"/>
    <mergeCell ref="B4:F4"/>
  </mergeCells>
  <phoneticPr fontId="0" type="noConversion"/>
  <pageMargins left="0.5" right="0.5" top="0.5" bottom="0.25" header="0" footer="0.25"/>
  <pageSetup scale="84"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workbookViewId="0">
      <selection activeCell="F24" sqref="F24"/>
    </sheetView>
  </sheetViews>
  <sheetFormatPr defaultColWidth="8.9140625" defaultRowHeight="15.6" x14ac:dyDescent="0.25"/>
  <cols>
    <col min="1" max="1" width="21.4140625" style="50" customWidth="1"/>
    <col min="2" max="2" width="28.08203125" style="50" customWidth="1"/>
    <col min="3" max="3" width="10.08203125" style="50" customWidth="1"/>
    <col min="4" max="4" width="12" style="50" customWidth="1"/>
    <col min="5" max="5" width="12.83203125" style="50" customWidth="1"/>
    <col min="6" max="6" width="12.58203125" style="50" customWidth="1"/>
    <col min="7" max="16384" width="8.9140625" style="50"/>
  </cols>
  <sheetData>
    <row r="1" spans="1:6" x14ac:dyDescent="0.25">
      <c r="A1" s="128" t="str">
        <f>inputPrYr!D3</f>
        <v>City of Bonner Springs</v>
      </c>
      <c r="B1" s="128"/>
      <c r="C1" s="129"/>
      <c r="D1" s="129"/>
      <c r="E1" s="129"/>
      <c r="F1" s="129">
        <f>inputPrYr!$C$10</f>
        <v>2013</v>
      </c>
    </row>
    <row r="2" spans="1:6" x14ac:dyDescent="0.25">
      <c r="A2" s="129"/>
      <c r="B2" s="129"/>
      <c r="C2" s="129"/>
      <c r="D2" s="129"/>
      <c r="E2" s="129"/>
      <c r="F2" s="129"/>
    </row>
    <row r="3" spans="1:6" x14ac:dyDescent="0.25">
      <c r="A3" s="864" t="s">
        <v>61</v>
      </c>
      <c r="B3" s="864"/>
      <c r="C3" s="864"/>
      <c r="D3" s="864"/>
      <c r="E3" s="864"/>
      <c r="F3" s="864"/>
    </row>
    <row r="4" spans="1:6" x14ac:dyDescent="0.25">
      <c r="A4" s="247"/>
      <c r="B4" s="247"/>
      <c r="C4" s="247"/>
      <c r="D4" s="247"/>
      <c r="E4" s="247"/>
      <c r="F4" s="247"/>
    </row>
    <row r="5" spans="1:6" x14ac:dyDescent="0.25">
      <c r="A5" s="248" t="s">
        <v>650</v>
      </c>
      <c r="B5" s="248" t="s">
        <v>651</v>
      </c>
      <c r="C5" s="248" t="s">
        <v>304</v>
      </c>
      <c r="D5" s="248" t="s">
        <v>75</v>
      </c>
      <c r="E5" s="248" t="s">
        <v>76</v>
      </c>
      <c r="F5" s="248" t="s">
        <v>105</v>
      </c>
    </row>
    <row r="6" spans="1:6" x14ac:dyDescent="0.25">
      <c r="A6" s="249" t="s">
        <v>652</v>
      </c>
      <c r="B6" s="249" t="s">
        <v>653</v>
      </c>
      <c r="C6" s="249" t="s">
        <v>106</v>
      </c>
      <c r="D6" s="249" t="s">
        <v>106</v>
      </c>
      <c r="E6" s="249" t="s">
        <v>106</v>
      </c>
      <c r="F6" s="249" t="s">
        <v>107</v>
      </c>
    </row>
    <row r="7" spans="1:6" ht="15" customHeight="1" x14ac:dyDescent="0.25">
      <c r="A7" s="250" t="s">
        <v>108</v>
      </c>
      <c r="B7" s="250" t="s">
        <v>109</v>
      </c>
      <c r="C7" s="251">
        <f>F1-2</f>
        <v>2011</v>
      </c>
      <c r="D7" s="251">
        <f>F1-1</f>
        <v>2012</v>
      </c>
      <c r="E7" s="251">
        <f>F1</f>
        <v>2013</v>
      </c>
      <c r="F7" s="250" t="s">
        <v>110</v>
      </c>
    </row>
    <row r="8" spans="1:6" ht="14.25" customHeight="1" x14ac:dyDescent="0.25">
      <c r="A8" s="252" t="s">
        <v>1174</v>
      </c>
      <c r="B8" s="252" t="s">
        <v>1175</v>
      </c>
      <c r="C8" s="556">
        <v>297404</v>
      </c>
      <c r="D8" s="556">
        <v>371378</v>
      </c>
      <c r="E8" s="556">
        <v>394947</v>
      </c>
      <c r="F8" s="253" t="s">
        <v>1181</v>
      </c>
    </row>
    <row r="9" spans="1:6" ht="15" customHeight="1" x14ac:dyDescent="0.25">
      <c r="A9" s="254" t="s">
        <v>1174</v>
      </c>
      <c r="B9" s="254" t="s">
        <v>1176</v>
      </c>
      <c r="C9" s="557">
        <v>40696</v>
      </c>
      <c r="D9" s="557">
        <v>44124</v>
      </c>
      <c r="E9" s="557">
        <v>41000</v>
      </c>
      <c r="F9" s="253" t="s">
        <v>1181</v>
      </c>
    </row>
    <row r="10" spans="1:6" ht="15" customHeight="1" x14ac:dyDescent="0.25">
      <c r="A10" s="254" t="s">
        <v>1174</v>
      </c>
      <c r="B10" s="254" t="s">
        <v>1177</v>
      </c>
      <c r="C10" s="557">
        <v>91462</v>
      </c>
      <c r="D10" s="557">
        <v>73817</v>
      </c>
      <c r="E10" s="557">
        <v>68345</v>
      </c>
      <c r="F10" s="253" t="s">
        <v>1181</v>
      </c>
    </row>
    <row r="11" spans="1:6" ht="15" customHeight="1" x14ac:dyDescent="0.25">
      <c r="A11" s="254" t="s">
        <v>1174</v>
      </c>
      <c r="B11" s="254" t="s">
        <v>1178</v>
      </c>
      <c r="C11" s="557">
        <v>7905</v>
      </c>
      <c r="D11" s="557">
        <v>15444</v>
      </c>
      <c r="E11" s="557">
        <v>32570</v>
      </c>
      <c r="F11" s="253" t="s">
        <v>1181</v>
      </c>
    </row>
    <row r="12" spans="1:6" ht="15" customHeight="1" x14ac:dyDescent="0.25">
      <c r="A12" s="254" t="s">
        <v>1174</v>
      </c>
      <c r="B12" s="254" t="s">
        <v>1192</v>
      </c>
      <c r="C12" s="557">
        <v>6607</v>
      </c>
      <c r="D12" s="557">
        <v>30000</v>
      </c>
      <c r="E12" s="557">
        <v>33000</v>
      </c>
      <c r="F12" s="253" t="s">
        <v>1181</v>
      </c>
    </row>
    <row r="13" spans="1:6" ht="15" customHeight="1" x14ac:dyDescent="0.25">
      <c r="A13" s="254" t="s">
        <v>1174</v>
      </c>
      <c r="B13" s="254" t="s">
        <v>1179</v>
      </c>
      <c r="C13" s="557">
        <v>80922</v>
      </c>
      <c r="D13" s="557">
        <v>280922</v>
      </c>
      <c r="E13" s="557">
        <v>208928</v>
      </c>
      <c r="F13" s="253" t="s">
        <v>1181</v>
      </c>
    </row>
    <row r="14" spans="1:6" ht="15" customHeight="1" x14ac:dyDescent="0.25">
      <c r="A14" s="254" t="s">
        <v>1174</v>
      </c>
      <c r="B14" s="254" t="s">
        <v>1180</v>
      </c>
      <c r="C14" s="557">
        <v>7388</v>
      </c>
      <c r="D14" s="557">
        <v>12500</v>
      </c>
      <c r="E14" s="557">
        <v>12500</v>
      </c>
      <c r="F14" s="253" t="s">
        <v>1181</v>
      </c>
    </row>
    <row r="15" spans="1:6" s="790" customFormat="1" ht="15" customHeight="1" x14ac:dyDescent="0.25">
      <c r="A15" s="787" t="s">
        <v>1217</v>
      </c>
      <c r="B15" s="787"/>
      <c r="C15" s="788">
        <f>SUM(C8:C14)</f>
        <v>532384</v>
      </c>
      <c r="D15" s="788">
        <f t="shared" ref="D15:E15" si="0">SUM(D8:D14)</f>
        <v>828185</v>
      </c>
      <c r="E15" s="788">
        <f t="shared" si="0"/>
        <v>791290</v>
      </c>
      <c r="F15" s="789"/>
    </row>
    <row r="16" spans="1:6" ht="15" customHeight="1" x14ac:dyDescent="0.25">
      <c r="A16" s="254"/>
      <c r="B16" s="254"/>
      <c r="C16" s="557"/>
      <c r="D16" s="557"/>
      <c r="E16" s="557"/>
      <c r="F16" s="253"/>
    </row>
    <row r="17" spans="1:6" ht="15" customHeight="1" x14ac:dyDescent="0.25">
      <c r="A17" s="254" t="s">
        <v>1193</v>
      </c>
      <c r="B17" s="254" t="s">
        <v>1174</v>
      </c>
      <c r="C17" s="557">
        <v>46000</v>
      </c>
      <c r="D17" s="557">
        <v>50800</v>
      </c>
      <c r="E17" s="557">
        <v>54325</v>
      </c>
      <c r="F17" s="253" t="s">
        <v>1181</v>
      </c>
    </row>
    <row r="18" spans="1:6" ht="15" customHeight="1" x14ac:dyDescent="0.25">
      <c r="A18" s="254" t="s">
        <v>1189</v>
      </c>
      <c r="B18" s="254" t="s">
        <v>1174</v>
      </c>
      <c r="C18" s="557">
        <v>10500</v>
      </c>
      <c r="D18" s="557">
        <v>30500</v>
      </c>
      <c r="E18" s="557">
        <v>10500</v>
      </c>
      <c r="F18" s="253" t="s">
        <v>1197</v>
      </c>
    </row>
    <row r="19" spans="1:6" ht="15" customHeight="1" x14ac:dyDescent="0.25">
      <c r="A19" s="254" t="s">
        <v>1218</v>
      </c>
      <c r="B19" s="254" t="s">
        <v>1174</v>
      </c>
      <c r="C19" s="557">
        <v>31235</v>
      </c>
      <c r="D19" s="557">
        <v>29015</v>
      </c>
      <c r="E19" s="557">
        <v>33233</v>
      </c>
      <c r="F19" s="253" t="s">
        <v>1197</v>
      </c>
    </row>
    <row r="20" spans="1:6" ht="15" customHeight="1" x14ac:dyDescent="0.25">
      <c r="A20" s="254" t="s">
        <v>1191</v>
      </c>
      <c r="B20" s="254" t="s">
        <v>1174</v>
      </c>
      <c r="C20" s="557">
        <v>93710</v>
      </c>
      <c r="D20" s="557">
        <v>87045</v>
      </c>
      <c r="E20" s="557">
        <v>96660</v>
      </c>
      <c r="F20" s="253" t="s">
        <v>1197</v>
      </c>
    </row>
    <row r="21" spans="1:6" s="790" customFormat="1" ht="15" customHeight="1" x14ac:dyDescent="0.25">
      <c r="A21" s="787" t="s">
        <v>1187</v>
      </c>
      <c r="B21" s="787"/>
      <c r="C21" s="788">
        <f>SUM(C17:C20)</f>
        <v>181445</v>
      </c>
      <c r="D21" s="788">
        <f>SUM(D17:D20)</f>
        <v>197360</v>
      </c>
      <c r="E21" s="788">
        <f>SUM(E17:E20)</f>
        <v>194718</v>
      </c>
      <c r="F21" s="789"/>
    </row>
    <row r="22" spans="1:6" ht="15" customHeight="1" x14ac:dyDescent="0.25">
      <c r="A22" s="254"/>
      <c r="B22" s="254"/>
      <c r="C22" s="557"/>
      <c r="D22" s="557"/>
      <c r="E22" s="557"/>
      <c r="F22" s="253"/>
    </row>
    <row r="23" spans="1:6" ht="15" customHeight="1" x14ac:dyDescent="0.25">
      <c r="A23" s="254" t="s">
        <v>1193</v>
      </c>
      <c r="B23" s="254" t="s">
        <v>1219</v>
      </c>
      <c r="C23" s="557">
        <v>4600</v>
      </c>
      <c r="D23" s="557">
        <v>0</v>
      </c>
      <c r="E23" s="557">
        <v>0</v>
      </c>
      <c r="F23" s="253" t="s">
        <v>1181</v>
      </c>
    </row>
    <row r="24" spans="1:6" ht="15" customHeight="1" x14ac:dyDescent="0.25">
      <c r="A24" s="254" t="s">
        <v>1194</v>
      </c>
      <c r="B24" s="254" t="s">
        <v>1177</v>
      </c>
      <c r="C24" s="557">
        <v>6586</v>
      </c>
      <c r="D24" s="557">
        <v>11600</v>
      </c>
      <c r="E24" s="557">
        <v>18900</v>
      </c>
      <c r="F24" s="253" t="s">
        <v>1181</v>
      </c>
    </row>
    <row r="25" spans="1:6" ht="15" customHeight="1" x14ac:dyDescent="0.25">
      <c r="A25" s="254" t="s">
        <v>1194</v>
      </c>
      <c r="B25" s="254" t="s">
        <v>1182</v>
      </c>
      <c r="C25" s="557">
        <v>465</v>
      </c>
      <c r="D25" s="557">
        <v>0</v>
      </c>
      <c r="E25" s="557">
        <v>0</v>
      </c>
      <c r="F25" s="253" t="s">
        <v>1181</v>
      </c>
    </row>
    <row r="26" spans="1:6" ht="15" customHeight="1" x14ac:dyDescent="0.25">
      <c r="A26" s="254" t="s">
        <v>1180</v>
      </c>
      <c r="B26" s="254" t="s">
        <v>218</v>
      </c>
      <c r="C26" s="557">
        <v>544466</v>
      </c>
      <c r="D26" s="557">
        <v>543123</v>
      </c>
      <c r="E26" s="557">
        <v>537319</v>
      </c>
      <c r="F26" s="253" t="s">
        <v>1197</v>
      </c>
    </row>
    <row r="27" spans="1:6" ht="15" customHeight="1" x14ac:dyDescent="0.25">
      <c r="A27" s="254" t="s">
        <v>1185</v>
      </c>
      <c r="B27" s="254" t="s">
        <v>218</v>
      </c>
      <c r="C27" s="557">
        <v>318827</v>
      </c>
      <c r="D27" s="557">
        <v>319032</v>
      </c>
      <c r="E27" s="557">
        <v>342001</v>
      </c>
      <c r="F27" s="253" t="s">
        <v>1197</v>
      </c>
    </row>
    <row r="28" spans="1:6" ht="15" customHeight="1" x14ac:dyDescent="0.25">
      <c r="A28" s="254" t="s">
        <v>1186</v>
      </c>
      <c r="B28" s="254" t="s">
        <v>218</v>
      </c>
      <c r="C28" s="557">
        <v>428609</v>
      </c>
      <c r="D28" s="557">
        <v>429840</v>
      </c>
      <c r="E28" s="557">
        <v>436530</v>
      </c>
      <c r="F28" s="253" t="s">
        <v>1198</v>
      </c>
    </row>
    <row r="29" spans="1:6" ht="15" customHeight="1" x14ac:dyDescent="0.25">
      <c r="A29" s="254" t="s">
        <v>1220</v>
      </c>
      <c r="B29" s="254" t="s">
        <v>218</v>
      </c>
      <c r="C29" s="557">
        <v>15528</v>
      </c>
      <c r="D29" s="557">
        <v>0</v>
      </c>
      <c r="E29" s="557">
        <v>0</v>
      </c>
      <c r="F29" s="253" t="s">
        <v>1181</v>
      </c>
    </row>
    <row r="30" spans="1:6" ht="15" customHeight="1" x14ac:dyDescent="0.25">
      <c r="A30" s="254" t="s">
        <v>1220</v>
      </c>
      <c r="B30" s="254" t="s">
        <v>218</v>
      </c>
      <c r="C30" s="557">
        <v>0</v>
      </c>
      <c r="D30" s="557">
        <v>191601</v>
      </c>
      <c r="E30" s="557">
        <v>0</v>
      </c>
      <c r="F30" s="253" t="s">
        <v>1181</v>
      </c>
    </row>
    <row r="31" spans="1:6" ht="15" customHeight="1" x14ac:dyDescent="0.25">
      <c r="A31" s="254" t="s">
        <v>1195</v>
      </c>
      <c r="B31" s="254" t="s">
        <v>218</v>
      </c>
      <c r="C31" s="557">
        <v>261288</v>
      </c>
      <c r="D31" s="557">
        <v>75439</v>
      </c>
      <c r="E31" s="557">
        <v>268044</v>
      </c>
      <c r="F31" s="253" t="s">
        <v>1181</v>
      </c>
    </row>
    <row r="32" spans="1:6" ht="15" customHeight="1" x14ac:dyDescent="0.25">
      <c r="A32" s="254" t="s">
        <v>1196</v>
      </c>
      <c r="B32" s="254" t="s">
        <v>218</v>
      </c>
      <c r="C32" s="557">
        <v>434769</v>
      </c>
      <c r="D32" s="557">
        <v>442169</v>
      </c>
      <c r="E32" s="557">
        <v>1252821</v>
      </c>
      <c r="F32" s="253" t="s">
        <v>1181</v>
      </c>
    </row>
    <row r="33" spans="1:6" ht="15" customHeight="1" x14ac:dyDescent="0.25">
      <c r="A33" s="254" t="s">
        <v>1190</v>
      </c>
      <c r="B33" s="254" t="s">
        <v>218</v>
      </c>
      <c r="C33" s="557">
        <v>19987</v>
      </c>
      <c r="D33" s="557">
        <v>19962</v>
      </c>
      <c r="E33" s="557">
        <v>19743</v>
      </c>
      <c r="F33" s="253" t="s">
        <v>1197</v>
      </c>
    </row>
    <row r="34" spans="1:6" ht="15" customHeight="1" x14ac:dyDescent="0.25">
      <c r="A34" s="254" t="s">
        <v>1179</v>
      </c>
      <c r="B34" s="254" t="s">
        <v>1220</v>
      </c>
      <c r="C34" s="557">
        <v>17793</v>
      </c>
      <c r="D34" s="557">
        <v>0</v>
      </c>
      <c r="E34" s="557">
        <v>0</v>
      </c>
      <c r="F34" s="253" t="s">
        <v>1181</v>
      </c>
    </row>
    <row r="35" spans="1:6" ht="15" customHeight="1" x14ac:dyDescent="0.25">
      <c r="A35" s="254" t="s">
        <v>1220</v>
      </c>
      <c r="B35" s="254" t="s">
        <v>1185</v>
      </c>
      <c r="C35" s="557">
        <v>64251</v>
      </c>
      <c r="D35" s="557">
        <v>0</v>
      </c>
      <c r="E35" s="557">
        <v>0</v>
      </c>
      <c r="F35" s="253" t="s">
        <v>1197</v>
      </c>
    </row>
    <row r="36" spans="1:6" ht="15" customHeight="1" x14ac:dyDescent="0.25">
      <c r="A36" s="254" t="s">
        <v>1191</v>
      </c>
      <c r="B36" s="254" t="s">
        <v>1220</v>
      </c>
      <c r="C36" s="557">
        <v>83575</v>
      </c>
      <c r="D36" s="557">
        <v>0</v>
      </c>
      <c r="E36" s="557">
        <v>0</v>
      </c>
      <c r="F36" s="253" t="s">
        <v>1197</v>
      </c>
    </row>
    <row r="37" spans="1:6" s="790" customFormat="1" ht="15" customHeight="1" x14ac:dyDescent="0.25">
      <c r="A37" s="787" t="s">
        <v>1188</v>
      </c>
      <c r="B37" s="787"/>
      <c r="C37" s="788">
        <f>SUM(C23:C36)</f>
        <v>2200744</v>
      </c>
      <c r="D37" s="788">
        <f t="shared" ref="D37:E37" si="1">SUM(D23:D36)</f>
        <v>2032766</v>
      </c>
      <c r="E37" s="788">
        <f t="shared" si="1"/>
        <v>2875358</v>
      </c>
      <c r="F37" s="789"/>
    </row>
    <row r="38" spans="1:6" ht="15" customHeight="1" x14ac:dyDescent="0.25">
      <c r="A38" s="120"/>
      <c r="B38" s="255" t="s">
        <v>272</v>
      </c>
      <c r="C38" s="256">
        <f>SUM(C15+C21+C37)</f>
        <v>2914573</v>
      </c>
      <c r="D38" s="256">
        <f>SUM(D15+D21+D37)</f>
        <v>3058311</v>
      </c>
      <c r="E38" s="256">
        <f>SUM(E15+E21+E37)</f>
        <v>3861366</v>
      </c>
      <c r="F38" s="257"/>
    </row>
    <row r="39" spans="1:6" ht="15" customHeight="1" x14ac:dyDescent="0.25">
      <c r="A39" s="120"/>
      <c r="B39" s="258" t="s">
        <v>648</v>
      </c>
      <c r="C39" s="196">
        <v>0</v>
      </c>
      <c r="D39" s="259">
        <v>0</v>
      </c>
      <c r="E39" s="259">
        <v>0</v>
      </c>
      <c r="F39" s="257"/>
    </row>
    <row r="40" spans="1:6" ht="15" customHeight="1" x14ac:dyDescent="0.25">
      <c r="A40" s="120"/>
      <c r="B40" s="255" t="s">
        <v>111</v>
      </c>
      <c r="C40" s="256">
        <f>C38</f>
        <v>2914573</v>
      </c>
      <c r="D40" s="256">
        <f>SUM(D38-D39)</f>
        <v>3058311</v>
      </c>
      <c r="E40" s="256">
        <f>SUM(E38-E39)</f>
        <v>3861366</v>
      </c>
      <c r="F40" s="257"/>
    </row>
    <row r="41" spans="1:6" ht="15" customHeight="1" x14ac:dyDescent="0.25">
      <c r="A41" s="120"/>
      <c r="B41" s="120"/>
      <c r="C41" s="120"/>
      <c r="D41" s="120"/>
      <c r="E41" s="120"/>
      <c r="F41" s="120"/>
    </row>
    <row r="42" spans="1:6" ht="15" customHeight="1" x14ac:dyDescent="0.25">
      <c r="A42" s="120"/>
      <c r="B42" s="120"/>
      <c r="C42" s="120"/>
      <c r="D42" s="120"/>
      <c r="E42" s="120"/>
      <c r="F42" s="120"/>
    </row>
    <row r="43" spans="1:6" ht="15" customHeight="1" x14ac:dyDescent="0.25">
      <c r="A43" s="413" t="s">
        <v>649</v>
      </c>
      <c r="B43" s="414" t="str">
        <f>CONCATENATE("Adjustments are required only if the transfer is being made in ",D7," and/or ",E7," from a non-budgeted fund.")</f>
        <v>Adjustments are required only if the transfer is being made in 2012 and/or 2013 from a non-budgeted fund.</v>
      </c>
      <c r="C43" s="120"/>
      <c r="D43" s="120"/>
      <c r="E43" s="120"/>
      <c r="F43" s="120"/>
    </row>
    <row r="44" spans="1:6" ht="15" customHeight="1" x14ac:dyDescent="0.25"/>
  </sheetData>
  <mergeCells count="1">
    <mergeCell ref="A3:F3"/>
  </mergeCells>
  <phoneticPr fontId="9" type="noConversion"/>
  <pageMargins left="0.5" right="0.5" top="0.75" bottom="0.5" header="0.25" footer="0.25"/>
  <pageSetup scale="77"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18" workbookViewId="0">
      <selection sqref="A1:IV65536"/>
    </sheetView>
  </sheetViews>
  <sheetFormatPr defaultColWidth="8.9140625" defaultRowHeight="15" x14ac:dyDescent="0.25"/>
  <cols>
    <col min="1" max="1" width="70.58203125" style="296" customWidth="1"/>
    <col min="2" max="16384" width="8.9140625" style="296"/>
  </cols>
  <sheetData>
    <row r="1" spans="1:1" ht="17.399999999999999" x14ac:dyDescent="0.25">
      <c r="A1" s="647" t="s">
        <v>379</v>
      </c>
    </row>
    <row r="2" spans="1:1" ht="17.399999999999999" x14ac:dyDescent="0.25">
      <c r="A2" s="647"/>
    </row>
    <row r="3" spans="1:1" ht="17.399999999999999" x14ac:dyDescent="0.25">
      <c r="A3" s="647"/>
    </row>
    <row r="4" spans="1:1" ht="51.75" customHeight="1" x14ac:dyDescent="0.25">
      <c r="A4" s="648" t="s">
        <v>666</v>
      </c>
    </row>
    <row r="5" spans="1:1" ht="17.399999999999999" x14ac:dyDescent="0.25">
      <c r="A5" s="647"/>
    </row>
    <row r="6" spans="1:1" ht="15.6" x14ac:dyDescent="0.25">
      <c r="A6" s="297"/>
    </row>
    <row r="7" spans="1:1" ht="46.8" x14ac:dyDescent="0.25">
      <c r="A7" s="298" t="s">
        <v>380</v>
      </c>
    </row>
    <row r="8" spans="1:1" ht="15.6" x14ac:dyDescent="0.25">
      <c r="A8" s="297"/>
    </row>
    <row r="9" spans="1:1" ht="15.6" x14ac:dyDescent="0.25">
      <c r="A9" s="297"/>
    </row>
    <row r="10" spans="1:1" ht="62.4" x14ac:dyDescent="0.25">
      <c r="A10" s="298" t="s">
        <v>381</v>
      </c>
    </row>
    <row r="11" spans="1:1" ht="15.6" x14ac:dyDescent="0.25">
      <c r="A11" s="649"/>
    </row>
    <row r="12" spans="1:1" ht="15.6" x14ac:dyDescent="0.25">
      <c r="A12" s="297"/>
    </row>
    <row r="13" spans="1:1" ht="46.8" x14ac:dyDescent="0.25">
      <c r="A13" s="298" t="s">
        <v>382</v>
      </c>
    </row>
    <row r="14" spans="1:1" ht="15.6" x14ac:dyDescent="0.25">
      <c r="A14" s="649"/>
    </row>
    <row r="15" spans="1:1" ht="15.6" x14ac:dyDescent="0.25">
      <c r="A15" s="297"/>
    </row>
    <row r="16" spans="1:1" ht="46.8" x14ac:dyDescent="0.25">
      <c r="A16" s="298" t="s">
        <v>383</v>
      </c>
    </row>
    <row r="17" spans="1:1" ht="15.6" x14ac:dyDescent="0.25">
      <c r="A17" s="649"/>
    </row>
    <row r="18" spans="1:1" ht="15.6" x14ac:dyDescent="0.25">
      <c r="A18" s="649"/>
    </row>
    <row r="19" spans="1:1" ht="46.8" x14ac:dyDescent="0.25">
      <c r="A19" s="298" t="s">
        <v>384</v>
      </c>
    </row>
    <row r="20" spans="1:1" ht="15.6" x14ac:dyDescent="0.25">
      <c r="A20" s="649"/>
    </row>
    <row r="21" spans="1:1" ht="15.6" x14ac:dyDescent="0.25">
      <c r="A21" s="649"/>
    </row>
    <row r="22" spans="1:1" ht="46.8" x14ac:dyDescent="0.25">
      <c r="A22" s="298" t="s">
        <v>385</v>
      </c>
    </row>
    <row r="23" spans="1:1" ht="15.6" x14ac:dyDescent="0.25">
      <c r="A23" s="649"/>
    </row>
    <row r="24" spans="1:1" ht="15.6" x14ac:dyDescent="0.25">
      <c r="A24" s="649"/>
    </row>
    <row r="25" spans="1:1" ht="31.2" x14ac:dyDescent="0.25">
      <c r="A25" s="298" t="s">
        <v>386</v>
      </c>
    </row>
    <row r="26" spans="1:1" ht="15.6" x14ac:dyDescent="0.25">
      <c r="A26" s="297"/>
    </row>
    <row r="27" spans="1:1" ht="15.6" x14ac:dyDescent="0.25">
      <c r="A27" s="297"/>
    </row>
    <row r="28" spans="1:1" ht="55.2" x14ac:dyDescent="0.25">
      <c r="A28" s="650" t="s">
        <v>387</v>
      </c>
    </row>
    <row r="29" spans="1:1" x14ac:dyDescent="0.25">
      <c r="A29" s="651"/>
    </row>
    <row r="30" spans="1:1" x14ac:dyDescent="0.25">
      <c r="A30" s="651"/>
    </row>
    <row r="31" spans="1:1" ht="46.8" x14ac:dyDescent="0.25">
      <c r="A31" s="298" t="s">
        <v>388</v>
      </c>
    </row>
    <row r="32" spans="1:1" ht="15.6" x14ac:dyDescent="0.25">
      <c r="A32" s="297"/>
    </row>
    <row r="33" spans="1:1" ht="15.6" x14ac:dyDescent="0.25">
      <c r="A33" s="297"/>
    </row>
    <row r="34" spans="1:1" ht="66.75" customHeight="1" x14ac:dyDescent="0.3">
      <c r="A34" s="652" t="s">
        <v>667</v>
      </c>
    </row>
    <row r="35" spans="1:1" ht="15.6" x14ac:dyDescent="0.25">
      <c r="A35" s="297"/>
    </row>
    <row r="36" spans="1:1" ht="15.6" x14ac:dyDescent="0.25">
      <c r="A36" s="297"/>
    </row>
    <row r="37" spans="1:1" ht="62.4" x14ac:dyDescent="0.25">
      <c r="A37" s="653" t="s">
        <v>389</v>
      </c>
    </row>
    <row r="38" spans="1:1" ht="15.6" x14ac:dyDescent="0.25">
      <c r="A38" s="649"/>
    </row>
    <row r="39" spans="1:1" ht="15.6" x14ac:dyDescent="0.25">
      <c r="A39" s="297"/>
    </row>
    <row r="40" spans="1:1" ht="62.4" x14ac:dyDescent="0.25">
      <c r="A40" s="298" t="s">
        <v>390</v>
      </c>
    </row>
    <row r="41" spans="1:1" ht="15.6" x14ac:dyDescent="0.25">
      <c r="A41" s="649"/>
    </row>
    <row r="42" spans="1:1" ht="15.6" x14ac:dyDescent="0.25">
      <c r="A42" s="649"/>
    </row>
    <row r="43" spans="1:1" ht="82.5" customHeight="1" x14ac:dyDescent="0.3">
      <c r="A43" s="654" t="s">
        <v>668</v>
      </c>
    </row>
    <row r="44" spans="1:1" ht="15.6" x14ac:dyDescent="0.25">
      <c r="A44" s="649"/>
    </row>
    <row r="45" spans="1:1" ht="15.6" x14ac:dyDescent="0.25">
      <c r="A45" s="649"/>
    </row>
    <row r="46" spans="1:1" ht="69" customHeight="1" x14ac:dyDescent="0.3">
      <c r="A46" s="654" t="s">
        <v>669</v>
      </c>
    </row>
    <row r="47" spans="1:1" ht="15.6" x14ac:dyDescent="0.25">
      <c r="A47" s="649"/>
    </row>
    <row r="48" spans="1:1" ht="15.6" x14ac:dyDescent="0.25">
      <c r="A48" s="649"/>
    </row>
    <row r="49" spans="1:1" ht="69" customHeight="1" x14ac:dyDescent="0.3">
      <c r="A49" s="654" t="s">
        <v>670</v>
      </c>
    </row>
    <row r="50" spans="1:1" ht="15.6" x14ac:dyDescent="0.25">
      <c r="A50" s="649"/>
    </row>
    <row r="51" spans="1:1" ht="15.6" x14ac:dyDescent="0.25">
      <c r="A51" s="649"/>
    </row>
    <row r="52" spans="1:1" ht="54.75" customHeight="1" x14ac:dyDescent="0.3">
      <c r="A52" s="654" t="s">
        <v>893</v>
      </c>
    </row>
    <row r="53" spans="1:1" ht="15.6" x14ac:dyDescent="0.25">
      <c r="A53" s="649"/>
    </row>
    <row r="54" spans="1:1" ht="15.6" x14ac:dyDescent="0.25">
      <c r="A54" s="649"/>
    </row>
    <row r="55" spans="1:1" ht="62.4" x14ac:dyDescent="0.25">
      <c r="A55" s="298" t="s">
        <v>391</v>
      </c>
    </row>
    <row r="56" spans="1:1" ht="15.6" x14ac:dyDescent="0.25">
      <c r="A56" s="649"/>
    </row>
    <row r="57" spans="1:1" ht="15.6" x14ac:dyDescent="0.25">
      <c r="A57" s="649"/>
    </row>
    <row r="58" spans="1:1" ht="62.4" x14ac:dyDescent="0.25">
      <c r="A58" s="298" t="s">
        <v>392</v>
      </c>
    </row>
    <row r="59" spans="1:1" ht="15.6" x14ac:dyDescent="0.25">
      <c r="A59" s="649"/>
    </row>
    <row r="60" spans="1:1" ht="15.6" x14ac:dyDescent="0.25">
      <c r="A60" s="649"/>
    </row>
    <row r="61" spans="1:1" ht="46.8" x14ac:dyDescent="0.25">
      <c r="A61" s="298" t="s">
        <v>393</v>
      </c>
    </row>
    <row r="62" spans="1:1" ht="15.6" x14ac:dyDescent="0.25">
      <c r="A62" s="649"/>
    </row>
    <row r="63" spans="1:1" ht="15.6" x14ac:dyDescent="0.25">
      <c r="A63" s="649"/>
    </row>
    <row r="64" spans="1:1" ht="46.8" x14ac:dyDescent="0.25">
      <c r="A64" s="298" t="s">
        <v>394</v>
      </c>
    </row>
    <row r="65" spans="1:1" ht="15.6" x14ac:dyDescent="0.25">
      <c r="A65" s="649"/>
    </row>
    <row r="66" spans="1:1" ht="15.6" x14ac:dyDescent="0.25">
      <c r="A66" s="649"/>
    </row>
    <row r="67" spans="1:1" ht="78" x14ac:dyDescent="0.25">
      <c r="A67" s="298" t="s">
        <v>395</v>
      </c>
    </row>
    <row r="68" spans="1:1" x14ac:dyDescent="0.25">
      <c r="A68" s="655"/>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9</vt:i4>
      </vt:variant>
    </vt:vector>
  </HeadingPairs>
  <TitlesOfParts>
    <vt:vector size="53"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 </vt:lpstr>
      <vt:lpstr>general</vt:lpstr>
      <vt:lpstr>GenDetail</vt:lpstr>
      <vt:lpstr>Debt Service</vt:lpstr>
      <vt:lpstr>Library</vt:lpstr>
      <vt:lpstr>AqFac Co Infra</vt:lpstr>
      <vt:lpstr>Conv Drug</vt:lpstr>
      <vt:lpstr>ED EMS Cap</vt:lpstr>
      <vt:lpstr>EMS Lib Sales</vt:lpstr>
      <vt:lpstr>Park Dec Rec Prog</vt:lpstr>
      <vt:lpstr>Risk Sen Ctr</vt:lpstr>
      <vt:lpstr>Side Soccer</vt:lpstr>
      <vt:lpstr>Spec Park Street</vt:lpstr>
      <vt:lpstr>Ball Pool</vt:lpstr>
      <vt:lpstr>Tiblow TIF Dev</vt:lpstr>
      <vt:lpstr>CID  City Contrib</vt:lpstr>
      <vt:lpstr>TIF Inc CID Dev Fees</vt:lpstr>
      <vt:lpstr>Waste Storm</vt:lpstr>
      <vt:lpstr>Waste Water</vt:lpstr>
      <vt:lpstr>Water</vt:lpstr>
      <vt:lpstr>NonBudA</vt:lpstr>
      <vt:lpstr>NonBudFunds</vt:lpstr>
      <vt:lpstr>summ</vt:lpstr>
      <vt:lpstr>nhood</vt:lpstr>
      <vt:lpstr>ordinance</vt:lpstr>
      <vt:lpstr>Tab A</vt:lpstr>
      <vt:lpstr>Tab B</vt:lpstr>
      <vt:lpstr>Tab C</vt:lpstr>
      <vt:lpstr>Tab D</vt:lpstr>
      <vt:lpstr>Tab E</vt:lpstr>
      <vt:lpstr>Mill Rate Computation</vt:lpstr>
      <vt:lpstr>Helpful Links</vt:lpstr>
      <vt:lpstr>legend</vt:lpstr>
      <vt:lpstr>cert!Print_Area</vt:lpstr>
      <vt:lpstr>'Debt Service'!Print_Area</vt:lpstr>
      <vt:lpstr>GenDetail!Print_Area</vt:lpstr>
      <vt:lpstr>general!Print_Area</vt:lpstr>
      <vt:lpstr>inputPrYr!Print_Area</vt:lpstr>
      <vt:lpstr>'Library Grant '!Print_Area</vt:lpstr>
      <vt:lpstr>lpform!Print_Area</vt:lpstr>
      <vt:lpstr>'Mill Rate Computation'!Print_Area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Rita Hoag</cp:lastModifiedBy>
  <cp:lastPrinted>2012-08-14T22:00:42Z</cp:lastPrinted>
  <dcterms:created xsi:type="dcterms:W3CDTF">1999-08-03T13:11:47Z</dcterms:created>
  <dcterms:modified xsi:type="dcterms:W3CDTF">2012-08-15T16:47:11Z</dcterms:modified>
</cp:coreProperties>
</file>