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50" yWindow="75" windowWidth="13410" windowHeight="11715" tabRatio="909" firstSheet="2" activeTab="7"/>
  </bookViews>
  <sheets>
    <sheet name="Instructions" sheetId="1" r:id="rId1"/>
    <sheet name="inputPrYr" sheetId="2" r:id="rId2"/>
    <sheet name="inputOth" sheetId="43" r:id="rId3"/>
    <sheet name="cert" sheetId="3" r:id="rId4"/>
    <sheet name="computation" sheetId="24" r:id="rId5"/>
    <sheet name="mvalloc" sheetId="5" r:id="rId6"/>
    <sheet name="transfers" sheetId="32" r:id="rId7"/>
    <sheet name="debt" sheetId="22" r:id="rId8"/>
    <sheet name="lpform" sheetId="23" r:id="rId9"/>
    <sheet name="Library Grant " sheetId="48" r:id="rId10"/>
    <sheet name="general" sheetId="7" r:id="rId11"/>
    <sheet name="general-detail" sheetId="9" r:id="rId12"/>
    <sheet name="LibraryBondInt" sheetId="8" r:id="rId13"/>
    <sheet name="SpHiwayWaterSewerRefuse" sheetId="14" r:id="rId14"/>
    <sheet name="CapImprUtilitySystemReserve" sheetId="15" r:id="rId15"/>
    <sheet name="SpecLawEnfTrustHousing Grant" sheetId="36" r:id="rId16"/>
    <sheet name="WaterStorageGrantStormSewerProj" sheetId="46" r:id="rId17"/>
    <sheet name="PoolImprovementStormSewer2012" sheetId="47" r:id="rId18"/>
    <sheet name="summ" sheetId="21" r:id="rId19"/>
    <sheet name="nhood" sheetId="44" r:id="rId20"/>
    <sheet name="ordinance" sheetId="33" r:id="rId21"/>
    <sheet name="legend" sheetId="25" r:id="rId22"/>
  </sheets>
  <definedNames>
    <definedName name="_xlnm.Print_Area" localSheetId="14">CapImprUtilitySystemReserve!$A$1:$E$50</definedName>
    <definedName name="_xlnm.Print_Area" localSheetId="7">debt!$A$1:$L$35</definedName>
    <definedName name="_xlnm.Print_Area" localSheetId="10">general!$A$1:$E$90</definedName>
    <definedName name="_xlnm.Print_Area" localSheetId="11">'general-detail'!$A$1:$D$67</definedName>
    <definedName name="_xlnm.Print_Area" localSheetId="1">inputPrYr!$A$1:$E$71</definedName>
    <definedName name="_xlnm.Print_Area" localSheetId="9">'Library Grant '!$A$1:$J$40</definedName>
    <definedName name="_xlnm.Print_Area" localSheetId="12">LibraryBondInt!$A$1:$E$68</definedName>
    <definedName name="_xlnm.Print_Area" localSheetId="8">lpform!$A$1:$H$38</definedName>
    <definedName name="_xlnm.Print_Area" localSheetId="17">PoolImprovementStormSewer2012!$A$1:$E$50</definedName>
    <definedName name="_xlnm.Print_Area" localSheetId="15">'SpecLawEnfTrustHousing Grant'!$A$1:$E$22</definedName>
    <definedName name="_xlnm.Print_Area" localSheetId="13">SpHiwayWaterSewerRefuse!$A$1:$E$67</definedName>
    <definedName name="_xlnm.Print_Area" localSheetId="18">summ!$A$1:$H$49</definedName>
    <definedName name="_xlnm.Print_Area" localSheetId="6">transfers!$A$1:$F$26</definedName>
    <definedName name="_xlnm.Print_Area" localSheetId="16">WaterStorageGrantStormSewerProj!$A$1:$E$48</definedName>
  </definedNames>
  <calcPr calcId="125725"/>
</workbook>
</file>

<file path=xl/calcChain.xml><?xml version="1.0" encoding="utf-8"?>
<calcChain xmlns="http://schemas.openxmlformats.org/spreadsheetml/2006/main">
  <c r="G16" i="48"/>
  <c r="E19"/>
  <c r="E18"/>
  <c r="E17"/>
  <c r="E16"/>
  <c r="E15"/>
  <c r="B19"/>
  <c r="B18"/>
  <c r="B17"/>
  <c r="B16"/>
  <c r="B15"/>
  <c r="G14"/>
  <c r="E14"/>
  <c r="B5"/>
  <c r="B8"/>
  <c r="B7"/>
  <c r="B91"/>
  <c r="B47"/>
  <c r="A31" i="3"/>
  <c r="A29" i="21"/>
  <c r="A26" i="47"/>
  <c r="B42"/>
  <c r="E40"/>
  <c r="E39" s="1"/>
  <c r="D40"/>
  <c r="D29" i="21" s="1"/>
  <c r="C40" i="47"/>
  <c r="B29" i="21" s="1"/>
  <c r="E34" i="47"/>
  <c r="E33" s="1"/>
  <c r="D34"/>
  <c r="D33" s="1"/>
  <c r="C34"/>
  <c r="C33" s="1"/>
  <c r="E26"/>
  <c r="C42" i="46"/>
  <c r="E61" i="14"/>
  <c r="E71" i="7"/>
  <c r="D71"/>
  <c r="E69"/>
  <c r="D69"/>
  <c r="E67"/>
  <c r="D8" i="5"/>
  <c r="E8"/>
  <c r="E41" i="8" s="1"/>
  <c r="F8" i="5"/>
  <c r="C8"/>
  <c r="E39" i="8" s="1"/>
  <c r="B8" i="5"/>
  <c r="A8"/>
  <c r="B20" i="47"/>
  <c r="A28" i="21"/>
  <c r="A30" i="3"/>
  <c r="A5" i="47"/>
  <c r="E18"/>
  <c r="E17" s="1"/>
  <c r="D18"/>
  <c r="D28" i="21"/>
  <c r="C18" i="47"/>
  <c r="B28" i="21" s="1"/>
  <c r="E12" i="47"/>
  <c r="E11" s="1"/>
  <c r="D12"/>
  <c r="C12"/>
  <c r="C11" s="1"/>
  <c r="E5"/>
  <c r="E1"/>
  <c r="A43" s="1"/>
  <c r="A1"/>
  <c r="A4" i="33"/>
  <c r="A7"/>
  <c r="A13"/>
  <c r="A15"/>
  <c r="A21"/>
  <c r="A27"/>
  <c r="A1" i="44"/>
  <c r="F1"/>
  <c r="B3" s="1"/>
  <c r="B6"/>
  <c r="B7"/>
  <c r="B8"/>
  <c r="D9"/>
  <c r="E9"/>
  <c r="D10"/>
  <c r="E10"/>
  <c r="D11"/>
  <c r="E11"/>
  <c r="D12"/>
  <c r="E12"/>
  <c r="D13"/>
  <c r="E13"/>
  <c r="D14"/>
  <c r="E14"/>
  <c r="D15"/>
  <c r="E15"/>
  <c r="D16"/>
  <c r="E16"/>
  <c r="D17"/>
  <c r="E17"/>
  <c r="C18"/>
  <c r="D21"/>
  <c r="D23" s="1"/>
  <c r="D25"/>
  <c r="D27" s="1"/>
  <c r="H2" i="21"/>
  <c r="D38" s="1"/>
  <c r="A4"/>
  <c r="A18"/>
  <c r="C18"/>
  <c r="E18"/>
  <c r="A19"/>
  <c r="C19"/>
  <c r="E19"/>
  <c r="E29" i="48" s="1"/>
  <c r="A20" i="21"/>
  <c r="C20"/>
  <c r="E20"/>
  <c r="A21"/>
  <c r="A22"/>
  <c r="A23"/>
  <c r="A24"/>
  <c r="A25"/>
  <c r="A26"/>
  <c r="A27"/>
  <c r="B33"/>
  <c r="B35"/>
  <c r="D35"/>
  <c r="E27" i="48" s="1"/>
  <c r="F35" i="21"/>
  <c r="G27" i="48" s="1"/>
  <c r="B39" i="21"/>
  <c r="D39"/>
  <c r="B40"/>
  <c r="D40"/>
  <c r="B41"/>
  <c r="D41"/>
  <c r="B42"/>
  <c r="D42"/>
  <c r="A1" i="46"/>
  <c r="E1"/>
  <c r="C5" s="1"/>
  <c r="A5"/>
  <c r="E5"/>
  <c r="C12"/>
  <c r="C13"/>
  <c r="D12"/>
  <c r="D11" s="1"/>
  <c r="E12"/>
  <c r="E11" s="1"/>
  <c r="C20"/>
  <c r="C19" s="1"/>
  <c r="D20"/>
  <c r="D19" s="1"/>
  <c r="E20"/>
  <c r="F26" i="21" s="1"/>
  <c r="E19" i="46"/>
  <c r="B22"/>
  <c r="A28"/>
  <c r="E28"/>
  <c r="C34"/>
  <c r="C35" s="1"/>
  <c r="C43" s="1"/>
  <c r="D34"/>
  <c r="D33"/>
  <c r="E34"/>
  <c r="E33" s="1"/>
  <c r="D42"/>
  <c r="D41" s="1"/>
  <c r="E42"/>
  <c r="E41" s="1"/>
  <c r="B44"/>
  <c r="A1" i="36"/>
  <c r="E1"/>
  <c r="C25" s="1"/>
  <c r="A5"/>
  <c r="E5"/>
  <c r="C11"/>
  <c r="C10" s="1"/>
  <c r="D11"/>
  <c r="D10"/>
  <c r="E11"/>
  <c r="E10" s="1"/>
  <c r="C17"/>
  <c r="C16"/>
  <c r="D17"/>
  <c r="D16" s="1"/>
  <c r="E17"/>
  <c r="E16"/>
  <c r="B19"/>
  <c r="B20" s="1"/>
  <c r="A25"/>
  <c r="E25"/>
  <c r="C33"/>
  <c r="C32" s="1"/>
  <c r="D33"/>
  <c r="D32"/>
  <c r="E33"/>
  <c r="E32" s="1"/>
  <c r="D39"/>
  <c r="C40"/>
  <c r="B43" s="1"/>
  <c r="D40"/>
  <c r="E40"/>
  <c r="B42"/>
  <c r="A1" i="15"/>
  <c r="E1"/>
  <c r="A46" s="1"/>
  <c r="A5"/>
  <c r="C12"/>
  <c r="C11" s="1"/>
  <c r="D12"/>
  <c r="D11"/>
  <c r="E12"/>
  <c r="E11" s="1"/>
  <c r="C19"/>
  <c r="B23" i="21"/>
  <c r="D19" i="15"/>
  <c r="D18" s="1"/>
  <c r="E19"/>
  <c r="D25" i="3"/>
  <c r="B21" i="15"/>
  <c r="B22" s="1"/>
  <c r="A27"/>
  <c r="C36"/>
  <c r="C35"/>
  <c r="C37"/>
  <c r="C45" s="1"/>
  <c r="B48" s="1"/>
  <c r="D36"/>
  <c r="D35" s="1"/>
  <c r="E36"/>
  <c r="E35"/>
  <c r="C44"/>
  <c r="D44"/>
  <c r="D24" i="21" s="1"/>
  <c r="E44" i="15"/>
  <c r="F24" i="21" s="1"/>
  <c r="B46" i="15"/>
  <c r="A1" i="14"/>
  <c r="E1"/>
  <c r="A63" s="1"/>
  <c r="A5"/>
  <c r="D8"/>
  <c r="D13" s="1"/>
  <c r="E8"/>
  <c r="E9"/>
  <c r="C13"/>
  <c r="C12"/>
  <c r="C22"/>
  <c r="C21" s="1"/>
  <c r="D22"/>
  <c r="D21"/>
  <c r="E22"/>
  <c r="D23" i="3" s="1"/>
  <c r="B24" i="14"/>
  <c r="A30"/>
  <c r="C45"/>
  <c r="C46" s="1"/>
  <c r="D45"/>
  <c r="D44" s="1"/>
  <c r="E45"/>
  <c r="E44" s="1"/>
  <c r="C61"/>
  <c r="B22" i="21" s="1"/>
  <c r="D61" i="14"/>
  <c r="D22" i="21" s="1"/>
  <c r="B63" i="14"/>
  <c r="A1" i="8"/>
  <c r="E1"/>
  <c r="C34" s="1"/>
  <c r="A6"/>
  <c r="C17"/>
  <c r="C16"/>
  <c r="D17"/>
  <c r="D16" s="1"/>
  <c r="C24"/>
  <c r="C23" s="1"/>
  <c r="D24"/>
  <c r="D23" s="1"/>
  <c r="D19" i="21"/>
  <c r="E24" i="8"/>
  <c r="E23" s="1"/>
  <c r="B26"/>
  <c r="B27" s="1"/>
  <c r="D29"/>
  <c r="E29" s="1"/>
  <c r="C46"/>
  <c r="C45" s="1"/>
  <c r="D46"/>
  <c r="D45" s="1"/>
  <c r="E59"/>
  <c r="E58" s="1"/>
  <c r="C59"/>
  <c r="B20" i="21" s="1"/>
  <c r="D59" i="8"/>
  <c r="D58" s="1"/>
  <c r="B61"/>
  <c r="D64"/>
  <c r="E64" s="1"/>
  <c r="A1" i="9"/>
  <c r="D1"/>
  <c r="C5" s="1"/>
  <c r="B12"/>
  <c r="C12"/>
  <c r="D55" i="7"/>
  <c r="D12" i="9"/>
  <c r="B18"/>
  <c r="C18"/>
  <c r="D57" i="7" s="1"/>
  <c r="D18" i="9"/>
  <c r="E57" i="7" s="1"/>
  <c r="B24" i="9"/>
  <c r="C59" i="7"/>
  <c r="C24" i="9"/>
  <c r="D24"/>
  <c r="E59" i="7" s="1"/>
  <c r="B30" i="9"/>
  <c r="C61" i="7"/>
  <c r="C30" i="9"/>
  <c r="D61" i="7" s="1"/>
  <c r="D30" i="9"/>
  <c r="E61" i="7" s="1"/>
  <c r="B36" i="9"/>
  <c r="C36"/>
  <c r="D63" i="7" s="1"/>
  <c r="D36" i="9"/>
  <c r="E63" i="7" s="1"/>
  <c r="B43" i="9"/>
  <c r="C65" i="7"/>
  <c r="C43" i="9"/>
  <c r="D65" i="7" s="1"/>
  <c r="D43" i="9"/>
  <c r="E65" i="7" s="1"/>
  <c r="B49" i="9"/>
  <c r="C49"/>
  <c r="D67" i="7" s="1"/>
  <c r="D49" i="9"/>
  <c r="B63"/>
  <c r="C73" i="7" s="1"/>
  <c r="C63" i="9"/>
  <c r="D73" i="7" s="1"/>
  <c r="D63" i="9"/>
  <c r="E73" i="7" s="1"/>
  <c r="A1"/>
  <c r="E1"/>
  <c r="A85" s="1"/>
  <c r="A6"/>
  <c r="D9"/>
  <c r="D42" s="1"/>
  <c r="D41" s="1"/>
  <c r="E14"/>
  <c r="E15"/>
  <c r="C42"/>
  <c r="C43"/>
  <c r="C52" s="1"/>
  <c r="A47"/>
  <c r="A51"/>
  <c r="C57"/>
  <c r="C67"/>
  <c r="C69"/>
  <c r="C71"/>
  <c r="B84"/>
  <c r="D87"/>
  <c r="E87" s="1"/>
  <c r="A1" i="23"/>
  <c r="H1"/>
  <c r="F9" s="1"/>
  <c r="F28"/>
  <c r="F42" i="21"/>
  <c r="G28" i="23"/>
  <c r="H28"/>
  <c r="A1" i="22"/>
  <c r="L1"/>
  <c r="K6" s="1"/>
  <c r="F17"/>
  <c r="F39" i="21" s="1"/>
  <c r="I17" i="22"/>
  <c r="J17"/>
  <c r="K17"/>
  <c r="L17"/>
  <c r="L35" s="1"/>
  <c r="F25"/>
  <c r="F40" i="21" s="1"/>
  <c r="I25" i="22"/>
  <c r="J25"/>
  <c r="J35" s="1"/>
  <c r="K25"/>
  <c r="L25"/>
  <c r="F34"/>
  <c r="F41" i="21"/>
  <c r="I34" i="22"/>
  <c r="J34"/>
  <c r="K34"/>
  <c r="L34"/>
  <c r="A1" i="32"/>
  <c r="F1"/>
  <c r="D7" s="1"/>
  <c r="C22"/>
  <c r="C24" s="1"/>
  <c r="B31" i="21" s="1"/>
  <c r="D22" i="32"/>
  <c r="D24" s="1"/>
  <c r="D31" i="21" s="1"/>
  <c r="E22" i="32"/>
  <c r="E24" s="1"/>
  <c r="F31" i="21" s="1"/>
  <c r="A1" i="5"/>
  <c r="F1"/>
  <c r="C5" s="1"/>
  <c r="A7"/>
  <c r="B7"/>
  <c r="E40" i="8"/>
  <c r="E42"/>
  <c r="A9" i="5"/>
  <c r="B9"/>
  <c r="A18"/>
  <c r="B18"/>
  <c r="C18"/>
  <c r="D18"/>
  <c r="E18"/>
  <c r="F18"/>
  <c r="C21"/>
  <c r="D22"/>
  <c r="E23"/>
  <c r="F24"/>
  <c r="C1" i="24"/>
  <c r="J1"/>
  <c r="A3" s="1"/>
  <c r="J6"/>
  <c r="G11"/>
  <c r="E14"/>
  <c r="E15"/>
  <c r="E19"/>
  <c r="E20"/>
  <c r="E21"/>
  <c r="G24"/>
  <c r="E28"/>
  <c r="H1" i="3"/>
  <c r="B45" s="1"/>
  <c r="A2"/>
  <c r="A4"/>
  <c r="B20"/>
  <c r="A21"/>
  <c r="B21"/>
  <c r="C21"/>
  <c r="A22"/>
  <c r="B22"/>
  <c r="C22"/>
  <c r="A23"/>
  <c r="C23"/>
  <c r="A24"/>
  <c r="C24"/>
  <c r="A25"/>
  <c r="C25"/>
  <c r="A26"/>
  <c r="C26"/>
  <c r="D26"/>
  <c r="A27"/>
  <c r="C27"/>
  <c r="A28"/>
  <c r="C28"/>
  <c r="A29"/>
  <c r="C34"/>
  <c r="A1" i="43"/>
  <c r="E1"/>
  <c r="A5" s="1"/>
  <c r="A22"/>
  <c r="A31"/>
  <c r="D32"/>
  <c r="A59"/>
  <c r="A60"/>
  <c r="A61"/>
  <c r="A62"/>
  <c r="A63"/>
  <c r="A64"/>
  <c r="A65"/>
  <c r="A13" i="2"/>
  <c r="D15"/>
  <c r="A21"/>
  <c r="D21"/>
  <c r="D33" i="21" s="1"/>
  <c r="D38" i="2"/>
  <c r="A39"/>
  <c r="D39"/>
  <c r="B40"/>
  <c r="B41"/>
  <c r="B42"/>
  <c r="D43"/>
  <c r="A45"/>
  <c r="A46"/>
  <c r="A48"/>
  <c r="D49"/>
  <c r="E49"/>
  <c r="C14" i="24"/>
  <c r="A21" i="44"/>
  <c r="E5"/>
  <c r="C5"/>
  <c r="A24" i="14"/>
  <c r="A23" i="15"/>
  <c r="E43"/>
  <c r="D43"/>
  <c r="B25" i="21"/>
  <c r="E39" i="36"/>
  <c r="F25" i="21"/>
  <c r="D27" i="3"/>
  <c r="A6" i="5"/>
  <c r="B5" i="9"/>
  <c r="D5"/>
  <c r="A13" i="43"/>
  <c r="C63" i="7"/>
  <c r="D5" i="44"/>
  <c r="D28" i="3"/>
  <c r="D26" i="21"/>
  <c r="D29" i="3"/>
  <c r="B57" i="43"/>
  <c r="G16" i="24"/>
  <c r="D11" i="47"/>
  <c r="D15" i="21"/>
  <c r="B13" i="24"/>
  <c r="B38"/>
  <c r="A64" i="14"/>
  <c r="D5" i="15"/>
  <c r="D27" s="1"/>
  <c r="A25" i="14"/>
  <c r="A65"/>
  <c r="C6" i="8"/>
  <c r="A42" i="24"/>
  <c r="C11" i="46"/>
  <c r="C18" i="15"/>
  <c r="A42" i="36"/>
  <c r="C88" i="7"/>
  <c r="C6"/>
  <c r="C51" s="1"/>
  <c r="D6"/>
  <c r="D51" s="1"/>
  <c r="E5" i="14"/>
  <c r="E30" s="1"/>
  <c r="D5"/>
  <c r="D30" s="1"/>
  <c r="A26"/>
  <c r="B25"/>
  <c r="D17" i="47"/>
  <c r="E18" i="15"/>
  <c r="F23" i="21"/>
  <c r="A43" i="36"/>
  <c r="A20"/>
  <c r="D25" i="21"/>
  <c r="A19" i="36"/>
  <c r="D5"/>
  <c r="D60" i="14"/>
  <c r="C7" i="32"/>
  <c r="E7"/>
  <c r="B24" i="21"/>
  <c r="C43" i="15"/>
  <c r="I6" i="22"/>
  <c r="F7"/>
  <c r="A22" i="47"/>
  <c r="C41" i="7"/>
  <c r="F20" i="21"/>
  <c r="C13" i="15"/>
  <c r="C20" s="1"/>
  <c r="E21" i="14"/>
  <c r="D21" i="21"/>
  <c r="B21"/>
  <c r="C14" i="14"/>
  <c r="C23"/>
  <c r="B26" s="1"/>
  <c r="F21" i="21"/>
  <c r="C44" i="14"/>
  <c r="C18" i="8"/>
  <c r="C25" s="1"/>
  <c r="B64" i="14"/>
  <c r="D24" i="3"/>
  <c r="E60" i="14"/>
  <c r="F22" i="21"/>
  <c r="D28" i="15"/>
  <c r="D37" s="1"/>
  <c r="D45" s="1"/>
  <c r="E28" s="1"/>
  <c r="E37" s="1"/>
  <c r="E45" s="1"/>
  <c r="A22"/>
  <c r="A21"/>
  <c r="A48"/>
  <c r="E5"/>
  <c r="E27" s="1"/>
  <c r="A47"/>
  <c r="C5"/>
  <c r="C27" s="1"/>
  <c r="C35" i="47"/>
  <c r="C41" s="1"/>
  <c r="D30" i="3"/>
  <c r="F28" i="21"/>
  <c r="C39" i="47"/>
  <c r="D27" i="21"/>
  <c r="D6" i="14"/>
  <c r="B38" i="21"/>
  <c r="C5" i="36"/>
  <c r="A21"/>
  <c r="D25"/>
  <c r="B45" i="46" l="1"/>
  <c r="C65" i="9"/>
  <c r="D65"/>
  <c r="B65"/>
  <c r="C58" i="8"/>
  <c r="B62"/>
  <c r="D7"/>
  <c r="D18" s="1"/>
  <c r="D25" s="1"/>
  <c r="E7" s="1"/>
  <c r="B28"/>
  <c r="D20" i="21"/>
  <c r="B19"/>
  <c r="F19"/>
  <c r="A62" i="8"/>
  <c r="D34"/>
  <c r="D29" i="46"/>
  <c r="D35" s="1"/>
  <c r="D43" s="1"/>
  <c r="E29" s="1"/>
  <c r="E35" s="1"/>
  <c r="E43" s="1"/>
  <c r="B46"/>
  <c r="C21"/>
  <c r="B24" s="1"/>
  <c r="D28"/>
  <c r="B27" i="21"/>
  <c r="C33" i="46"/>
  <c r="C41"/>
  <c r="B26" i="21"/>
  <c r="B23" i="46"/>
  <c r="E28" i="48"/>
  <c r="E22"/>
  <c r="B84"/>
  <c r="B46"/>
  <c r="B78"/>
  <c r="B89"/>
  <c r="D6" i="15"/>
  <c r="D13" s="1"/>
  <c r="D20" s="1"/>
  <c r="E6" s="1"/>
  <c r="E13" s="1"/>
  <c r="E20" s="1"/>
  <c r="B23"/>
  <c r="D6" i="46"/>
  <c r="D13" s="1"/>
  <c r="D21" s="1"/>
  <c r="E6" s="1"/>
  <c r="E13" s="1"/>
  <c r="E21" s="1"/>
  <c r="G16" i="21"/>
  <c r="A12"/>
  <c r="A24" i="46"/>
  <c r="A44"/>
  <c r="F27" i="21"/>
  <c r="E27" i="8"/>
  <c r="D21" i="3"/>
  <c r="E62" i="8"/>
  <c r="C47"/>
  <c r="C60" s="1"/>
  <c r="C30"/>
  <c r="E10" i="3"/>
  <c r="D6" i="8"/>
  <c r="C13" i="47"/>
  <c r="C19" s="1"/>
  <c r="A52" i="43"/>
  <c r="A7" i="3"/>
  <c r="A23" i="46"/>
  <c r="J5" i="24"/>
  <c r="J7" s="1"/>
  <c r="A36" i="43"/>
  <c r="A8"/>
  <c r="I35" i="22"/>
  <c r="D59" i="7"/>
  <c r="D82" s="1"/>
  <c r="E55"/>
  <c r="E82" s="1"/>
  <c r="D20" i="3" s="1"/>
  <c r="C55" i="7"/>
  <c r="C82" s="1"/>
  <c r="C83" s="1"/>
  <c r="B86" s="1"/>
  <c r="C65" i="8"/>
  <c r="E6"/>
  <c r="D23" i="21"/>
  <c r="C39" i="36"/>
  <c r="C34"/>
  <c r="C41" s="1"/>
  <c r="C12"/>
  <c r="C18" s="1"/>
  <c r="B15" i="21"/>
  <c r="C17" i="47"/>
  <c r="B21"/>
  <c r="D39"/>
  <c r="D5" i="46"/>
  <c r="A26" i="8"/>
  <c r="A61"/>
  <c r="A14" i="43"/>
  <c r="A18"/>
  <c r="A45"/>
  <c r="A63" i="8"/>
  <c r="A8" i="3"/>
  <c r="G22" i="24"/>
  <c r="K35" i="22"/>
  <c r="C30" i="21"/>
  <c r="F15"/>
  <c r="A46" i="46"/>
  <c r="C60" i="14"/>
  <c r="F35" i="22"/>
  <c r="A27" i="8"/>
  <c r="F38" i="21"/>
  <c r="C28" i="46"/>
  <c r="A45"/>
  <c r="D22" i="3"/>
  <c r="E34" i="8"/>
  <c r="A22" i="46"/>
  <c r="A34" i="43"/>
  <c r="D9" i="3"/>
  <c r="A49" i="43"/>
  <c r="A28" i="8"/>
  <c r="A13" i="3"/>
  <c r="B5" i="24"/>
  <c r="B6" i="5"/>
  <c r="C62" i="14"/>
  <c r="B65" s="1"/>
  <c r="D31"/>
  <c r="D46" s="1"/>
  <c r="D62" s="1"/>
  <c r="E31" s="1"/>
  <c r="E46" s="1"/>
  <c r="E62" s="1"/>
  <c r="B47" i="15"/>
  <c r="C26" i="47"/>
  <c r="A20"/>
  <c r="D5"/>
  <c r="C5"/>
  <c r="A21"/>
  <c r="D27"/>
  <c r="D35" s="1"/>
  <c r="D41" s="1"/>
  <c r="E27" s="1"/>
  <c r="E35" s="1"/>
  <c r="E41" s="1"/>
  <c r="B44"/>
  <c r="F29" i="21"/>
  <c r="D31" i="3"/>
  <c r="D26" i="47"/>
  <c r="B43"/>
  <c r="C5" i="14"/>
  <c r="C30" s="1"/>
  <c r="B43" i="21"/>
  <c r="G26" i="24"/>
  <c r="G30" s="1"/>
  <c r="G32" s="1"/>
  <c r="J34" s="1"/>
  <c r="D43" i="21"/>
  <c r="E30"/>
  <c r="E46" i="8"/>
  <c r="E45" s="1"/>
  <c r="B19" i="5"/>
  <c r="C25" s="1"/>
  <c r="C9" s="1"/>
  <c r="F43" i="21"/>
  <c r="E13" i="14"/>
  <c r="E12" s="1"/>
  <c r="A44" i="36"/>
  <c r="B5" i="44"/>
  <c r="D7"/>
  <c r="E7" s="1"/>
  <c r="D6"/>
  <c r="D8"/>
  <c r="E8" s="1"/>
  <c r="D26" i="5"/>
  <c r="D9" s="1"/>
  <c r="E12" i="8" s="1"/>
  <c r="G18" i="48" s="1"/>
  <c r="F28" i="5"/>
  <c r="F9" s="1"/>
  <c r="E27"/>
  <c r="E9" s="1"/>
  <c r="D12" i="14"/>
  <c r="D14"/>
  <c r="D23" s="1"/>
  <c r="E6" s="1"/>
  <c r="J36" i="24"/>
  <c r="A84" i="7"/>
  <c r="A86"/>
  <c r="B28" i="24"/>
  <c r="B9"/>
  <c r="B6"/>
  <c r="B18"/>
  <c r="C15"/>
  <c r="G9" i="23"/>
  <c r="A56" i="43"/>
  <c r="C57"/>
  <c r="A15"/>
  <c r="A51"/>
  <c r="B11" i="24"/>
  <c r="A50" i="43"/>
  <c r="A6"/>
  <c r="A7"/>
  <c r="E6" i="7"/>
  <c r="E51" s="1"/>
  <c r="H9" i="23"/>
  <c r="B24" i="24"/>
  <c r="A42" i="47"/>
  <c r="A44"/>
  <c r="B18" i="21" l="1"/>
  <c r="B30" s="1"/>
  <c r="B32" s="1"/>
  <c r="C81" i="7"/>
  <c r="D7"/>
  <c r="D43" s="1"/>
  <c r="D52" s="1"/>
  <c r="B85"/>
  <c r="F84"/>
  <c r="F18" i="21"/>
  <c r="F30" s="1"/>
  <c r="F32" s="1"/>
  <c r="E85" i="7"/>
  <c r="E81"/>
  <c r="D81"/>
  <c r="D18" i="21"/>
  <c r="D30" s="1"/>
  <c r="D32" s="1"/>
  <c r="D32" i="3"/>
  <c r="B44" i="36"/>
  <c r="D26"/>
  <c r="D34" s="1"/>
  <c r="D41" s="1"/>
  <c r="E26" s="1"/>
  <c r="E34" s="1"/>
  <c r="E41" s="1"/>
  <c r="D6" i="47"/>
  <c r="D13" s="1"/>
  <c r="D19" s="1"/>
  <c r="E6" s="1"/>
  <c r="E13" s="1"/>
  <c r="E19" s="1"/>
  <c r="B22"/>
  <c r="D35" i="8"/>
  <c r="D47" s="1"/>
  <c r="D60" s="1"/>
  <c r="E35" s="1"/>
  <c r="E47" s="1"/>
  <c r="E63" s="1"/>
  <c r="E65" s="1"/>
  <c r="B63"/>
  <c r="B21" i="36"/>
  <c r="D6"/>
  <c r="D12" s="1"/>
  <c r="D18" s="1"/>
  <c r="E6" s="1"/>
  <c r="E12" s="1"/>
  <c r="E18" s="1"/>
  <c r="E14" i="14"/>
  <c r="E23" s="1"/>
  <c r="F7" i="5"/>
  <c r="E14" i="8"/>
  <c r="E13"/>
  <c r="G19" i="48" s="1"/>
  <c r="E7" i="5"/>
  <c r="C7"/>
  <c r="E11" i="8"/>
  <c r="G17" i="48" s="1"/>
  <c r="E6" i="44"/>
  <c r="E18" s="1"/>
  <c r="D18"/>
  <c r="D7" i="5"/>
  <c r="D83" i="7" l="1"/>
  <c r="E7" s="1"/>
  <c r="E22" i="3"/>
  <c r="J38" i="24"/>
  <c r="J40" s="1"/>
  <c r="G20" i="21"/>
  <c r="E17" i="8"/>
  <c r="E18" s="1"/>
  <c r="E28" s="1"/>
  <c r="E30" s="1"/>
  <c r="G15" i="48" s="1"/>
  <c r="G22" s="1"/>
  <c r="E12" i="7"/>
  <c r="D19" i="5"/>
  <c r="E13" i="7"/>
  <c r="E19" i="5"/>
  <c r="F19"/>
  <c r="E16" i="7"/>
  <c r="E11"/>
  <c r="C19" i="5"/>
  <c r="D24" i="48" l="1"/>
  <c r="F33" s="1"/>
  <c r="E23"/>
  <c r="E16" i="8"/>
  <c r="E42" i="7"/>
  <c r="F21" i="3"/>
  <c r="H20" i="21"/>
  <c r="G19"/>
  <c r="H19" s="1"/>
  <c r="G29" i="48" s="1"/>
  <c r="E30" s="1"/>
  <c r="D31" s="1"/>
  <c r="E21" i="3"/>
  <c r="E41" i="7" l="1"/>
  <c r="E43"/>
  <c r="E86" l="1"/>
  <c r="E88" s="1"/>
  <c r="E52"/>
  <c r="E20" i="3" l="1"/>
  <c r="E32" s="1"/>
  <c r="E35" s="1"/>
  <c r="G18" i="21"/>
  <c r="G30" s="1"/>
  <c r="H18" l="1"/>
  <c r="H30" s="1"/>
  <c r="F20" i="3"/>
  <c r="F32" s="1"/>
</calcChain>
</file>

<file path=xl/sharedStrings.xml><?xml version="1.0" encoding="utf-8"?>
<sst xmlns="http://schemas.openxmlformats.org/spreadsheetml/2006/main" count="997" uniqueCount="583">
  <si>
    <t>Business License/Permits</t>
  </si>
  <si>
    <t>ADMINISTRATION</t>
  </si>
  <si>
    <t>STREETS</t>
  </si>
  <si>
    <t>PARKS &amp; RECREATION</t>
  </si>
  <si>
    <t>POLICE</t>
  </si>
  <si>
    <t>FIRE</t>
  </si>
  <si>
    <t>EMPLOYEE BENEFITS</t>
  </si>
  <si>
    <t>CEMETERY</t>
  </si>
  <si>
    <t>SALES TAX PROJECTS</t>
  </si>
  <si>
    <t xml:space="preserve">   Streets</t>
  </si>
  <si>
    <t xml:space="preserve">   Water/Sewer</t>
  </si>
  <si>
    <t xml:space="preserve">    Commodities</t>
  </si>
  <si>
    <t xml:space="preserve">    Parks &amp; Recreation</t>
  </si>
  <si>
    <t xml:space="preserve">    Transfer to Capital Improvement Fund</t>
  </si>
  <si>
    <t xml:space="preserve">    Other Improvements</t>
  </si>
  <si>
    <t xml:space="preserve">    Contractual</t>
  </si>
  <si>
    <t xml:space="preserve">   Workers Comp Insurance</t>
  </si>
  <si>
    <t xml:space="preserve">   Health Insurance - City Share</t>
  </si>
  <si>
    <t xml:space="preserve">   Retirement - City Share</t>
  </si>
  <si>
    <t xml:space="preserve">   Payroll Taxes</t>
  </si>
  <si>
    <t xml:space="preserve">   Unemployment Insurance - City Share</t>
  </si>
  <si>
    <t>EMERGENCY SERVICES</t>
  </si>
  <si>
    <t>UTILITIES</t>
  </si>
  <si>
    <t>Annual Library Payment</t>
  </si>
  <si>
    <t>Materials Sold</t>
  </si>
  <si>
    <t>Road Materials</t>
  </si>
  <si>
    <t>Commodities</t>
  </si>
  <si>
    <t>Salaries</t>
  </si>
  <si>
    <t>Transfer from General Fund</t>
  </si>
  <si>
    <t>Contractual</t>
  </si>
  <si>
    <t>Sewer System Reserve Receipts</t>
  </si>
  <si>
    <t>Delayed Payment Charges</t>
  </si>
  <si>
    <t>Water Receipts</t>
  </si>
  <si>
    <t>Sewer Receipts</t>
  </si>
  <si>
    <t>Refuse Receipts</t>
  </si>
  <si>
    <t>Connect Fees</t>
  </si>
  <si>
    <t>NSF Fees</t>
  </si>
  <si>
    <t xml:space="preserve">  Transfer to General Fund</t>
  </si>
  <si>
    <t xml:space="preserve">   Personal Services</t>
  </si>
  <si>
    <t xml:space="preserve">   Commodities</t>
  </si>
  <si>
    <t xml:space="preserve">   Contractual Services</t>
  </si>
  <si>
    <t xml:space="preserve">   Utilities</t>
  </si>
  <si>
    <t xml:space="preserve">  Capital outlay</t>
  </si>
  <si>
    <t xml:space="preserve">  Refuse Contractual Services</t>
  </si>
  <si>
    <t>Capital Outlay</t>
  </si>
  <si>
    <t>Spec. Law Enf. Trust Fund</t>
  </si>
  <si>
    <t>Siezure Money</t>
  </si>
  <si>
    <t>Detailed budget information is available at City Hall</t>
  </si>
  <si>
    <t xml:space="preserve">    Appropriation-USD 498</t>
  </si>
  <si>
    <t>Pool Receipts</t>
  </si>
  <si>
    <t>State Aid</t>
  </si>
  <si>
    <t>Housing Grant Fund</t>
  </si>
  <si>
    <t>Grant Income</t>
  </si>
  <si>
    <t>Local Match</t>
  </si>
  <si>
    <t>Grant Expenditures - Housing Activities</t>
  </si>
  <si>
    <t>Grant Expenditures - Administrative</t>
  </si>
  <si>
    <t>*</t>
  </si>
  <si>
    <t>* These funds not required to have a legal operating budget.</t>
  </si>
  <si>
    <t>* Not a budget violation as fund not required</t>
  </si>
  <si>
    <t>to have a general operating budget.</t>
  </si>
  <si>
    <t>2009 GMC Sierra Pickup</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</si>
  <si>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</si>
  <si>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</si>
  <si>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</si>
  <si>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</si>
  <si>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</si>
  <si>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</si>
  <si>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</si>
  <si>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</si>
  <si>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</si>
  <si>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</si>
  <si>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</si>
  <si>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</si>
  <si>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</si>
  <si>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</si>
  <si>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</si>
  <si>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</si>
  <si>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</si>
  <si>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</si>
  <si>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</si>
  <si>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</si>
  <si>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</si>
  <si>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</si>
  <si>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</si>
  <si>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</si>
  <si>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</si>
  <si>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State Use Only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</si>
  <si>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</si>
  <si>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</si>
  <si>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</si>
  <si>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</si>
  <si>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</si>
  <si>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</si>
  <si>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</si>
  <si>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</si>
  <si>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</si>
  <si>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</si>
  <si>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</si>
  <si>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</si>
  <si>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</si>
  <si>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</si>
  <si>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</si>
  <si>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</si>
  <si>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</si>
  <si>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</si>
  <si>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</si>
  <si>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</si>
  <si>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</si>
  <si>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</si>
  <si>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</si>
  <si>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</si>
  <si>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Non-Appropriated Balance</t>
  </si>
  <si>
    <t>Tax Required</t>
  </si>
  <si>
    <t>%</t>
  </si>
  <si>
    <t>Page No.</t>
  </si>
  <si>
    <t xml:space="preserve">           Fund - Detail Expend</t>
  </si>
  <si>
    <t xml:space="preserve">  Salaries</t>
  </si>
  <si>
    <t>Page Total</t>
  </si>
  <si>
    <t xml:space="preserve">The governing body of </t>
  </si>
  <si>
    <t>and will be available at this hearing.</t>
  </si>
  <si>
    <t>Prior Year Actual</t>
  </si>
  <si>
    <t>Actual</t>
  </si>
  <si>
    <t xml:space="preserve">     FUND</t>
  </si>
  <si>
    <t xml:space="preserve"> Expenditures</t>
  </si>
  <si>
    <t>Tax Rate *</t>
  </si>
  <si>
    <t>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</si>
  <si>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</si>
  <si>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</si>
  <si>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</si>
  <si>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</si>
  <si>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</si>
  <si>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</si>
  <si>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</si>
  <si>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</si>
  <si>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</si>
  <si>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</si>
  <si>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</si>
  <si>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</si>
  <si>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</si>
  <si>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</si>
  <si>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</si>
  <si>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</si>
  <si>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</si>
  <si>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</si>
  <si>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</si>
  <si>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</si>
  <si>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</si>
  <si>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</si>
  <si>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</si>
  <si>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</si>
  <si>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</si>
  <si>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</si>
  <si>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</si>
  <si>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</si>
  <si>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</si>
  <si>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</si>
  <si>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</si>
  <si>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</si>
  <si>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</si>
  <si>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</si>
  <si>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</si>
  <si>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</si>
  <si>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</si>
  <si>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</si>
  <si>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We, the undersigned,  officers of</t>
  </si>
  <si>
    <t>Received_______________</t>
  </si>
  <si>
    <t>Reviewed by___________</t>
  </si>
  <si>
    <t>Follow-up:  Yes___No___</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</si>
  <si>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</si>
  <si>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</si>
  <si>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</si>
  <si>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</si>
  <si>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</si>
  <si>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</si>
  <si>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</si>
  <si>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OPTIONAL DETAIL PAGE FOR ANY FUND</t>
  </si>
  <si>
    <t>STATEMENT OF INDEBTEDNESS</t>
  </si>
  <si>
    <t>16/20M Veh</t>
  </si>
  <si>
    <t>MVT</t>
  </si>
  <si>
    <t>RVT</t>
  </si>
  <si>
    <t>County Treasurers 16/20M Vehicle Estimate</t>
  </si>
  <si>
    <t>16/20M Vehicle Factor</t>
  </si>
  <si>
    <t>hearing and answering objections of taxpayers relating  to the proposed use of all funds and the amount of ad valorem tax.</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</si>
  <si>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</si>
  <si>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</si>
  <si>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</si>
  <si>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</si>
  <si>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</si>
  <si>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</si>
  <si>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</si>
  <si>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</si>
  <si>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</si>
  <si>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</si>
  <si>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</si>
  <si>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</si>
  <si>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</si>
  <si>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</si>
  <si>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</si>
  <si>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</si>
  <si>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</si>
  <si>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</si>
  <si>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</si>
  <si>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</si>
  <si>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</si>
  <si>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</si>
  <si>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</si>
  <si>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</si>
  <si>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</si>
  <si>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</si>
  <si>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</si>
  <si>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</si>
  <si>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</si>
  <si>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</si>
  <si>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</si>
  <si>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</si>
  <si>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</si>
  <si>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</si>
  <si>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</si>
  <si>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</si>
  <si>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</si>
  <si>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</si>
  <si>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</si>
  <si>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</si>
  <si>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</si>
  <si>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</si>
  <si>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</si>
  <si>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</si>
  <si>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</si>
  <si>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</si>
  <si>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</si>
  <si>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</si>
  <si>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</si>
  <si>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</si>
  <si>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</si>
  <si>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</si>
  <si>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</si>
  <si>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</si>
  <si>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</si>
  <si>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</si>
  <si>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</si>
  <si>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</si>
  <si>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</si>
  <si>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</si>
  <si>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</si>
  <si>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</si>
  <si>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</si>
  <si>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</si>
  <si>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</si>
  <si>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</si>
  <si>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 xml:space="preserve">Fund </t>
  </si>
  <si>
    <t>Current</t>
  </si>
  <si>
    <t>Proposed</t>
  </si>
  <si>
    <t>The General fund has a detail page (general-detail) which can be used to disclose more insight of the expenditures by a department.  The expenditures categories can be changed or additional lines can be added if needed.  If used, ensure the amounts agree with the General fund page amounts.</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</si>
  <si>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</si>
  <si>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</si>
  <si>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</si>
  <si>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</si>
  <si>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</si>
  <si>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Territory Added: (Current Year Only)</t>
  </si>
  <si>
    <t>Neighborhood Revitalization</t>
  </si>
  <si>
    <t>Bond &amp; Interest</t>
  </si>
  <si>
    <t>16\20 M Vehicle Tax</t>
  </si>
  <si>
    <t>LAVTR</t>
  </si>
  <si>
    <t>City and County Revenue Sharing</t>
  </si>
  <si>
    <t>Slider</t>
  </si>
  <si>
    <t xml:space="preserve">   </t>
  </si>
  <si>
    <t>Rate used in this budget-this will be shown on all fund pages with a tax levy</t>
  </si>
  <si>
    <t>Enter year being budgeted (YYYY)</t>
  </si>
  <si>
    <t xml:space="preserve">  G.O. Bonds</t>
  </si>
  <si>
    <t xml:space="preserve">  Revenue Bonds</t>
  </si>
  <si>
    <t xml:space="preserve">  Other</t>
  </si>
  <si>
    <t xml:space="preserve">  Lease Purchase Principal</t>
  </si>
  <si>
    <t>Other (non-tax levy) fund names:</t>
  </si>
  <si>
    <t xml:space="preserve">City Official Title: </t>
  </si>
  <si>
    <t xml:space="preserve">Prior Year Actual </t>
  </si>
  <si>
    <t>Ad Valorem</t>
  </si>
  <si>
    <t>Tax</t>
  </si>
  <si>
    <t>Beginning Amount</t>
  </si>
  <si>
    <t xml:space="preserve">of </t>
  </si>
  <si>
    <t>Outstanding</t>
  </si>
  <si>
    <t>Retirement</t>
  </si>
  <si>
    <t xml:space="preserve">Total Other </t>
  </si>
  <si>
    <t>Transfers</t>
  </si>
  <si>
    <t xml:space="preserve">Transferred </t>
  </si>
  <si>
    <t>Transferred</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</si>
  <si>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</si>
  <si>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</si>
  <si>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</si>
  <si>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</si>
  <si>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</si>
  <si>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</si>
  <si>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</si>
  <si>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</si>
  <si>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</si>
  <si>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</si>
  <si>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</si>
  <si>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Tax Levy Amount</t>
  </si>
  <si>
    <t>Estimate</t>
  </si>
  <si>
    <t xml:space="preserve"> Delinquency Computation % Rate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</si>
  <si>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</si>
  <si>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</si>
  <si>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</si>
  <si>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</si>
  <si>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</si>
  <si>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</si>
  <si>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</si>
  <si>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</si>
  <si>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</si>
  <si>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</si>
  <si>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</si>
  <si>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</si>
  <si>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</si>
  <si>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</si>
  <si>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</si>
  <si>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</si>
  <si>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</si>
  <si>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</si>
  <si>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</si>
  <si>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</si>
  <si>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</si>
  <si>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</si>
  <si>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</si>
  <si>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</si>
  <si>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3a.  If someone other than a municipal employee assists in preparing the budget, please enter the person's or firm's name and address in the area provided. </t>
  </si>
  <si>
    <t>4a. Print the Ordinance page (ordinance) if the max levy is exceeded.  Complete the printed ordinance and have it published.  Ensure the published ordinance is attached to the budget.</t>
  </si>
  <si>
    <t>City 2 spreadsheets has General Fund page (general), Bond &amp; Interest page (bondint), 10 tax levy pages (levy page9 to levy page13), Special Highway page (Sp Hiway), 11 no levy fund pages (nolevypage15 to nolevypage19 with one under the Sp Hiway tab), 4 single no levy pages (SinNoLevy18-SinNolevy21), and 20 non-budgeted fund pages (NonBudA to NonBudB).</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</si>
  <si>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</si>
  <si>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</si>
  <si>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</si>
  <si>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</si>
  <si>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</si>
  <si>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</si>
  <si>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</si>
  <si>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</si>
  <si>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</si>
  <si>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November 1st Total Assessed Valuation</t>
  </si>
  <si>
    <t>4. The information for the Computation to Determine Limit Page (computation) comes from data on the Input Pages (inputpryr and inputOth) and Bond &amp; Interest Page (BondInt). If there is incorrect information on the Computation Page, please correct the source of the information from either the Input Pages or Bond &amp; Interest Page. If you can not correct the error, please call us for assistance.</t>
  </si>
  <si>
    <t>3b.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</si>
  <si>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6. The Schedule of Transfers (transfers) is completed from the individual completed fund pages. Be sure to provide the statute that authorizes the transfer. Before submitting the budget, suggest printing off the Schedule of Transfers page and tracing entries to each fund page.</t>
  </si>
  <si>
    <r>
      <t xml:space="preserve">7.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</si>
  <si>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</si>
  <si>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</si>
  <si>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</si>
  <si>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</si>
  <si>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</si>
  <si>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</si>
  <si>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 xml:space="preserve">8.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</si>
  <si>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9.  The spreadsheet has individual fund sheets for General Fund (general), Bond &amp; Interest (BondInt),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</si>
  <si>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Outstanding Indebtedness, January 1:</t>
  </si>
  <si>
    <t>If any of the numbers are wrong, change them on this input sheet.</t>
  </si>
  <si>
    <t>Enter the following information from the sources shown.  This information                                              will be entered on the budget forms in the appropriate locations.</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</si>
  <si>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</si>
  <si>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</si>
  <si>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</si>
  <si>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</si>
  <si>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</si>
  <si>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</si>
  <si>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</si>
  <si>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</si>
  <si>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Total Expenditures/Non-Appropriated Bal</t>
  </si>
  <si>
    <t>Funds</t>
  </si>
  <si>
    <t>Budget Authority</t>
  </si>
  <si>
    <t xml:space="preserve">expenditure amounts should reflect the amended </t>
  </si>
  <si>
    <t>expenditure amounts.</t>
  </si>
  <si>
    <r>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r>
    <r>
      <rPr>
        <b/>
        <sz val="12"/>
        <rFont val="Times New Roman"/>
        <family val="1"/>
      </rPr>
      <t>Do not use the copy and move functions on this page.  Do not add or delete lines on this page.</t>
    </r>
  </si>
  <si>
    <r>
      <t xml:space="preserve">Note: Adjustments are only required if the transfer expenditure </t>
    </r>
    <r>
      <rPr>
        <u/>
        <sz val="12"/>
        <rFont val="Times New Roman"/>
        <family val="1"/>
      </rPr>
      <t>is not shown</t>
    </r>
    <r>
      <rPr>
        <sz val="12"/>
        <rFont val="Times New Roman"/>
        <family val="1"/>
      </rPr>
      <t xml:space="preserve"> in the Budget Summary total.</t>
    </r>
  </si>
  <si>
    <t>Net Valuation Factor:</t>
  </si>
  <si>
    <t>Neighborhood Revitalization Subj to Rebate</t>
  </si>
  <si>
    <t>Neighborhood Revitalization factor</t>
  </si>
  <si>
    <t>Neighborhood Revitalization Rebate</t>
  </si>
  <si>
    <t>Miscellaneous</t>
  </si>
  <si>
    <t>Does miscellaneous exceed 10% of Total Expenditures</t>
  </si>
  <si>
    <t>Does miscellaneous exceed 10% of Total Receipts</t>
  </si>
  <si>
    <r>
      <t xml:space="preserve">9a.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</si>
  <si>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9b.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</si>
  <si>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 xml:space="preserve">9c. The Bond &amp; Interest fund page (BondInt) can contain all debts owe by the city and the amounts should agree with the Statement of Indebtedness amounts.  Debts that </t>
    </r>
    <r>
      <rPr>
        <b/>
        <u/>
        <sz val="12"/>
        <rFont val="Times New Roman"/>
        <family val="1"/>
      </rPr>
      <t>are not from</t>
    </r>
    <r>
      <rPr>
        <sz val="12"/>
        <rFont val="Times New Roman"/>
        <family val="1"/>
      </rPr>
      <t xml:space="preserve"> a tax levy fund should have enough funds transferred into the Bond &amp; Interest fund to cover the bond principle and interest for these debts.</t>
    </r>
  </si>
  <si>
    <t xml:space="preserve">9d. The 4 single on levy pages (SinNoLevy18 to SinNoLevy21) are for a fund that has numerous lines for receipts or expenditures that does not fit on one of the other no levy pages.  Additional lines may be added as needed. </t>
  </si>
  <si>
    <t>9f. The non-budgeted pages in the last column, the last two boxes should have the same figures as the last box take totals from the right side with the next to last box takes totals from the bottom.</t>
  </si>
  <si>
    <r>
      <t xml:space="preserve">9g.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 figure.</t>
    </r>
  </si>
  <si>
    <r>
      <t xml:space="preserve">10.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</si>
  <si>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</si>
  <si>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</si>
  <si>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</si>
  <si>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</si>
  <si>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t xml:space="preserve">The County Clerk may still require hard copies of the budget forms, even if they allow for electronic submission.  At a minimum for electronic submission, the County Clerk will need two (2) hard copy forms of the following documents: the Certificate Page (signed by the governing body), the newspaper publication of the 'Notice of Budget Hearing', the affidavit of publication (if the publication does not contain a publication date), and the newspaper publication of the ordinance to exceed the computed levy limit (if needed). </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</si>
  <si>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Do not use the copy and move functions on this page.   Do not add or delete lines on this page</t>
    </r>
    <r>
      <rPr>
        <sz val="12"/>
        <rFont val="Times New Roman"/>
        <family val="1"/>
      </rPr>
      <t>.</t>
    </r>
  </si>
  <si>
    <t>9e. The4 non-budgeted pages (NonBudA to NonBudD) are designed for each page to hold 5 non-budgeted funds.  These non-budgeted funds are only required to show the actual year receipts and expenditures. The expenditures total will only be shown on the Budget Summary page and the Certificate will show non-budgeted fund.</t>
  </si>
  <si>
    <r>
      <t>9h.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sz val="12"/>
        <rFont val="Times New Roman"/>
        <family val="1"/>
      </rPr>
      <t>should always</t>
    </r>
    <r>
      <rPr>
        <sz val="12"/>
        <rFont val="Times New Roman"/>
        <family val="1"/>
      </rPr>
      <t xml:space="preserve"> reflect the events that had taking place even if a violation occurs. </t>
    </r>
  </si>
  <si>
    <r>
      <t xml:space="preserve">Budgets are required to be sent to the County Clerk </t>
    </r>
    <r>
      <rPr>
        <b/>
        <sz val="12"/>
        <rFont val="Times New Roman"/>
        <family val="1"/>
      </rPr>
      <t>by August 25</t>
    </r>
    <r>
      <rPr>
        <sz val="12"/>
        <rFont val="Times New Roman"/>
        <family val="1"/>
      </rPr>
      <t xml:space="preserve"> of each year. </t>
    </r>
  </si>
  <si>
    <r>
      <t xml:space="preserve">Paper submission of the budget, you will need to send two (2) copies of the completed budgets to your County Clerk Office. The County Clerk may also accept budgets in an electronic format, please contact your County Clerk directly for specific instructions and requirements.  Municipal Services will accept electric budgets on 3.5 computer disk, CD, or as an attachment to an email.  If submitting by email, please mail to the following address: </t>
    </r>
    <r>
      <rPr>
        <u/>
        <sz val="12"/>
        <rFont val="Times New Roman"/>
        <family val="1"/>
      </rPr>
      <t>armunis@da.ks.gov</t>
    </r>
    <r>
      <rPr>
        <sz val="12"/>
        <rFont val="Times New Roman"/>
        <family val="1"/>
      </rPr>
      <t xml:space="preserve">  </t>
    </r>
  </si>
  <si>
    <t>5.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</si>
  <si>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r>
      <t xml:space="preserve">6a. Transfers total are at the bottom of the schedule which are linked to the Budget Summary page. Adjustments are needed to reduce the expenditures when the expenditure transfer </t>
    </r>
    <r>
      <rPr>
        <b/>
        <sz val="12"/>
        <rFont val="Times New Roman"/>
        <family val="1"/>
      </rPr>
      <t>does</t>
    </r>
    <r>
      <rPr>
        <sz val="12"/>
        <rFont val="Times New Roman"/>
        <family val="1"/>
      </rPr>
      <t xml:space="preserve"> not appear in the total for the Budget Summary.</t>
    </r>
  </si>
  <si>
    <t>Enter City Name (City of)</t>
  </si>
  <si>
    <t>Enter County Name followed by "County"</t>
  </si>
  <si>
    <r>
      <t xml:space="preserve">11a.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</si>
  <si>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11b. The second green shaded area, you will to provide the location where the budget information will be available for review.</t>
  </si>
  <si>
    <t>11c. The third green shaded area, provide the title of person that will be signing the form.</t>
  </si>
  <si>
    <t>11d. The fourth green shaded area, enter the page number.</t>
  </si>
  <si>
    <t xml:space="preserve">11e. Before printing, review the form to ensure all the information is provided and the figures are correct. Print the page, have official sign it, and take to the local newspaper for printing. </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</si>
  <si>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</si>
  <si>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12.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</si>
  <si>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</si>
  <si>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</si>
  <si>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</si>
  <si>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</si>
  <si>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</si>
  <si>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</si>
  <si>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</si>
  <si>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</si>
  <si>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</si>
  <si>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</si>
  <si>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</si>
  <si>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</si>
  <si>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</si>
  <si>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9a.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</si>
  <si>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</si>
  <si>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</si>
  <si>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</si>
  <si>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</si>
  <si>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</si>
  <si>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</si>
  <si>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</si>
  <si>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</si>
  <si>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CITY OF BLUE RAPIDS</t>
  </si>
  <si>
    <t>MARSHALL COUNTY</t>
  </si>
  <si>
    <t>Library</t>
  </si>
  <si>
    <t>C.O.#1861</t>
  </si>
  <si>
    <t>Ord.#1916</t>
  </si>
  <si>
    <t>Water/Sewer/Refuse</t>
  </si>
  <si>
    <t>Capital Improvement</t>
  </si>
  <si>
    <t>12-825d</t>
  </si>
  <si>
    <t>Franchise Tax</t>
  </si>
  <si>
    <t>Ambulance Appropriation-MSCO</t>
  </si>
  <si>
    <t>Occupation Tax</t>
  </si>
  <si>
    <t>Cereal Malt Beverage Licenses</t>
  </si>
  <si>
    <t>Animal Licenses</t>
  </si>
  <si>
    <t>Miscellaneous Income</t>
  </si>
  <si>
    <t>Municipal Court Fines</t>
  </si>
  <si>
    <t>Cemetery Open/Close &amp; Lots Sold</t>
  </si>
  <si>
    <t>Community Center Rental Income</t>
  </si>
  <si>
    <t>Reimbursements</t>
  </si>
  <si>
    <t>Dump Fees</t>
  </si>
  <si>
    <t>Retail Sales Tax Collected</t>
  </si>
  <si>
    <t>Zoning Permit Fees</t>
  </si>
  <si>
    <t>Special Assessments</t>
  </si>
  <si>
    <t>Transfer from Water/Sewer/Refuse Fund</t>
  </si>
  <si>
    <t>128 East Commercial St.</t>
  </si>
  <si>
    <t>Waterville, KS  66548</t>
  </si>
  <si>
    <t>Special Purpose Vehicle Registration</t>
  </si>
  <si>
    <t>County Transfers for Gas Tax</t>
  </si>
  <si>
    <t>NONE</t>
  </si>
  <si>
    <t>3/1, 9/1</t>
  </si>
  <si>
    <t xml:space="preserve">  KDHE Loan Payments (Principal &amp; Interest)</t>
  </si>
  <si>
    <t>Water Storage Grant Fund</t>
  </si>
  <si>
    <t>Grant Funds</t>
  </si>
  <si>
    <t>KDHE Loan</t>
  </si>
  <si>
    <t>Residual</t>
  </si>
  <si>
    <t>Utility System Reserve</t>
  </si>
  <si>
    <t>Utility Reserve</t>
  </si>
  <si>
    <t>FEMA Grant</t>
  </si>
  <si>
    <t>Storm Sewer Capital Project Fund</t>
  </si>
  <si>
    <t>USED PRIOR YEAR + 1% FOR ESTIMATED AMOUNTS</t>
  </si>
  <si>
    <t>Storm Sewer Series 2011</t>
  </si>
  <si>
    <t>KDHE Water Tank Loan</t>
  </si>
  <si>
    <t>2/1, 8/1</t>
  </si>
  <si>
    <t>General Obligation Bond Proceeds</t>
  </si>
  <si>
    <t>Transfer to Bond &amp; Interest Fund - Residual Equity</t>
  </si>
  <si>
    <t>Transfer from Storm Sewer Capital Project Fund</t>
  </si>
  <si>
    <t>NO BUDGET REQ'D, BUT PUT IN IF THEY WANT TO.</t>
  </si>
  <si>
    <t>Cash Basis Reserve</t>
  </si>
  <si>
    <t>xxxxxxxxxxxxxxxxxxx</t>
  </si>
  <si>
    <t>Storm Sewer Cap. Proj.</t>
  </si>
  <si>
    <t xml:space="preserve">   Fees deposited into Utility Reserve Fund</t>
  </si>
  <si>
    <t xml:space="preserve">  Transfer to Utility Reserve Fund</t>
  </si>
  <si>
    <t>NOTE:  IF AUDIT IS COMPLETE AND WE HAVE USED</t>
  </si>
  <si>
    <t>"ADJUSTMENTS FOR QUALIFYING BUDGET CREDITS" FOR</t>
  </si>
  <si>
    <t xml:space="preserve">REIMBURSEMENTS, GRANTS, DONATIONS, ETC. THEN USE </t>
  </si>
  <si>
    <t>THE MODIFIED BUDGET LIMITS FROM THE AUDIT REPORT.</t>
  </si>
  <si>
    <t>IF NOT DONE, JUST USE THE AMOUNTS FROM THE BUDGET</t>
  </si>
  <si>
    <t>SUMMARY PAGE.</t>
  </si>
  <si>
    <t>Donations</t>
  </si>
  <si>
    <t>Transfer from Water Tank Grant Fund - Residual Equity</t>
  </si>
  <si>
    <t xml:space="preserve">    Transfer to Housing Grant Fund</t>
  </si>
  <si>
    <t>Administrative Activities - Contractual Services</t>
  </si>
  <si>
    <t>Transfer to General Fund</t>
  </si>
  <si>
    <t>Pool Improvement Fund</t>
  </si>
  <si>
    <t>Sink, Gordon &amp; Associates LLP</t>
  </si>
  <si>
    <t>done 2013</t>
  </si>
  <si>
    <t>NEED TO VERIFY</t>
  </si>
  <si>
    <t>VERIFIED 2013</t>
  </si>
  <si>
    <t>ALL FUNDS VERIFIED 2013</t>
  </si>
  <si>
    <t>THEY RECEIVED A NEW HOUSING GRANT IN 2010, NEED TO SEE WHAT</t>
  </si>
  <si>
    <t>IF ANY INCOME/EXPENSE PROJECTIONS THEY WOULD LIKE TO INCLUDE</t>
  </si>
  <si>
    <t>FOR 2012/2013.  ONLY ITEM IN 2011 WAS TRANSFER TO OPEN ACCOUNT.</t>
  </si>
  <si>
    <t>PER SUSAN 6/20/12 - NO ESTIMATION REQUESTED FOR INCOME/EXPENSE</t>
  </si>
  <si>
    <t>SINCE FUND NOT REQUIRED TO BE BUDGETED.</t>
  </si>
  <si>
    <t>will meet on the 8th day of August, 2012, at 7:00 p.m. at the Community Center for the purpose of</t>
  </si>
  <si>
    <t>Transfer from Water Tank Grant Fund</t>
  </si>
  <si>
    <t>Water Tank Grant Fund</t>
  </si>
  <si>
    <t>Temporary Note Payment (Prin./Int./Fees)</t>
  </si>
  <si>
    <t>Capital Improvments</t>
  </si>
  <si>
    <t>Storm Sewer Capital Project 2012 Fund</t>
  </si>
  <si>
    <t>Transfer to Utility System Reserve Fund</t>
  </si>
  <si>
    <t>NOT DONE 2012 - NOT REQ'D TO BE BUDGETED</t>
  </si>
  <si>
    <t>THIS FUND NOT USED IN 2013 BUDGET, $1 TRANSFER FROM PETTY CASH IN 2011</t>
  </si>
  <si>
    <t>WILL MAKE ADJUSTMENT THROUGH GENERAL FUND IN 2012 TO START $1 IN FUND</t>
  </si>
  <si>
    <t>VERIFIED ON DRAFT 7/9/12</t>
  </si>
  <si>
    <t>J. I. Case Loader</t>
  </si>
  <si>
    <t>CDBG Grant Proceeds</t>
  </si>
  <si>
    <t>Transfer to Water/Sewer/Refuse Fund</t>
  </si>
  <si>
    <t>Transfer from Utility System Reserve</t>
  </si>
  <si>
    <t xml:space="preserve">   Transfer Storm Sewer Capital Project 2012 Fund</t>
  </si>
  <si>
    <t>Transfer from Water/Sewer/Refuse</t>
  </si>
  <si>
    <t>Interest Payment (Series 2011 Bonds)</t>
  </si>
  <si>
    <t>Fees for Bond Payment (Series 2011 Bonds)</t>
  </si>
  <si>
    <t>Interest Payment (Series 2012 Bonds)</t>
  </si>
  <si>
    <t>Fees for Bond Payment (Series 2012 Bonds)</t>
  </si>
  <si>
    <t xml:space="preserve">Utility Reserve </t>
  </si>
  <si>
    <t>Storm Sewer Cap Proj 2012</t>
  </si>
  <si>
    <t>Storm Sewer Series 2012</t>
  </si>
  <si>
    <t>4/1, 10/1</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</si>
  <si>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</si>
  <si>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</si>
  <si>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</si>
  <si>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</si>
  <si>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</si>
  <si>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</si>
  <si>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</si>
  <si>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</si>
  <si>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</si>
  <si>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</si>
  <si>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</si>
  <si>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</si>
  <si>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</si>
  <si>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</si>
  <si>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</si>
  <si>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</si>
  <si>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</si>
  <si>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</si>
  <si>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</si>
  <si>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</si>
  <si>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</si>
  <si>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</si>
  <si>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</si>
  <si>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</si>
  <si>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</si>
  <si>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</si>
  <si>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</si>
  <si>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</si>
  <si>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</si>
  <si>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</si>
  <si>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</si>
  <si>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</si>
  <si>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</si>
  <si>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</si>
  <si>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</si>
  <si>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</si>
  <si>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</si>
  <si>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</si>
  <si>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What should I do?</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</si>
  <si>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</si>
  <si>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</si>
  <si>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</si>
  <si>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</si>
  <si>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</si>
  <si>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</si>
  <si>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</si>
  <si>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</si>
  <si>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</si>
  <si>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</si>
  <si>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</si>
  <si>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</si>
  <si>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</si>
  <si>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</si>
  <si>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peter.haxton@library.ks.gov </t>
  </si>
  <si>
    <t>Page No. 8</t>
  </si>
  <si>
    <t>Page No. 8a</t>
  </si>
  <si>
    <t>Page No.8b</t>
  </si>
  <si>
    <t>Library State Grant-In-Aid</t>
  </si>
  <si>
    <t>12-631p</t>
  </si>
  <si>
    <t>Bond Principal Payment (Series 2011 Bonds)</t>
  </si>
  <si>
    <t>Bond Principal Payment (Series 2012 Bonds)</t>
  </si>
  <si>
    <t>Project Expenditures</t>
  </si>
</sst>
</file>

<file path=xl/styles.xml><?xml version="1.0" encoding="utf-8"?>
<styleSheet xmlns="http://schemas.openxmlformats.org/spreadsheetml/2006/main">
  <numFmts count="15">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0.000"/>
    <numFmt numFmtId="175" formatCode="&quot;$&quot;#,##0"/>
    <numFmt numFmtId="176" formatCode="#,##0.000_);[Red]\(#,##0.000\)"/>
  </numFmts>
  <fonts count="24">
    <font>
      <sz val="12"/>
      <name val="Courier"/>
    </font>
    <font>
      <sz val="11"/>
      <color theme="1"/>
      <name val="Calibri"/>
      <family val="2"/>
      <scheme val="mino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0"/>
      <name val="Times New Roman"/>
      <family val="1"/>
    </font>
    <font>
      <sz val="11"/>
      <name val="Times New Roman"/>
      <family val="1"/>
    </font>
    <font>
      <sz val="9"/>
      <name val="Times New Roman"/>
      <family val="1"/>
    </font>
    <font>
      <sz val="8"/>
      <name val="Courier"/>
      <family val="3"/>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sz val="12"/>
      <color indexed="10"/>
      <name val="Courier"/>
      <family val="3"/>
    </font>
    <font>
      <i/>
      <sz val="12"/>
      <name val="Times New Roman"/>
      <family val="1"/>
    </font>
    <font>
      <sz val="12"/>
      <color rgb="FFFF0000"/>
      <name val="Times New Roman"/>
      <family val="1"/>
    </font>
    <font>
      <sz val="12"/>
      <color rgb="FFFF0000"/>
      <name val="Courier"/>
      <family val="3"/>
    </font>
    <font>
      <b/>
      <u/>
      <sz val="12"/>
      <color rgb="FFFF0000"/>
      <name val="Times New Roman"/>
      <family val="1"/>
    </font>
    <font>
      <u/>
      <sz val="12"/>
      <color indexed="12"/>
      <name val="Courier"/>
      <family val="3"/>
    </font>
    <font>
      <sz val="12"/>
      <name val="Courier New"/>
      <family val="3"/>
    </font>
  </fonts>
  <fills count="19">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66FF33"/>
        <bgColor indexed="64"/>
      </patternFill>
    </fill>
    <fill>
      <patternFill patternType="solid">
        <fgColor rgb="FF00CC00"/>
        <bgColor indexed="64"/>
      </patternFill>
    </fill>
    <fill>
      <patternFill patternType="solid">
        <fgColor theme="0" tint="-0.499984740745262"/>
        <bgColor indexed="64"/>
      </patternFill>
    </fill>
    <fill>
      <patternFill patternType="solid">
        <fgColor rgb="FFFFFFC0"/>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bottom/>
      <diagonal/>
    </border>
  </borders>
  <cellStyleXfs count="302">
    <xf numFmtId="0" fontId="0"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2"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xf numFmtId="0" fontId="23" fillId="0" borderId="0"/>
    <xf numFmtId="0" fontId="23" fillId="0" borderId="0"/>
    <xf numFmtId="0" fontId="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23" fillId="0" borderId="0"/>
    <xf numFmtId="0" fontId="23" fillId="0" borderId="0"/>
    <xf numFmtId="0" fontId="3" fillId="0" borderId="0"/>
    <xf numFmtId="0" fontId="3" fillId="0" borderId="0"/>
    <xf numFmtId="0" fontId="3" fillId="0" borderId="0"/>
    <xf numFmtId="0" fontId="23" fillId="0" borderId="0"/>
    <xf numFmtId="0" fontId="3" fillId="0" borderId="0"/>
    <xf numFmtId="0" fontId="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23" fillId="0" borderId="0"/>
    <xf numFmtId="0" fontId="23" fillId="0" borderId="0"/>
    <xf numFmtId="0" fontId="3"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cellStyleXfs>
  <cellXfs count="477">
    <xf numFmtId="0" fontId="0" fillId="0" borderId="0" xfId="0"/>
    <xf numFmtId="0" fontId="4" fillId="0" borderId="0" xfId="0" applyFont="1" applyAlignment="1">
      <alignment horizontal="center"/>
    </xf>
    <xf numFmtId="0" fontId="5" fillId="0" borderId="0" xfId="0" applyFont="1"/>
    <xf numFmtId="0" fontId="5" fillId="0" borderId="0" xfId="0" applyFont="1" applyAlignment="1" applyProtection="1">
      <alignment horizontal="left" wrapText="1"/>
    </xf>
    <xf numFmtId="0" fontId="5" fillId="0" borderId="0" xfId="0" applyFont="1" applyAlignment="1">
      <alignment horizontal="left"/>
    </xf>
    <xf numFmtId="0" fontId="5" fillId="0" borderId="0" xfId="0" applyFont="1" applyAlignment="1">
      <alignment wrapText="1"/>
    </xf>
    <xf numFmtId="0" fontId="5" fillId="0" borderId="0" xfId="0" applyFont="1" applyAlignment="1" applyProtection="1">
      <alignment wrapText="1"/>
    </xf>
    <xf numFmtId="0" fontId="5" fillId="0" borderId="0" xfId="0" applyFont="1" applyProtection="1">
      <protection locked="0"/>
    </xf>
    <xf numFmtId="0" fontId="5" fillId="2" borderId="1" xfId="0" applyFont="1" applyFill="1" applyBorder="1" applyProtection="1">
      <protection locked="0"/>
    </xf>
    <xf numFmtId="3" fontId="5" fillId="2" borderId="1" xfId="0" applyNumberFormat="1" applyFont="1" applyFill="1" applyBorder="1" applyProtection="1">
      <protection locked="0"/>
    </xf>
    <xf numFmtId="164" fontId="5" fillId="2" borderId="1" xfId="0" applyNumberFormat="1" applyFont="1" applyFill="1" applyBorder="1" applyProtection="1">
      <protection locked="0"/>
    </xf>
    <xf numFmtId="37" fontId="5" fillId="0" borderId="0" xfId="0" applyNumberFormat="1" applyFont="1" applyProtection="1">
      <protection locked="0"/>
    </xf>
    <xf numFmtId="0" fontId="5" fillId="3" borderId="2" xfId="0" applyFont="1" applyFill="1" applyBorder="1" applyProtection="1">
      <protection locked="0"/>
    </xf>
    <xf numFmtId="0" fontId="5" fillId="0" borderId="0" xfId="0" applyFont="1" applyAlignment="1">
      <alignment horizontal="centerContinuous"/>
    </xf>
    <xf numFmtId="37" fontId="5" fillId="2" borderId="1" xfId="0" applyNumberFormat="1" applyFont="1" applyFill="1" applyBorder="1" applyProtection="1">
      <protection locked="0"/>
    </xf>
    <xf numFmtId="0" fontId="5" fillId="2" borderId="1" xfId="0" applyFont="1" applyFill="1" applyBorder="1" applyAlignment="1" applyProtection="1">
      <alignment horizontal="left"/>
      <protection locked="0"/>
    </xf>
    <xf numFmtId="0" fontId="5" fillId="3" borderId="0" xfId="0" applyFont="1" applyFill="1" applyProtection="1">
      <protection locked="0"/>
    </xf>
    <xf numFmtId="3" fontId="5" fillId="3" borderId="1" xfId="0" applyNumberFormat="1" applyFont="1" applyFill="1" applyBorder="1" applyProtection="1">
      <protection locked="0"/>
    </xf>
    <xf numFmtId="37" fontId="5" fillId="3" borderId="1" xfId="0" applyNumberFormat="1" applyFont="1" applyFill="1" applyBorder="1" applyProtection="1">
      <protection locked="0"/>
    </xf>
    <xf numFmtId="0" fontId="7" fillId="0" borderId="0" xfId="0" applyFont="1"/>
    <xf numFmtId="0" fontId="5" fillId="4" borderId="2" xfId="0" applyFont="1" applyFill="1" applyBorder="1" applyProtection="1"/>
    <xf numFmtId="0" fontId="5" fillId="4" borderId="0" xfId="0" applyFont="1" applyFill="1" applyProtection="1"/>
    <xf numFmtId="37" fontId="4" fillId="4" borderId="0" xfId="0" applyNumberFormat="1" applyFont="1" applyFill="1" applyAlignment="1" applyProtection="1">
      <alignment horizontal="left"/>
    </xf>
    <xf numFmtId="0" fontId="5" fillId="4" borderId="0" xfId="0" applyFont="1" applyFill="1" applyAlignment="1" applyProtection="1">
      <alignment horizontal="right"/>
    </xf>
    <xf numFmtId="37" fontId="5" fillId="4" borderId="0" xfId="0" applyNumberFormat="1" applyFont="1" applyFill="1" applyAlignment="1" applyProtection="1">
      <alignment horizontal="right"/>
    </xf>
    <xf numFmtId="37" fontId="5" fillId="4" borderId="0" xfId="0" applyNumberFormat="1" applyFont="1" applyFill="1" applyAlignment="1" applyProtection="1">
      <alignment horizontal="left"/>
    </xf>
    <xf numFmtId="37" fontId="5" fillId="4" borderId="0" xfId="0" applyNumberFormat="1" applyFont="1" applyFill="1" applyAlignment="1" applyProtection="1">
      <alignment horizontal="centerContinuous"/>
    </xf>
    <xf numFmtId="0" fontId="5" fillId="4" borderId="0" xfId="0" applyFont="1" applyFill="1" applyAlignment="1" applyProtection="1">
      <alignment horizontal="centerContinuous"/>
    </xf>
    <xf numFmtId="37" fontId="5" fillId="4" borderId="3" xfId="0" applyNumberFormat="1" applyFont="1" applyFill="1" applyBorder="1" applyAlignment="1" applyProtection="1">
      <alignment horizontal="centerContinuous"/>
    </xf>
    <xf numFmtId="0" fontId="5" fillId="4" borderId="4" xfId="0" applyFont="1" applyFill="1" applyBorder="1" applyAlignment="1" applyProtection="1">
      <alignment horizontal="centerContinuous"/>
    </xf>
    <xf numFmtId="0" fontId="5" fillId="4" borderId="5" xfId="0" applyFont="1" applyFill="1" applyBorder="1" applyAlignment="1" applyProtection="1">
      <alignment horizontal="centerContinuous"/>
    </xf>
    <xf numFmtId="37" fontId="5" fillId="4" borderId="2" xfId="0" applyNumberFormat="1" applyFont="1" applyFill="1" applyBorder="1" applyAlignment="1" applyProtection="1">
      <alignment horizontal="fill"/>
    </xf>
    <xf numFmtId="37" fontId="5" fillId="4" borderId="6" xfId="0" applyNumberFormat="1" applyFont="1" applyFill="1" applyBorder="1" applyAlignment="1" applyProtection="1">
      <alignment horizontal="left"/>
    </xf>
    <xf numFmtId="37" fontId="5" fillId="4" borderId="6" xfId="0" applyNumberFormat="1" applyFont="1" applyFill="1" applyBorder="1" applyAlignment="1" applyProtection="1">
      <alignment horizontal="center"/>
    </xf>
    <xf numFmtId="37" fontId="5" fillId="4" borderId="7" xfId="0" applyNumberFormat="1" applyFont="1" applyFill="1" applyBorder="1" applyAlignment="1" applyProtection="1">
      <alignment horizontal="center"/>
    </xf>
    <xf numFmtId="37" fontId="4" fillId="4" borderId="2" xfId="0" applyNumberFormat="1" applyFont="1" applyFill="1" applyBorder="1" applyAlignment="1" applyProtection="1">
      <alignment horizontal="left"/>
    </xf>
    <xf numFmtId="37" fontId="5" fillId="4" borderId="8" xfId="0" applyNumberFormat="1" applyFont="1" applyFill="1" applyBorder="1" applyAlignment="1" applyProtection="1">
      <alignment horizontal="center"/>
    </xf>
    <xf numFmtId="37" fontId="5" fillId="4" borderId="3" xfId="0" applyNumberFormat="1" applyFont="1" applyFill="1" applyBorder="1" applyAlignment="1" applyProtection="1">
      <alignment horizontal="left"/>
    </xf>
    <xf numFmtId="0" fontId="5" fillId="4" borderId="5" xfId="0" applyFont="1" applyFill="1" applyBorder="1" applyProtection="1"/>
    <xf numFmtId="0" fontId="5" fillId="4" borderId="6" xfId="0" applyFont="1" applyFill="1" applyBorder="1" applyProtection="1"/>
    <xf numFmtId="37" fontId="5" fillId="4" borderId="1" xfId="0" applyNumberFormat="1" applyFont="1" applyFill="1" applyBorder="1" applyProtection="1"/>
    <xf numFmtId="0" fontId="5" fillId="4" borderId="7" xfId="0" applyFont="1" applyFill="1" applyBorder="1" applyProtection="1"/>
    <xf numFmtId="0" fontId="5" fillId="4" borderId="1" xfId="0" applyFont="1" applyFill="1" applyBorder="1" applyProtection="1"/>
    <xf numFmtId="0" fontId="5" fillId="4" borderId="8" xfId="0" applyFont="1" applyFill="1" applyBorder="1" applyProtection="1"/>
    <xf numFmtId="37" fontId="5" fillId="4" borderId="1" xfId="0" applyNumberFormat="1" applyFont="1" applyFill="1" applyBorder="1" applyAlignment="1" applyProtection="1">
      <alignment horizontal="left"/>
    </xf>
    <xf numFmtId="37" fontId="5" fillId="4" borderId="1" xfId="0" applyNumberFormat="1" applyFont="1" applyFill="1" applyBorder="1" applyAlignment="1" applyProtection="1">
      <alignment horizontal="fill"/>
    </xf>
    <xf numFmtId="0" fontId="5" fillId="4" borderId="9" xfId="0" applyFont="1" applyFill="1" applyBorder="1" applyProtection="1"/>
    <xf numFmtId="37" fontId="5" fillId="4" borderId="7" xfId="0" applyNumberFormat="1" applyFont="1" applyFill="1" applyBorder="1" applyAlignment="1" applyProtection="1">
      <alignment horizontal="left"/>
    </xf>
    <xf numFmtId="37" fontId="5" fillId="4" borderId="8" xfId="0" applyNumberFormat="1" applyFont="1" applyFill="1" applyBorder="1" applyAlignment="1" applyProtection="1">
      <alignment horizontal="left"/>
    </xf>
    <xf numFmtId="37" fontId="5" fillId="4" borderId="0" xfId="0" applyNumberFormat="1" applyFont="1" applyFill="1" applyAlignment="1" applyProtection="1">
      <alignment horizontal="center"/>
    </xf>
    <xf numFmtId="0" fontId="5" fillId="4" borderId="0" xfId="0" applyFont="1" applyFill="1"/>
    <xf numFmtId="37" fontId="5" fillId="4" borderId="0" xfId="0" applyNumberFormat="1" applyFont="1" applyFill="1"/>
    <xf numFmtId="0" fontId="4" fillId="4" borderId="0" xfId="0" applyFont="1" applyFill="1" applyAlignment="1">
      <alignment horizontal="center"/>
    </xf>
    <xf numFmtId="0" fontId="4" fillId="4" borderId="0" xfId="0" applyFont="1" applyFill="1" applyAlignment="1">
      <alignment horizontal="center" wrapText="1"/>
    </xf>
    <xf numFmtId="0" fontId="5" fillId="4" borderId="0" xfId="0" quotePrefix="1" applyFont="1" applyFill="1" applyAlignment="1">
      <alignment horizontal="right"/>
    </xf>
    <xf numFmtId="3" fontId="5" fillId="4" borderId="0" xfId="0" applyNumberFormat="1" applyFont="1" applyFill="1"/>
    <xf numFmtId="3" fontId="5" fillId="4" borderId="0" xfId="0" quotePrefix="1" applyNumberFormat="1" applyFont="1" applyFill="1"/>
    <xf numFmtId="3" fontId="5" fillId="4" borderId="2" xfId="0" applyNumberFormat="1" applyFont="1" applyFill="1" applyBorder="1"/>
    <xf numFmtId="0" fontId="4" fillId="4" borderId="0" xfId="0" applyFont="1" applyFill="1"/>
    <xf numFmtId="3" fontId="5" fillId="4" borderId="4" xfId="0" applyNumberFormat="1" applyFont="1" applyFill="1" applyBorder="1"/>
    <xf numFmtId="3" fontId="5" fillId="4" borderId="2" xfId="0" applyNumberFormat="1" applyFont="1" applyFill="1" applyBorder="1" applyProtection="1"/>
    <xf numFmtId="3" fontId="5" fillId="4" borderId="0" xfId="0" applyNumberFormat="1" applyFont="1" applyFill="1" applyBorder="1"/>
    <xf numFmtId="0" fontId="5" fillId="4" borderId="0" xfId="0" quotePrefix="1" applyFont="1" applyFill="1"/>
    <xf numFmtId="0" fontId="5" fillId="4" borderId="0" xfId="0" applyFont="1" applyFill="1" applyAlignment="1">
      <alignment horizontal="right"/>
    </xf>
    <xf numFmtId="3" fontId="5" fillId="4" borderId="4" xfId="0" applyNumberFormat="1" applyFont="1" applyFill="1" applyBorder="1" applyProtection="1"/>
    <xf numFmtId="3" fontId="5" fillId="4" borderId="0" xfId="0" applyNumberFormat="1" applyFont="1" applyFill="1" applyProtection="1"/>
    <xf numFmtId="3" fontId="5" fillId="4" borderId="10" xfId="0" applyNumberFormat="1" applyFont="1" applyFill="1" applyBorder="1"/>
    <xf numFmtId="0" fontId="5" fillId="4" borderId="10" xfId="0" applyFont="1" applyFill="1" applyBorder="1"/>
    <xf numFmtId="0" fontId="5" fillId="4" borderId="0" xfId="0" applyFont="1" applyFill="1" applyBorder="1"/>
    <xf numFmtId="167" fontId="5" fillId="4" borderId="2" xfId="0" applyNumberFormat="1" applyFont="1" applyFill="1" applyBorder="1"/>
    <xf numFmtId="0" fontId="5" fillId="4" borderId="0" xfId="0" quotePrefix="1" applyFont="1" applyFill="1" applyBorder="1"/>
    <xf numFmtId="3" fontId="5" fillId="4" borderId="11" xfId="0" applyNumberFormat="1" applyFont="1" applyFill="1" applyBorder="1"/>
    <xf numFmtId="37" fontId="5" fillId="4" borderId="0" xfId="0" applyNumberFormat="1" applyFont="1" applyFill="1" applyProtection="1"/>
    <xf numFmtId="37" fontId="5" fillId="4" borderId="12" xfId="0" applyNumberFormat="1" applyFont="1" applyFill="1" applyBorder="1" applyProtection="1"/>
    <xf numFmtId="37" fontId="5" fillId="4" borderId="2" xfId="0" applyNumberFormat="1" applyFont="1" applyFill="1" applyBorder="1" applyProtection="1"/>
    <xf numFmtId="0" fontId="4" fillId="4" borderId="0" xfId="3" applyFont="1" applyFill="1" applyAlignment="1" applyProtection="1">
      <alignment horizontal="centerContinuous"/>
    </xf>
    <xf numFmtId="0" fontId="5" fillId="4" borderId="6" xfId="0" applyFont="1" applyFill="1" applyBorder="1" applyAlignment="1" applyProtection="1">
      <alignment horizontal="center"/>
    </xf>
    <xf numFmtId="0" fontId="5" fillId="4" borderId="13" xfId="0" applyFont="1" applyFill="1" applyBorder="1" applyAlignment="1" applyProtection="1">
      <alignment horizontal="centerContinuous"/>
    </xf>
    <xf numFmtId="0" fontId="5" fillId="4" borderId="14" xfId="0" applyFont="1" applyFill="1" applyBorder="1" applyAlignment="1" applyProtection="1">
      <alignment horizontal="centerContinuous"/>
    </xf>
    <xf numFmtId="0" fontId="5" fillId="4" borderId="7" xfId="0" applyFont="1" applyFill="1" applyBorder="1" applyAlignment="1" applyProtection="1">
      <alignment horizontal="center"/>
    </xf>
    <xf numFmtId="0" fontId="5" fillId="4" borderId="8" xfId="0" applyFont="1" applyFill="1" applyBorder="1" applyAlignment="1" applyProtection="1">
      <alignment horizontal="center"/>
    </xf>
    <xf numFmtId="14" fontId="5" fillId="4" borderId="8" xfId="0" quotePrefix="1" applyNumberFormat="1" applyFont="1" applyFill="1" applyBorder="1" applyAlignment="1" applyProtection="1">
      <alignment horizontal="center"/>
    </xf>
    <xf numFmtId="0" fontId="5" fillId="4" borderId="1" xfId="0" applyFont="1" applyFill="1" applyBorder="1" applyAlignment="1" applyProtection="1">
      <alignment horizontal="center"/>
    </xf>
    <xf numFmtId="0" fontId="5" fillId="4" borderId="1" xfId="0" applyFont="1" applyFill="1" applyBorder="1" applyAlignment="1" applyProtection="1">
      <alignment horizontal="left"/>
    </xf>
    <xf numFmtId="2" fontId="5" fillId="4" borderId="1" xfId="0" applyNumberFormat="1" applyFont="1" applyFill="1" applyBorder="1" applyProtection="1"/>
    <xf numFmtId="3" fontId="5" fillId="4" borderId="1" xfId="0" applyNumberFormat="1" applyFont="1" applyFill="1" applyBorder="1" applyProtection="1"/>
    <xf numFmtId="0" fontId="4" fillId="4" borderId="1" xfId="0" applyFont="1" applyFill="1" applyBorder="1" applyAlignment="1" applyProtection="1">
      <alignment horizontal="left"/>
    </xf>
    <xf numFmtId="0" fontId="5" fillId="4" borderId="2" xfId="0" applyFont="1" applyFill="1" applyBorder="1" applyAlignment="1" applyProtection="1">
      <alignment horizontal="fill"/>
    </xf>
    <xf numFmtId="0" fontId="5" fillId="4" borderId="2" xfId="0" applyFont="1" applyFill="1" applyBorder="1" applyAlignment="1" applyProtection="1">
      <alignment horizontal="left"/>
    </xf>
    <xf numFmtId="0" fontId="4" fillId="4" borderId="0" xfId="0" applyFont="1" applyFill="1" applyAlignment="1" applyProtection="1">
      <alignment horizontal="left"/>
    </xf>
    <xf numFmtId="0" fontId="4" fillId="4" borderId="0" xfId="0" applyFont="1" applyFill="1" applyProtection="1"/>
    <xf numFmtId="0" fontId="5" fillId="4" borderId="0" xfId="0" applyFont="1" applyFill="1" applyBorder="1" applyAlignment="1" applyProtection="1">
      <alignment horizontal="fill"/>
    </xf>
    <xf numFmtId="0" fontId="5" fillId="4" borderId="0" xfId="0" applyFont="1" applyFill="1" applyAlignment="1" applyProtection="1">
      <alignment horizontal="left"/>
    </xf>
    <xf numFmtId="1" fontId="5" fillId="4" borderId="6" xfId="0" applyNumberFormat="1" applyFont="1" applyFill="1" applyBorder="1" applyAlignment="1" applyProtection="1">
      <alignment horizontal="center"/>
    </xf>
    <xf numFmtId="166" fontId="5" fillId="4" borderId="0" xfId="0" applyNumberFormat="1" applyFont="1" applyFill="1" applyProtection="1"/>
    <xf numFmtId="1" fontId="5" fillId="4" borderId="0" xfId="0" applyNumberFormat="1" applyFont="1" applyFill="1" applyAlignment="1" applyProtection="1">
      <alignment horizontal="right"/>
    </xf>
    <xf numFmtId="37" fontId="5" fillId="4" borderId="0" xfId="0" applyNumberFormat="1" applyFont="1" applyFill="1" applyBorder="1" applyAlignment="1" applyProtection="1">
      <alignment horizontal="fill"/>
    </xf>
    <xf numFmtId="3" fontId="5" fillId="4" borderId="1" xfId="0" applyNumberFormat="1" applyFont="1" applyFill="1" applyBorder="1" applyAlignment="1" applyProtection="1">
      <alignment horizontal="fill"/>
    </xf>
    <xf numFmtId="0" fontId="5" fillId="4" borderId="0" xfId="0" applyFont="1" applyFill="1" applyAlignment="1" applyProtection="1">
      <alignment horizontal="fill"/>
    </xf>
    <xf numFmtId="37" fontId="5" fillId="3" borderId="0" xfId="0" applyNumberFormat="1" applyFont="1" applyFill="1" applyAlignment="1" applyProtection="1">
      <alignment horizontal="left"/>
      <protection locked="0"/>
    </xf>
    <xf numFmtId="3" fontId="5" fillId="4" borderId="2" xfId="0" applyNumberFormat="1" applyFont="1" applyFill="1" applyBorder="1" applyAlignment="1" applyProtection="1">
      <alignment horizontal="fill"/>
    </xf>
    <xf numFmtId="37" fontId="4" fillId="4" borderId="0" xfId="0" applyNumberFormat="1" applyFont="1" applyFill="1" applyAlignment="1" applyProtection="1">
      <alignment horizontal="centerContinuous"/>
    </xf>
    <xf numFmtId="1" fontId="5" fillId="4" borderId="3" xfId="0" applyNumberFormat="1" applyFont="1" applyFill="1" applyBorder="1" applyAlignment="1" applyProtection="1">
      <alignment horizontal="centerContinuous"/>
    </xf>
    <xf numFmtId="164" fontId="5" fillId="4" borderId="1" xfId="0" applyNumberFormat="1" applyFont="1" applyFill="1" applyBorder="1" applyProtection="1"/>
    <xf numFmtId="0" fontId="5" fillId="4" borderId="0" xfId="0" applyFont="1" applyFill="1" applyBorder="1" applyProtection="1"/>
    <xf numFmtId="1" fontId="6" fillId="4" borderId="0" xfId="0" applyNumberFormat="1" applyFont="1" applyFill="1" applyAlignment="1" applyProtection="1">
      <alignment horizontal="center"/>
    </xf>
    <xf numFmtId="0" fontId="5" fillId="3" borderId="0" xfId="0" applyFont="1" applyFill="1"/>
    <xf numFmtId="0" fontId="5" fillId="4" borderId="0" xfId="0" applyFont="1" applyFill="1" applyAlignment="1">
      <alignment wrapText="1"/>
    </xf>
    <xf numFmtId="37" fontId="4" fillId="4" borderId="0" xfId="0" applyNumberFormat="1" applyFont="1" applyFill="1" applyAlignment="1" applyProtection="1">
      <alignment horizontal="centerContinuous" vertical="justify"/>
    </xf>
    <xf numFmtId="37" fontId="5" fillId="4" borderId="2" xfId="0" applyNumberFormat="1" applyFont="1" applyFill="1" applyBorder="1" applyAlignment="1" applyProtection="1">
      <alignment horizontal="left"/>
    </xf>
    <xf numFmtId="37" fontId="5" fillId="4" borderId="4" xfId="0" applyNumberFormat="1" applyFont="1" applyFill="1" applyBorder="1" applyAlignment="1" applyProtection="1">
      <alignment horizontal="left"/>
    </xf>
    <xf numFmtId="37" fontId="4" fillId="4" borderId="4" xfId="0" applyNumberFormat="1" applyFont="1" applyFill="1" applyBorder="1" applyAlignment="1" applyProtection="1">
      <alignment horizontal="left"/>
    </xf>
    <xf numFmtId="0" fontId="0" fillId="4" borderId="0" xfId="0" applyFill="1" applyProtection="1"/>
    <xf numFmtId="0" fontId="5" fillId="4" borderId="4" xfId="0" applyFont="1" applyFill="1" applyBorder="1" applyProtection="1"/>
    <xf numFmtId="0" fontId="5" fillId="4" borderId="0" xfId="0" applyFont="1" applyFill="1" applyAlignment="1" applyProtection="1">
      <alignment horizontal="centerContinuous" vertical="justify"/>
    </xf>
    <xf numFmtId="0" fontId="5" fillId="4" borderId="15" xfId="0" applyFont="1" applyFill="1" applyBorder="1" applyProtection="1"/>
    <xf numFmtId="3" fontId="5" fillId="4" borderId="15" xfId="0" applyNumberFormat="1" applyFont="1" applyFill="1" applyBorder="1" applyProtection="1"/>
    <xf numFmtId="3" fontId="5" fillId="4" borderId="5" xfId="0" applyNumberFormat="1" applyFont="1" applyFill="1" applyBorder="1" applyProtection="1"/>
    <xf numFmtId="37" fontId="5" fillId="4" borderId="8" xfId="0" applyNumberFormat="1" applyFont="1" applyFill="1" applyBorder="1" applyProtection="1"/>
    <xf numFmtId="37" fontId="5" fillId="4" borderId="8" xfId="0" applyNumberFormat="1" applyFont="1" applyFill="1" applyBorder="1" applyAlignment="1" applyProtection="1">
      <alignment horizontal="fill"/>
    </xf>
    <xf numFmtId="0" fontId="5" fillId="3" borderId="1" xfId="0" applyFont="1" applyFill="1" applyBorder="1" applyProtection="1">
      <protection locked="0"/>
    </xf>
    <xf numFmtId="37" fontId="4" fillId="5" borderId="0" xfId="0" applyNumberFormat="1" applyFont="1" applyFill="1" applyAlignment="1" applyProtection="1">
      <alignment horizontal="left"/>
    </xf>
    <xf numFmtId="0" fontId="5" fillId="5" borderId="0" xfId="0" applyFont="1" applyFill="1" applyProtection="1"/>
    <xf numFmtId="37" fontId="4" fillId="6" borderId="0" xfId="0" applyNumberFormat="1" applyFont="1" applyFill="1" applyAlignment="1" applyProtection="1">
      <alignment horizontal="left"/>
    </xf>
    <xf numFmtId="0" fontId="5" fillId="6" borderId="0" xfId="0" applyFont="1" applyFill="1" applyProtection="1"/>
    <xf numFmtId="3" fontId="5" fillId="6" borderId="0" xfId="0" applyNumberFormat="1" applyFont="1" applyFill="1" applyProtection="1"/>
    <xf numFmtId="0" fontId="9" fillId="4" borderId="8" xfId="0" applyFont="1" applyFill="1" applyBorder="1" applyAlignment="1" applyProtection="1">
      <alignment horizontal="center"/>
    </xf>
    <xf numFmtId="0" fontId="5" fillId="4" borderId="2" xfId="0" applyFont="1" applyFill="1" applyBorder="1" applyAlignment="1" applyProtection="1">
      <alignment horizontal="centerContinuous"/>
    </xf>
    <xf numFmtId="37" fontId="5" fillId="4" borderId="0" xfId="0" applyNumberFormat="1" applyFont="1" applyFill="1" applyBorder="1" applyAlignment="1" applyProtection="1">
      <alignment horizontal="left"/>
    </xf>
    <xf numFmtId="171" fontId="5" fillId="4" borderId="1" xfId="0" applyNumberFormat="1" applyFont="1" applyFill="1" applyBorder="1" applyProtection="1"/>
    <xf numFmtId="172" fontId="5" fillId="4" borderId="1" xfId="0" applyNumberFormat="1" applyFont="1" applyFill="1" applyBorder="1" applyProtection="1"/>
    <xf numFmtId="0" fontId="5" fillId="4" borderId="0" xfId="0" applyFont="1" applyFill="1" applyAlignment="1" applyProtection="1">
      <alignment horizontal="center"/>
    </xf>
    <xf numFmtId="0" fontId="4" fillId="4" borderId="2" xfId="0" applyFont="1" applyFill="1" applyBorder="1" applyAlignment="1" applyProtection="1">
      <alignment horizontal="center"/>
    </xf>
    <xf numFmtId="0" fontId="4" fillId="4" borderId="6" xfId="0" applyFont="1" applyFill="1" applyBorder="1" applyAlignment="1" applyProtection="1">
      <alignment horizontal="center"/>
    </xf>
    <xf numFmtId="0" fontId="5" fillId="4" borderId="0" xfId="0" applyFont="1" applyFill="1" applyProtection="1">
      <protection locked="0"/>
    </xf>
    <xf numFmtId="37" fontId="5" fillId="4" borderId="0" xfId="0" applyNumberFormat="1" applyFont="1" applyFill="1" applyBorder="1" applyProtection="1"/>
    <xf numFmtId="0" fontId="5" fillId="4" borderId="0" xfId="0" applyNumberFormat="1" applyFont="1" applyFill="1" applyAlignment="1" applyProtection="1">
      <alignment horizontal="right"/>
    </xf>
    <xf numFmtId="37" fontId="5" fillId="4" borderId="1" xfId="0" applyNumberFormat="1" applyFont="1" applyFill="1" applyBorder="1" applyAlignment="1" applyProtection="1">
      <alignment horizontal="center"/>
    </xf>
    <xf numFmtId="37" fontId="5" fillId="4" borderId="2" xfId="0" applyNumberFormat="1" applyFont="1" applyFill="1" applyBorder="1" applyAlignment="1" applyProtection="1">
      <alignment horizontal="fill"/>
      <protection locked="0"/>
    </xf>
    <xf numFmtId="170" fontId="5" fillId="3" borderId="3" xfId="1" applyNumberFormat="1" applyFont="1" applyFill="1" applyBorder="1" applyProtection="1">
      <protection locked="0"/>
    </xf>
    <xf numFmtId="3" fontId="5" fillId="4" borderId="1" xfId="0" applyNumberFormat="1" applyFont="1" applyFill="1" applyBorder="1" applyProtection="1">
      <protection locked="0"/>
    </xf>
    <xf numFmtId="1" fontId="5" fillId="4" borderId="0" xfId="0" applyNumberFormat="1" applyFont="1" applyFill="1" applyBorder="1" applyAlignment="1" applyProtection="1">
      <alignment horizontal="right"/>
    </xf>
    <xf numFmtId="0" fontId="5" fillId="4" borderId="8" xfId="0" applyNumberFormat="1" applyFont="1" applyFill="1" applyBorder="1" applyAlignment="1" applyProtection="1">
      <alignment horizontal="center"/>
    </xf>
    <xf numFmtId="1" fontId="5" fillId="4" borderId="8" xfId="0" applyNumberFormat="1" applyFont="1" applyFill="1" applyBorder="1" applyAlignment="1" applyProtection="1">
      <alignment horizontal="center"/>
    </xf>
    <xf numFmtId="37" fontId="4" fillId="4" borderId="3" xfId="0" applyNumberFormat="1" applyFont="1" applyFill="1" applyBorder="1" applyAlignment="1" applyProtection="1">
      <alignment horizontal="left"/>
    </xf>
    <xf numFmtId="0" fontId="5" fillId="4" borderId="2" xfId="0" applyFont="1" applyFill="1" applyBorder="1"/>
    <xf numFmtId="37" fontId="0" fillId="4" borderId="0" xfId="0" applyNumberFormat="1" applyFill="1"/>
    <xf numFmtId="0" fontId="0" fillId="4" borderId="0" xfId="0" applyFill="1"/>
    <xf numFmtId="3" fontId="5" fillId="4" borderId="0" xfId="0" applyNumberFormat="1" applyFont="1" applyFill="1" applyBorder="1" applyProtection="1">
      <protection locked="0"/>
    </xf>
    <xf numFmtId="0" fontId="12" fillId="4" borderId="0" xfId="0" applyFont="1" applyFill="1" applyBorder="1" applyAlignment="1" applyProtection="1">
      <alignment horizontal="center"/>
    </xf>
    <xf numFmtId="0" fontId="0" fillId="4" borderId="0" xfId="0" applyFill="1" applyBorder="1" applyProtection="1"/>
    <xf numFmtId="0" fontId="0" fillId="4" borderId="2" xfId="0" applyFill="1" applyBorder="1" applyProtection="1"/>
    <xf numFmtId="0" fontId="4" fillId="6" borderId="0" xfId="0" applyFont="1" applyFill="1"/>
    <xf numFmtId="0" fontId="2" fillId="6" borderId="0" xfId="0" applyFont="1" applyFill="1"/>
    <xf numFmtId="0" fontId="0" fillId="6" borderId="0" xfId="0" applyFill="1" applyProtection="1">
      <protection locked="0"/>
    </xf>
    <xf numFmtId="0" fontId="0" fillId="4" borderId="2" xfId="0" applyFill="1" applyBorder="1"/>
    <xf numFmtId="0" fontId="0" fillId="4" borderId="15" xfId="0" applyFill="1" applyBorder="1"/>
    <xf numFmtId="0" fontId="5" fillId="4" borderId="4" xfId="0" applyFont="1" applyFill="1" applyBorder="1"/>
    <xf numFmtId="0" fontId="0" fillId="4" borderId="4" xfId="0" applyFill="1" applyBorder="1"/>
    <xf numFmtId="0" fontId="0" fillId="4" borderId="5" xfId="0" applyFill="1" applyBorder="1"/>
    <xf numFmtId="0" fontId="0" fillId="7" borderId="0" xfId="0" applyFill="1"/>
    <xf numFmtId="37" fontId="5" fillId="4" borderId="0" xfId="0" applyNumberFormat="1" applyFont="1" applyFill="1" applyBorder="1" applyAlignment="1" applyProtection="1">
      <alignment horizontal="left"/>
      <protection locked="0"/>
    </xf>
    <xf numFmtId="0" fontId="4" fillId="6" borderId="0" xfId="0" applyFont="1" applyFill="1" applyProtection="1"/>
    <xf numFmtId="37" fontId="8" fillId="6" borderId="0" xfId="0" applyNumberFormat="1" applyFont="1" applyFill="1" applyAlignment="1" applyProtection="1">
      <alignment horizontal="center"/>
    </xf>
    <xf numFmtId="0" fontId="8" fillId="6" borderId="2" xfId="0" applyFont="1" applyFill="1" applyBorder="1" applyAlignment="1">
      <alignment horizontal="center"/>
    </xf>
    <xf numFmtId="0" fontId="6" fillId="4" borderId="0" xfId="0" applyFont="1" applyFill="1" applyAlignment="1" applyProtection="1">
      <alignment horizontal="center"/>
    </xf>
    <xf numFmtId="0" fontId="5" fillId="4" borderId="2" xfId="0" applyFont="1" applyFill="1" applyBorder="1" applyAlignment="1" applyProtection="1">
      <alignment horizontal="center"/>
    </xf>
    <xf numFmtId="0" fontId="5" fillId="4" borderId="2" xfId="0" applyFont="1" applyFill="1" applyBorder="1" applyAlignment="1" applyProtection="1">
      <alignment horizontal="center"/>
      <protection locked="0"/>
    </xf>
    <xf numFmtId="0" fontId="5" fillId="4" borderId="15" xfId="0" applyFont="1" applyFill="1" applyBorder="1" applyProtection="1">
      <protection locked="0"/>
    </xf>
    <xf numFmtId="0" fontId="5" fillId="4" borderId="5" xfId="0" applyFont="1" applyFill="1" applyBorder="1" applyProtection="1">
      <protection locked="0"/>
    </xf>
    <xf numFmtId="164" fontId="5" fillId="4" borderId="1" xfId="0" applyNumberFormat="1" applyFont="1" applyFill="1" applyBorder="1" applyProtection="1">
      <protection locked="0"/>
    </xf>
    <xf numFmtId="0" fontId="5" fillId="4" borderId="8" xfId="0" applyFont="1" applyFill="1" applyBorder="1" applyAlignment="1">
      <alignment horizontal="center"/>
    </xf>
    <xf numFmtId="3" fontId="5" fillId="4" borderId="2" xfId="0" applyNumberFormat="1" applyFont="1" applyFill="1" applyBorder="1" applyAlignment="1" applyProtection="1">
      <alignment horizontal="center"/>
    </xf>
    <xf numFmtId="3" fontId="5" fillId="4" borderId="4" xfId="0" applyNumberFormat="1" applyFont="1" applyFill="1" applyBorder="1" applyAlignment="1" applyProtection="1">
      <alignment horizontal="center"/>
    </xf>
    <xf numFmtId="3" fontId="5" fillId="4" borderId="17" xfId="0" applyNumberFormat="1" applyFont="1" applyFill="1" applyBorder="1" applyAlignment="1" applyProtection="1">
      <alignment horizontal="center"/>
    </xf>
    <xf numFmtId="166" fontId="5" fillId="4" borderId="2" xfId="0" applyNumberFormat="1" applyFont="1" applyFill="1" applyBorder="1" applyProtection="1"/>
    <xf numFmtId="37" fontId="5" fillId="4" borderId="2" xfId="0" quotePrefix="1" applyNumberFormat="1" applyFont="1" applyFill="1" applyBorder="1" applyAlignment="1" applyProtection="1">
      <alignment horizontal="right"/>
    </xf>
    <xf numFmtId="0" fontId="5" fillId="4" borderId="7" xfId="0" applyFont="1" applyFill="1" applyBorder="1" applyAlignment="1">
      <alignment horizontal="center"/>
    </xf>
    <xf numFmtId="1" fontId="5" fillId="4" borderId="16" xfId="0" applyNumberFormat="1" applyFont="1" applyFill="1" applyBorder="1" applyAlignment="1" applyProtection="1">
      <alignment horizontal="center"/>
    </xf>
    <xf numFmtId="0" fontId="5" fillId="0" borderId="0" xfId="0" applyFont="1" applyAlignment="1" applyProtection="1">
      <alignment horizontal="left"/>
      <protection locked="0"/>
    </xf>
    <xf numFmtId="0" fontId="4" fillId="4" borderId="7" xfId="0" applyFont="1" applyFill="1" applyBorder="1" applyAlignment="1" applyProtection="1">
      <alignment horizontal="center"/>
    </xf>
    <xf numFmtId="0" fontId="4" fillId="4" borderId="8" xfId="0" applyFont="1" applyFill="1" applyBorder="1" applyAlignment="1" applyProtection="1">
      <alignment horizontal="center"/>
    </xf>
    <xf numFmtId="0" fontId="4" fillId="4" borderId="1" xfId="0" applyFont="1" applyFill="1" applyBorder="1" applyAlignment="1" applyProtection="1">
      <alignment horizontal="center"/>
    </xf>
    <xf numFmtId="37" fontId="4" fillId="4" borderId="1" xfId="0" applyNumberFormat="1" applyFont="1" applyFill="1" applyBorder="1" applyAlignment="1" applyProtection="1">
      <alignment horizontal="center"/>
    </xf>
    <xf numFmtId="37" fontId="5" fillId="4" borderId="13" xfId="0" applyNumberFormat="1" applyFont="1" applyFill="1" applyBorder="1" applyAlignment="1" applyProtection="1">
      <alignment horizontal="center"/>
    </xf>
    <xf numFmtId="3" fontId="5" fillId="4" borderId="4" xfId="0" applyNumberFormat="1" applyFont="1" applyFill="1" applyBorder="1" applyAlignment="1" applyProtection="1">
      <alignment horizontal="right"/>
    </xf>
    <xf numFmtId="3" fontId="5" fillId="4" borderId="2" xfId="1" applyNumberFormat="1" applyFont="1" applyFill="1" applyBorder="1" applyProtection="1"/>
    <xf numFmtId="0" fontId="5" fillId="4" borderId="10" xfId="0" applyFont="1" applyFill="1" applyBorder="1" applyProtection="1"/>
    <xf numFmtId="0" fontId="5" fillId="3" borderId="8" xfId="0" applyFont="1" applyFill="1" applyBorder="1" applyAlignment="1" applyProtection="1">
      <alignment horizontal="center"/>
      <protection locked="0"/>
    </xf>
    <xf numFmtId="170" fontId="5" fillId="3" borderId="1" xfId="1"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3" fontId="5" fillId="4" borderId="1" xfId="0" applyNumberFormat="1" applyFont="1" applyFill="1" applyBorder="1" applyAlignment="1" applyProtection="1">
      <alignment horizontal="center"/>
    </xf>
    <xf numFmtId="0" fontId="5" fillId="4" borderId="0" xfId="0" applyFont="1" applyFill="1" applyAlignment="1" applyProtection="1">
      <alignment horizontal="center"/>
      <protection locked="0"/>
    </xf>
    <xf numFmtId="168" fontId="5" fillId="2" borderId="1" xfId="0" applyNumberFormat="1" applyFont="1" applyFill="1" applyBorder="1" applyAlignment="1" applyProtection="1">
      <alignment horizontal="center"/>
      <protection locked="0"/>
    </xf>
    <xf numFmtId="2"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center"/>
      <protection locked="0"/>
    </xf>
    <xf numFmtId="37" fontId="5" fillId="2" borderId="1" xfId="0" applyNumberFormat="1" applyFont="1" applyFill="1" applyBorder="1" applyAlignment="1" applyProtection="1">
      <alignment horizontal="center"/>
      <protection locked="0"/>
    </xf>
    <xf numFmtId="169" fontId="5" fillId="2" borderId="1" xfId="0" applyNumberFormat="1" applyFont="1" applyFill="1" applyBorder="1" applyAlignment="1" applyProtection="1">
      <alignment horizontal="center"/>
      <protection locked="0"/>
    </xf>
    <xf numFmtId="168" fontId="4" fillId="4" borderId="1" xfId="0" applyNumberFormat="1" applyFont="1" applyFill="1" applyBorder="1" applyAlignment="1" applyProtection="1">
      <alignment horizontal="center"/>
    </xf>
    <xf numFmtId="2" fontId="4" fillId="4" borderId="1" xfId="0" applyNumberFormat="1" applyFont="1" applyFill="1" applyBorder="1" applyAlignment="1" applyProtection="1">
      <alignment horizontal="center"/>
    </xf>
    <xf numFmtId="3" fontId="4" fillId="4" borderId="1" xfId="0" applyNumberFormat="1" applyFont="1" applyFill="1" applyBorder="1" applyAlignment="1" applyProtection="1">
      <alignment horizontal="center"/>
    </xf>
    <xf numFmtId="169" fontId="4" fillId="4" borderId="1" xfId="0" applyNumberFormat="1" applyFont="1" applyFill="1" applyBorder="1" applyAlignment="1" applyProtection="1">
      <alignment horizontal="center"/>
    </xf>
    <xf numFmtId="168" fontId="5" fillId="4" borderId="1" xfId="0" applyNumberFormat="1" applyFont="1" applyFill="1" applyBorder="1" applyAlignment="1" applyProtection="1">
      <alignment horizontal="center"/>
    </xf>
    <xf numFmtId="2" fontId="5" fillId="4" borderId="1" xfId="0" applyNumberFormat="1" applyFont="1" applyFill="1" applyBorder="1" applyAlignment="1" applyProtection="1">
      <alignment horizontal="center"/>
    </xf>
    <xf numFmtId="169" fontId="5" fillId="4" borderId="1" xfId="0" applyNumberFormat="1" applyFont="1" applyFill="1" applyBorder="1" applyAlignment="1" applyProtection="1">
      <alignment horizontal="center"/>
    </xf>
    <xf numFmtId="1" fontId="4" fillId="4" borderId="1" xfId="0" applyNumberFormat="1" applyFont="1" applyFill="1" applyBorder="1" applyAlignment="1" applyProtection="1">
      <alignment horizontal="center"/>
    </xf>
    <xf numFmtId="1" fontId="5" fillId="4" borderId="1" xfId="0" applyNumberFormat="1" applyFont="1" applyFill="1" applyBorder="1" applyAlignment="1" applyProtection="1">
      <alignment horizontal="center"/>
    </xf>
    <xf numFmtId="1" fontId="5" fillId="2" borderId="1" xfId="0" applyNumberFormat="1" applyFont="1" applyFill="1" applyBorder="1" applyAlignment="1" applyProtection="1">
      <alignment horizontal="center"/>
      <protection locked="0"/>
    </xf>
    <xf numFmtId="0" fontId="10" fillId="8" borderId="0" xfId="0" applyFont="1" applyFill="1" applyAlignment="1" applyProtection="1">
      <alignment shrinkToFit="1"/>
    </xf>
    <xf numFmtId="10" fontId="5" fillId="4" borderId="0" xfId="0" applyNumberFormat="1" applyFont="1" applyFill="1" applyAlignment="1" applyProtection="1">
      <alignment horizontal="center"/>
      <protection locked="0"/>
    </xf>
    <xf numFmtId="173" fontId="5" fillId="2" borderId="8" xfId="0" applyNumberFormat="1" applyFont="1" applyFill="1" applyBorder="1" applyProtection="1">
      <protection locked="0"/>
    </xf>
    <xf numFmtId="173" fontId="5" fillId="4" borderId="0" xfId="0" applyNumberFormat="1" applyFont="1" applyFill="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7" fontId="12" fillId="6" borderId="0" xfId="0" applyNumberFormat="1" applyFont="1" applyFill="1" applyAlignment="1" applyProtection="1">
      <alignment horizontal="left"/>
    </xf>
    <xf numFmtId="37" fontId="5" fillId="8" borderId="2" xfId="0" applyNumberFormat="1" applyFont="1" applyFill="1" applyBorder="1" applyAlignment="1" applyProtection="1">
      <alignment horizontal="left"/>
    </xf>
    <xf numFmtId="0" fontId="5" fillId="8" borderId="2" xfId="0" applyFont="1" applyFill="1" applyBorder="1" applyProtection="1"/>
    <xf numFmtId="37" fontId="5" fillId="8" borderId="4" xfId="0" applyNumberFormat="1" applyFont="1" applyFill="1" applyBorder="1" applyAlignment="1" applyProtection="1">
      <alignment horizontal="left"/>
    </xf>
    <xf numFmtId="0" fontId="5" fillId="8" borderId="4" xfId="0" applyFont="1" applyFill="1" applyBorder="1" applyProtection="1"/>
    <xf numFmtId="37" fontId="5" fillId="8" borderId="6" xfId="0" applyNumberFormat="1" applyFont="1" applyFill="1" applyBorder="1" applyAlignment="1" applyProtection="1">
      <alignment horizontal="center"/>
    </xf>
    <xf numFmtId="37" fontId="5" fillId="8" borderId="8" xfId="0" applyNumberFormat="1" applyFont="1" applyFill="1" applyBorder="1" applyAlignment="1" applyProtection="1">
      <alignment horizontal="center"/>
    </xf>
    <xf numFmtId="0" fontId="5" fillId="0" borderId="0" xfId="0" applyFont="1" applyFill="1"/>
    <xf numFmtId="0" fontId="5" fillId="0" borderId="0" xfId="0" applyFont="1" applyFill="1" applyAlignment="1">
      <alignment wrapText="1"/>
    </xf>
    <xf numFmtId="0" fontId="5" fillId="8" borderId="0" xfId="0" applyFont="1" applyFill="1" applyAlignment="1">
      <alignment wrapText="1"/>
    </xf>
    <xf numFmtId="37" fontId="5" fillId="0" borderId="0" xfId="0" applyNumberFormat="1" applyFont="1" applyFill="1" applyAlignment="1" applyProtection="1">
      <alignment horizontal="left" wrapText="1"/>
    </xf>
    <xf numFmtId="0" fontId="5" fillId="0" borderId="0" xfId="0" applyFont="1" applyAlignment="1" applyProtection="1">
      <alignment wrapText="1"/>
      <protection locked="0"/>
    </xf>
    <xf numFmtId="0" fontId="5" fillId="3" borderId="4" xfId="0" applyFont="1" applyFill="1" applyBorder="1" applyProtection="1">
      <protection locked="0"/>
    </xf>
    <xf numFmtId="0" fontId="5" fillId="4" borderId="9" xfId="0" applyFont="1" applyFill="1" applyBorder="1" applyAlignment="1" applyProtection="1">
      <alignment horizontal="right"/>
    </xf>
    <xf numFmtId="37" fontId="5" fillId="9" borderId="1" xfId="0" applyNumberFormat="1" applyFont="1" applyFill="1" applyBorder="1" applyAlignment="1" applyProtection="1">
      <alignment horizontal="left"/>
    </xf>
    <xf numFmtId="0" fontId="5" fillId="9" borderId="1" xfId="0" applyFont="1" applyFill="1" applyBorder="1" applyProtection="1"/>
    <xf numFmtId="37" fontId="5" fillId="9" borderId="1" xfId="0" applyNumberFormat="1" applyFont="1" applyFill="1" applyBorder="1" applyProtection="1"/>
    <xf numFmtId="0" fontId="15" fillId="9" borderId="5" xfId="0" applyFont="1" applyFill="1" applyBorder="1" applyAlignment="1" applyProtection="1">
      <alignment horizontal="center"/>
    </xf>
    <xf numFmtId="0" fontId="0" fillId="9" borderId="1" xfId="0" applyFill="1" applyBorder="1" applyAlignment="1" applyProtection="1"/>
    <xf numFmtId="0" fontId="16" fillId="0" borderId="0" xfId="0" applyFont="1" applyAlignment="1">
      <alignment wrapText="1"/>
    </xf>
    <xf numFmtId="0" fontId="4" fillId="3" borderId="1" xfId="0" applyFont="1" applyFill="1" applyBorder="1" applyAlignment="1" applyProtection="1">
      <alignment horizontal="center"/>
      <protection locked="0"/>
    </xf>
    <xf numFmtId="37" fontId="5" fillId="3" borderId="2" xfId="0" applyNumberFormat="1" applyFont="1" applyFill="1" applyBorder="1" applyAlignment="1" applyProtection="1">
      <alignment horizontal="left"/>
      <protection locked="0"/>
    </xf>
    <xf numFmtId="0" fontId="5" fillId="3" borderId="2" xfId="0" applyFont="1" applyFill="1" applyBorder="1" applyProtection="1"/>
    <xf numFmtId="37" fontId="5" fillId="3" borderId="4" xfId="0" applyNumberFormat="1" applyFont="1" applyFill="1" applyBorder="1" applyAlignment="1" applyProtection="1">
      <alignment horizontal="left"/>
      <protection locked="0"/>
    </xf>
    <xf numFmtId="0" fontId="5" fillId="3" borderId="4" xfId="0" applyFont="1" applyFill="1" applyBorder="1" applyProtection="1"/>
    <xf numFmtId="37" fontId="5" fillId="10" borderId="1" xfId="0" applyNumberFormat="1" applyFont="1" applyFill="1" applyBorder="1" applyProtection="1"/>
    <xf numFmtId="164" fontId="5" fillId="10" borderId="1" xfId="0" applyNumberFormat="1" applyFont="1" applyFill="1" applyBorder="1" applyProtection="1"/>
    <xf numFmtId="37" fontId="4" fillId="10" borderId="1" xfId="0" applyNumberFormat="1" applyFont="1" applyFill="1" applyBorder="1" applyProtection="1"/>
    <xf numFmtId="37" fontId="4" fillId="10" borderId="12" xfId="0" applyNumberFormat="1" applyFont="1" applyFill="1" applyBorder="1" applyProtection="1"/>
    <xf numFmtId="3" fontId="5" fillId="10" borderId="1" xfId="0" applyNumberFormat="1" applyFont="1" applyFill="1" applyBorder="1" applyProtection="1"/>
    <xf numFmtId="3" fontId="4" fillId="10" borderId="1" xfId="0" applyNumberFormat="1" applyFont="1" applyFill="1" applyBorder="1" applyProtection="1"/>
    <xf numFmtId="3" fontId="5" fillId="10" borderId="12" xfId="0" applyNumberFormat="1" applyFont="1" applyFill="1" applyBorder="1" applyProtection="1"/>
    <xf numFmtId="3" fontId="5" fillId="10" borderId="1" xfId="0" applyNumberFormat="1" applyFont="1" applyFill="1" applyBorder="1" applyAlignment="1" applyProtection="1">
      <alignment horizontal="center"/>
    </xf>
    <xf numFmtId="37" fontId="5" fillId="10" borderId="12" xfId="0" applyNumberFormat="1" applyFont="1" applyFill="1" applyBorder="1" applyAlignment="1" applyProtection="1">
      <alignment horizontal="center"/>
    </xf>
    <xf numFmtId="165" fontId="5" fillId="10" borderId="2" xfId="0" applyNumberFormat="1" applyFont="1" applyFill="1" applyBorder="1" applyProtection="1"/>
    <xf numFmtId="37" fontId="4" fillId="10" borderId="1" xfId="0" applyNumberFormat="1" applyFont="1" applyFill="1" applyBorder="1" applyAlignment="1" applyProtection="1">
      <alignment horizontal="center"/>
    </xf>
    <xf numFmtId="3" fontId="4" fillId="10" borderId="1" xfId="0" applyNumberFormat="1" applyFont="1" applyFill="1" applyBorder="1" applyAlignment="1" applyProtection="1">
      <alignment horizontal="center"/>
    </xf>
    <xf numFmtId="3" fontId="4" fillId="10" borderId="12" xfId="0" applyNumberFormat="1" applyFont="1" applyFill="1" applyBorder="1" applyAlignment="1" applyProtection="1">
      <alignment horizontal="center"/>
    </xf>
    <xf numFmtId="173" fontId="5" fillId="2" borderId="1" xfId="0" applyNumberFormat="1" applyFont="1" applyFill="1" applyBorder="1" applyProtection="1">
      <protection locked="0"/>
    </xf>
    <xf numFmtId="0" fontId="6" fillId="8" borderId="0" xfId="0" applyFont="1" applyFill="1" applyProtection="1"/>
    <xf numFmtId="0" fontId="5" fillId="6" borderId="2" xfId="0" applyFont="1" applyFill="1" applyBorder="1" applyProtection="1"/>
    <xf numFmtId="0" fontId="5" fillId="6" borderId="4" xfId="0" applyFont="1" applyFill="1" applyBorder="1" applyProtection="1"/>
    <xf numFmtId="171" fontId="5" fillId="3" borderId="2" xfId="0" applyNumberFormat="1" applyFont="1" applyFill="1" applyBorder="1" applyProtection="1">
      <protection locked="0"/>
    </xf>
    <xf numFmtId="171" fontId="5" fillId="3" borderId="4" xfId="0" applyNumberFormat="1" applyFont="1" applyFill="1" applyBorder="1" applyProtection="1">
      <protection locked="0"/>
    </xf>
    <xf numFmtId="171" fontId="5" fillId="3" borderId="10" xfId="0" applyNumberFormat="1" applyFont="1" applyFill="1" applyBorder="1" applyProtection="1">
      <protection locked="0"/>
    </xf>
    <xf numFmtId="0" fontId="15" fillId="0" borderId="0" xfId="0" applyFont="1" applyProtection="1"/>
    <xf numFmtId="0" fontId="5" fillId="4" borderId="0" xfId="0" applyFont="1" applyFill="1" applyBorder="1" applyAlignment="1" applyProtection="1">
      <alignment horizontal="right"/>
    </xf>
    <xf numFmtId="37" fontId="12" fillId="4" borderId="3" xfId="0" applyNumberFormat="1" applyFont="1" applyFill="1" applyBorder="1" applyAlignment="1" applyProtection="1">
      <alignment horizontal="left"/>
    </xf>
    <xf numFmtId="37" fontId="12" fillId="4" borderId="5" xfId="0" applyNumberFormat="1" applyFont="1" applyFill="1" applyBorder="1" applyAlignment="1" applyProtection="1">
      <alignment horizontal="center"/>
    </xf>
    <xf numFmtId="0" fontId="0" fillId="3" borderId="0" xfId="0" applyFill="1" applyProtection="1">
      <protection locked="0"/>
    </xf>
    <xf numFmtId="14" fontId="5" fillId="2" borderId="1" xfId="0" applyNumberFormat="1" applyFont="1" applyFill="1" applyBorder="1" applyAlignment="1" applyProtection="1">
      <alignment horizontal="center"/>
      <protection locked="0"/>
    </xf>
    <xf numFmtId="0" fontId="5" fillId="2" borderId="3" xfId="0" applyFont="1" applyFill="1" applyBorder="1" applyProtection="1">
      <protection locked="0"/>
    </xf>
    <xf numFmtId="37" fontId="5" fillId="2" borderId="3" xfId="0" applyNumberFormat="1" applyFont="1" applyFill="1" applyBorder="1" applyAlignment="1" applyProtection="1">
      <alignment horizontal="left"/>
      <protection locked="0"/>
    </xf>
    <xf numFmtId="37" fontId="5" fillId="2" borderId="5" xfId="0" applyNumberFormat="1" applyFont="1" applyFill="1" applyBorder="1" applyProtection="1">
      <protection locked="0"/>
    </xf>
    <xf numFmtId="37" fontId="5" fillId="4" borderId="5" xfId="0" applyNumberFormat="1" applyFont="1" applyFill="1" applyBorder="1" applyProtection="1"/>
    <xf numFmtId="37" fontId="5" fillId="3" borderId="5" xfId="0" applyNumberFormat="1" applyFont="1" applyFill="1" applyBorder="1" applyProtection="1">
      <protection locked="0"/>
    </xf>
    <xf numFmtId="37" fontId="4" fillId="10" borderId="5" xfId="0" applyNumberFormat="1" applyFont="1" applyFill="1" applyBorder="1" applyProtection="1"/>
    <xf numFmtId="37" fontId="5" fillId="4" borderId="16" xfId="0" applyNumberFormat="1" applyFont="1" applyFill="1" applyBorder="1" applyAlignment="1" applyProtection="1">
      <alignment horizontal="left"/>
    </xf>
    <xf numFmtId="37" fontId="5" fillId="4" borderId="5" xfId="0" applyNumberFormat="1" applyFont="1" applyFill="1" applyBorder="1" applyAlignment="1" applyProtection="1">
      <alignment horizontal="left"/>
    </xf>
    <xf numFmtId="37" fontId="5" fillId="3" borderId="5" xfId="0" applyNumberFormat="1" applyFont="1" applyFill="1" applyBorder="1" applyAlignment="1" applyProtection="1">
      <alignment horizontal="left"/>
    </xf>
    <xf numFmtId="0" fontId="5" fillId="4" borderId="3" xfId="0" applyFont="1" applyFill="1" applyBorder="1" applyAlignment="1" applyProtection="1">
      <alignment horizontal="left"/>
    </xf>
    <xf numFmtId="0" fontId="5" fillId="2" borderId="3" xfId="0" applyFont="1" applyFill="1" applyBorder="1" applyAlignment="1" applyProtection="1">
      <alignment horizontal="left"/>
      <protection locked="0"/>
    </xf>
    <xf numFmtId="3" fontId="5" fillId="2" borderId="5" xfId="0" applyNumberFormat="1" applyFont="1" applyFill="1" applyBorder="1" applyProtection="1">
      <protection locked="0"/>
    </xf>
    <xf numFmtId="3" fontId="4" fillId="10" borderId="5" xfId="0" applyNumberFormat="1" applyFont="1" applyFill="1" applyBorder="1" applyProtection="1"/>
    <xf numFmtId="3" fontId="5" fillId="10" borderId="5" xfId="0" applyNumberFormat="1" applyFont="1" applyFill="1" applyBorder="1" applyProtection="1"/>
    <xf numFmtId="0" fontId="5" fillId="4" borderId="16" xfId="0" applyFont="1" applyFill="1" applyBorder="1" applyAlignment="1" applyProtection="1">
      <alignment horizontal="left"/>
    </xf>
    <xf numFmtId="0" fontId="5" fillId="4" borderId="5" xfId="0" applyFont="1" applyFill="1" applyBorder="1" applyAlignment="1" applyProtection="1">
      <alignment horizontal="left"/>
    </xf>
    <xf numFmtId="0" fontId="5" fillId="3" borderId="5" xfId="0" applyFont="1" applyFill="1" applyBorder="1" applyAlignment="1" applyProtection="1">
      <alignment horizontal="left"/>
    </xf>
    <xf numFmtId="0" fontId="5" fillId="4" borderId="3" xfId="0" applyFont="1" applyFill="1" applyBorder="1" applyProtection="1"/>
    <xf numFmtId="0" fontId="5" fillId="4" borderId="3" xfId="0" applyFont="1" applyFill="1" applyBorder="1" applyProtection="1">
      <protection locked="0"/>
    </xf>
    <xf numFmtId="37" fontId="5" fillId="4" borderId="3" xfId="0" applyNumberFormat="1" applyFont="1" applyFill="1" applyBorder="1" applyProtection="1"/>
    <xf numFmtId="0" fontId="5" fillId="4" borderId="3" xfId="0" applyNumberFormat="1" applyFont="1" applyFill="1" applyBorder="1" applyAlignment="1" applyProtection="1">
      <alignment horizontal="left"/>
    </xf>
    <xf numFmtId="37" fontId="5" fillId="2" borderId="3" xfId="0" applyNumberFormat="1" applyFont="1" applyFill="1" applyBorder="1" applyProtection="1">
      <protection locked="0"/>
    </xf>
    <xf numFmtId="0" fontId="4" fillId="4" borderId="3" xfId="0" applyFont="1" applyFill="1" applyBorder="1" applyAlignment="1" applyProtection="1">
      <alignment horizontal="left"/>
    </xf>
    <xf numFmtId="0" fontId="4" fillId="4" borderId="5" xfId="0" applyFont="1" applyFill="1" applyBorder="1" applyAlignment="1" applyProtection="1">
      <alignment horizontal="left"/>
    </xf>
    <xf numFmtId="0" fontId="4" fillId="3" borderId="5" xfId="0" applyFont="1" applyFill="1" applyBorder="1" applyAlignment="1" applyProtection="1">
      <alignment horizontal="left"/>
    </xf>
    <xf numFmtId="0" fontId="5" fillId="8" borderId="6" xfId="0" applyFont="1" applyFill="1" applyBorder="1" applyAlignment="1">
      <alignment horizontal="center"/>
    </xf>
    <xf numFmtId="0" fontId="5" fillId="8" borderId="8" xfId="0" applyFont="1" applyFill="1" applyBorder="1" applyAlignment="1">
      <alignment horizontal="center"/>
    </xf>
    <xf numFmtId="0" fontId="15" fillId="4" borderId="0" xfId="0" applyFont="1" applyFill="1"/>
    <xf numFmtId="0" fontId="17" fillId="4" borderId="0" xfId="0" applyFont="1" applyFill="1" applyAlignment="1"/>
    <xf numFmtId="37" fontId="5" fillId="4" borderId="1" xfId="0" applyNumberFormat="1" applyFont="1" applyFill="1" applyBorder="1"/>
    <xf numFmtId="0" fontId="17" fillId="4" borderId="0" xfId="0" applyFont="1" applyFill="1"/>
    <xf numFmtId="3" fontId="5" fillId="4" borderId="0" xfId="0" applyNumberFormat="1" applyFont="1" applyFill="1" applyAlignment="1" applyProtection="1">
      <alignment horizontal="center"/>
    </xf>
    <xf numFmtId="0" fontId="13" fillId="4" borderId="0" xfId="0" applyFont="1" applyFill="1" applyAlignment="1" applyProtection="1">
      <alignment horizontal="center"/>
    </xf>
    <xf numFmtId="0" fontId="5" fillId="4" borderId="6" xfId="0" applyFont="1" applyFill="1" applyBorder="1" applyAlignment="1" applyProtection="1">
      <alignment horizontal="center" wrapText="1"/>
    </xf>
    <xf numFmtId="0" fontId="5" fillId="4" borderId="13" xfId="0" applyFont="1" applyFill="1" applyBorder="1" applyAlignment="1" applyProtection="1">
      <alignment horizontal="center" wrapText="1"/>
    </xf>
    <xf numFmtId="0" fontId="5" fillId="4" borderId="1" xfId="0" applyFont="1" applyFill="1" applyBorder="1" applyAlignment="1" applyProtection="1">
      <alignment horizontal="center" wrapText="1"/>
    </xf>
    <xf numFmtId="174" fontId="5" fillId="4" borderId="1" xfId="0" applyNumberFormat="1" applyFont="1" applyFill="1" applyBorder="1" applyAlignment="1" applyProtection="1">
      <alignment horizontal="center"/>
    </xf>
    <xf numFmtId="3" fontId="5" fillId="4" borderId="12" xfId="0" applyNumberFormat="1" applyFont="1" applyFill="1" applyBorder="1" applyAlignment="1" applyProtection="1">
      <alignment horizontal="center"/>
    </xf>
    <xf numFmtId="174" fontId="5" fillId="4" borderId="12" xfId="0" applyNumberFormat="1" applyFont="1" applyFill="1" applyBorder="1" applyAlignment="1" applyProtection="1">
      <alignment horizontal="center"/>
    </xf>
    <xf numFmtId="174" fontId="5" fillId="4" borderId="2" xfId="0" applyNumberFormat="1" applyFont="1" applyFill="1" applyBorder="1" applyAlignment="1" applyProtection="1">
      <alignment horizontal="center"/>
    </xf>
    <xf numFmtId="174" fontId="5" fillId="4" borderId="0" xfId="0" applyNumberFormat="1" applyFont="1" applyFill="1" applyBorder="1" applyAlignment="1" applyProtection="1">
      <alignment horizontal="center"/>
    </xf>
    <xf numFmtId="3" fontId="5" fillId="4" borderId="2" xfId="0" applyNumberFormat="1" applyFont="1" applyFill="1" applyBorder="1" applyAlignment="1">
      <alignment horizontal="center"/>
    </xf>
    <xf numFmtId="0" fontId="0" fillId="4" borderId="0" xfId="0" applyFill="1" applyAlignment="1">
      <alignment horizontal="center"/>
    </xf>
    <xf numFmtId="171" fontId="5" fillId="4" borderId="0" xfId="0" applyNumberFormat="1" applyFont="1" applyFill="1" applyBorder="1" applyProtection="1"/>
    <xf numFmtId="37" fontId="15" fillId="9" borderId="5" xfId="0" applyNumberFormat="1" applyFont="1" applyFill="1" applyBorder="1" applyAlignment="1" applyProtection="1">
      <alignment horizontal="center"/>
    </xf>
    <xf numFmtId="174" fontId="5" fillId="4" borderId="2" xfId="0" applyNumberFormat="1" applyFont="1" applyFill="1" applyBorder="1" applyAlignment="1">
      <alignment horizontal="center"/>
    </xf>
    <xf numFmtId="3" fontId="5" fillId="3" borderId="1" xfId="0" applyNumberFormat="1" applyFont="1" applyFill="1" applyBorder="1" applyAlignment="1" applyProtection="1">
      <alignment horizontal="center"/>
      <protection locked="0"/>
    </xf>
    <xf numFmtId="3" fontId="5" fillId="3" borderId="6" xfId="0" applyNumberFormat="1" applyFont="1" applyFill="1" applyBorder="1" applyAlignment="1" applyProtection="1">
      <alignment horizontal="center"/>
      <protection locked="0"/>
    </xf>
    <xf numFmtId="0" fontId="5" fillId="7" borderId="0" xfId="0" applyFont="1" applyFill="1"/>
    <xf numFmtId="0" fontId="5" fillId="7" borderId="0" xfId="0" applyFont="1" applyFill="1" applyProtection="1">
      <protection locked="0"/>
    </xf>
    <xf numFmtId="3" fontId="5" fillId="10" borderId="12" xfId="0" applyNumberFormat="1" applyFont="1" applyFill="1" applyBorder="1" applyAlignment="1" applyProtection="1">
      <alignment horizontal="center"/>
    </xf>
    <xf numFmtId="0" fontId="5" fillId="4" borderId="6" xfId="0" applyFont="1" applyFill="1" applyBorder="1" applyAlignment="1" applyProtection="1">
      <alignment wrapText="1"/>
    </xf>
    <xf numFmtId="0" fontId="5" fillId="7" borderId="0" xfId="2" applyFont="1" applyFill="1" applyProtection="1"/>
    <xf numFmtId="0" fontId="5" fillId="7" borderId="0" xfId="0" applyFont="1" applyFill="1" applyProtection="1"/>
    <xf numFmtId="0" fontId="6" fillId="0" borderId="0" xfId="0" applyFont="1"/>
    <xf numFmtId="0" fontId="4" fillId="3" borderId="0" xfId="0" applyFont="1" applyFill="1" applyAlignment="1" applyProtection="1">
      <alignment horizontal="left"/>
      <protection locked="0"/>
    </xf>
    <xf numFmtId="0" fontId="4" fillId="2" borderId="1" xfId="0" applyFont="1" applyFill="1" applyBorder="1" applyAlignment="1" applyProtection="1">
      <alignment horizontal="left"/>
      <protection locked="0"/>
    </xf>
    <xf numFmtId="0" fontId="4" fillId="3" borderId="1" xfId="0" applyFont="1" applyFill="1" applyBorder="1" applyAlignment="1" applyProtection="1">
      <alignment horizontal="left"/>
      <protection locked="0"/>
    </xf>
    <xf numFmtId="37" fontId="4" fillId="2" borderId="1" xfId="0" applyNumberFormat="1" applyFont="1" applyFill="1" applyBorder="1" applyProtection="1">
      <protection locked="0"/>
    </xf>
    <xf numFmtId="37" fontId="4" fillId="4" borderId="0" xfId="0" applyNumberFormat="1" applyFont="1" applyFill="1" applyBorder="1" applyProtection="1"/>
    <xf numFmtId="0" fontId="5" fillId="4" borderId="1" xfId="0" applyFont="1" applyFill="1" applyBorder="1" applyAlignment="1" applyProtection="1">
      <alignment horizontal="right"/>
    </xf>
    <xf numFmtId="0" fontId="5" fillId="2" borderId="1" xfId="0" applyFont="1" applyFill="1" applyBorder="1" applyAlignment="1" applyProtection="1">
      <alignment horizontal="right"/>
      <protection locked="0"/>
    </xf>
    <xf numFmtId="3" fontId="5" fillId="3" borderId="1" xfId="0" applyNumberFormat="1" applyFont="1" applyFill="1" applyBorder="1" applyProtection="1"/>
    <xf numFmtId="37" fontId="5" fillId="3" borderId="1" xfId="0" applyNumberFormat="1" applyFont="1" applyFill="1" applyBorder="1" applyProtection="1"/>
    <xf numFmtId="0" fontId="4" fillId="2" borderId="3" xfId="0" applyFont="1" applyFill="1" applyBorder="1" applyProtection="1">
      <protection locked="0"/>
    </xf>
    <xf numFmtId="0" fontId="0" fillId="4" borderId="0" xfId="0" applyFill="1" applyBorder="1" applyAlignment="1" applyProtection="1"/>
    <xf numFmtId="0" fontId="15" fillId="4" borderId="0" xfId="0" applyFont="1" applyFill="1" applyBorder="1" applyAlignment="1" applyProtection="1">
      <alignment horizontal="center"/>
    </xf>
    <xf numFmtId="0" fontId="3" fillId="0" borderId="0" xfId="0" applyFont="1"/>
    <xf numFmtId="0" fontId="3" fillId="4" borderId="0" xfId="0" applyFont="1" applyFill="1"/>
    <xf numFmtId="3" fontId="5" fillId="0" borderId="0" xfId="0" applyNumberFormat="1" applyFont="1" applyFill="1" applyBorder="1" applyProtection="1"/>
    <xf numFmtId="37" fontId="4" fillId="4" borderId="1" xfId="0" applyNumberFormat="1" applyFont="1" applyFill="1" applyBorder="1" applyProtection="1"/>
    <xf numFmtId="37" fontId="5" fillId="4" borderId="1" xfId="0" applyNumberFormat="1" applyFont="1" applyFill="1" applyBorder="1" applyAlignment="1" applyProtection="1">
      <alignment horizontal="right"/>
    </xf>
    <xf numFmtId="0" fontId="19" fillId="0" borderId="0" xfId="0" applyFont="1"/>
    <xf numFmtId="0" fontId="4" fillId="3" borderId="3" xfId="0" applyFont="1" applyFill="1" applyBorder="1" applyAlignment="1" applyProtection="1">
      <alignment horizontal="left"/>
      <protection locked="0"/>
    </xf>
    <xf numFmtId="0" fontId="5" fillId="0" borderId="0" xfId="0" quotePrefix="1" applyFont="1" applyProtection="1">
      <protection locked="0"/>
    </xf>
    <xf numFmtId="0" fontId="5" fillId="0" borderId="0" xfId="0" applyFont="1" applyFill="1" applyProtection="1">
      <protection locked="0"/>
    </xf>
    <xf numFmtId="0" fontId="4" fillId="0" borderId="0" xfId="0" applyFont="1" applyProtection="1">
      <protection locked="0"/>
    </xf>
    <xf numFmtId="0" fontId="13" fillId="4" borderId="0" xfId="0" applyFont="1" applyFill="1" applyBorder="1" applyAlignment="1" applyProtection="1">
      <alignment horizontal="center"/>
    </xf>
    <xf numFmtId="0" fontId="0" fillId="4" borderId="0" xfId="0" applyFill="1" applyBorder="1"/>
    <xf numFmtId="0" fontId="0" fillId="0" borderId="0" xfId="0" applyBorder="1"/>
    <xf numFmtId="1" fontId="5" fillId="4" borderId="0" xfId="0" applyNumberFormat="1" applyFont="1" applyFill="1" applyBorder="1" applyAlignment="1" applyProtection="1">
      <alignment horizontal="center"/>
    </xf>
    <xf numFmtId="37" fontId="5" fillId="4" borderId="0" xfId="0" applyNumberFormat="1" applyFont="1" applyFill="1" applyBorder="1" applyAlignment="1" applyProtection="1">
      <alignment horizontal="center"/>
    </xf>
    <xf numFmtId="0" fontId="5" fillId="4" borderId="5" xfId="0" applyFont="1" applyFill="1" applyBorder="1" applyAlignment="1" applyProtection="1">
      <alignment horizontal="center"/>
    </xf>
    <xf numFmtId="0" fontId="5" fillId="2" borderId="16" xfId="0" applyFont="1" applyFill="1" applyBorder="1" applyProtection="1">
      <protection locked="0"/>
    </xf>
    <xf numFmtId="0" fontId="4" fillId="3" borderId="15" xfId="0" applyFont="1" applyFill="1" applyBorder="1" applyAlignment="1" applyProtection="1">
      <alignment horizontal="left"/>
    </xf>
    <xf numFmtId="0" fontId="20" fillId="0" borderId="0" xfId="0" applyFont="1"/>
    <xf numFmtId="0" fontId="3" fillId="11" borderId="0" xfId="0" applyFont="1" applyFill="1"/>
    <xf numFmtId="0" fontId="0" fillId="11" borderId="0" xfId="0" applyFill="1"/>
    <xf numFmtId="37" fontId="4" fillId="12" borderId="1" xfId="0" applyNumberFormat="1" applyFont="1" applyFill="1" applyBorder="1" applyProtection="1">
      <protection locked="0"/>
    </xf>
    <xf numFmtId="0" fontId="19" fillId="0" borderId="0" xfId="0" applyFont="1" applyFill="1" applyProtection="1">
      <protection locked="0"/>
    </xf>
    <xf numFmtId="0" fontId="5" fillId="4" borderId="0" xfId="0" applyNumberFormat="1" applyFont="1" applyFill="1" applyBorder="1" applyAlignment="1" applyProtection="1">
      <alignment horizontal="right"/>
    </xf>
    <xf numFmtId="0" fontId="0" fillId="0" borderId="0" xfId="0" applyBorder="1" applyAlignment="1">
      <alignment horizontal="right"/>
    </xf>
    <xf numFmtId="0" fontId="2" fillId="13" borderId="0" xfId="0" applyFont="1" applyFill="1"/>
    <xf numFmtId="3" fontId="5" fillId="10" borderId="0" xfId="0" applyNumberFormat="1" applyFont="1" applyFill="1" applyBorder="1" applyProtection="1"/>
    <xf numFmtId="37" fontId="5" fillId="0" borderId="0" xfId="0" applyNumberFormat="1" applyFont="1" applyFill="1" applyBorder="1" applyAlignment="1" applyProtection="1">
      <alignment horizontal="left"/>
    </xf>
    <xf numFmtId="1" fontId="5" fillId="0" borderId="0" xfId="0" applyNumberFormat="1" applyFont="1" applyFill="1" applyBorder="1" applyAlignment="1" applyProtection="1">
      <alignment horizontal="center"/>
    </xf>
    <xf numFmtId="37" fontId="5" fillId="0" borderId="0" xfId="0" applyNumberFormat="1" applyFont="1" applyFill="1" applyBorder="1" applyAlignment="1" applyProtection="1">
      <alignment horizontal="center"/>
    </xf>
    <xf numFmtId="0" fontId="0" fillId="0" borderId="0" xfId="0" applyFill="1" applyBorder="1"/>
    <xf numFmtId="0" fontId="2" fillId="0" borderId="0" xfId="0" applyFont="1" applyFill="1" applyBorder="1"/>
    <xf numFmtId="0" fontId="5" fillId="0" borderId="0" xfId="0" applyFont="1" applyFill="1" applyBorder="1" applyAlignment="1" applyProtection="1">
      <alignment horizontal="right"/>
    </xf>
    <xf numFmtId="3" fontId="5" fillId="0" borderId="0" xfId="0" applyNumberFormat="1" applyFont="1" applyFill="1" applyBorder="1" applyAlignment="1" applyProtection="1">
      <alignment horizontal="center"/>
    </xf>
    <xf numFmtId="0" fontId="13" fillId="0" borderId="0" xfId="0" applyFont="1" applyFill="1" applyBorder="1" applyAlignment="1" applyProtection="1">
      <alignment horizontal="center"/>
    </xf>
    <xf numFmtId="0" fontId="3" fillId="0" borderId="0" xfId="0" applyFont="1" applyFill="1" applyBorder="1"/>
    <xf numFmtId="164" fontId="5" fillId="2" borderId="0" xfId="0" applyNumberFormat="1" applyFont="1" applyFill="1" applyBorder="1" applyProtection="1">
      <protection locked="0"/>
    </xf>
    <xf numFmtId="37" fontId="5" fillId="4" borderId="0" xfId="0" applyNumberFormat="1" applyFont="1" applyFill="1" applyBorder="1"/>
    <xf numFmtId="3" fontId="5" fillId="3" borderId="0" xfId="0" applyNumberFormat="1" applyFont="1" applyFill="1" applyBorder="1" applyProtection="1">
      <protection locked="0"/>
    </xf>
    <xf numFmtId="0" fontId="2" fillId="0" borderId="0" xfId="0" applyFont="1" applyFill="1"/>
    <xf numFmtId="0" fontId="19" fillId="0" borderId="0" xfId="0" applyFont="1" applyFill="1"/>
    <xf numFmtId="3" fontId="5" fillId="14" borderId="1" xfId="0" applyNumberFormat="1" applyFont="1" applyFill="1" applyBorder="1" applyProtection="1"/>
    <xf numFmtId="0" fontId="5" fillId="15" borderId="0" xfId="0" applyFont="1" applyFill="1" applyBorder="1" applyProtection="1"/>
    <xf numFmtId="37" fontId="5" fillId="4" borderId="0" xfId="0" applyNumberFormat="1" applyFont="1" applyFill="1" applyBorder="1" applyAlignment="1" applyProtection="1">
      <alignment horizontal="right"/>
    </xf>
    <xf numFmtId="0" fontId="2" fillId="16" borderId="0" xfId="0" applyFont="1" applyFill="1"/>
    <xf numFmtId="0" fontId="0" fillId="16" borderId="0" xfId="0" applyFill="1"/>
    <xf numFmtId="0" fontId="5" fillId="16" borderId="0" xfId="0" applyFont="1" applyFill="1" applyAlignment="1" applyProtection="1">
      <alignment horizontal="right"/>
    </xf>
    <xf numFmtId="0" fontId="13" fillId="16" borderId="0" xfId="0" applyFont="1" applyFill="1" applyAlignment="1" applyProtection="1">
      <alignment horizontal="center"/>
    </xf>
    <xf numFmtId="0" fontId="5" fillId="17" borderId="0" xfId="4" applyFont="1" applyFill="1"/>
    <xf numFmtId="0" fontId="3" fillId="0" borderId="0" xfId="4"/>
    <xf numFmtId="0" fontId="5" fillId="17" borderId="0" xfId="4" applyFont="1" applyFill="1" applyAlignment="1">
      <alignment vertical="center"/>
    </xf>
    <xf numFmtId="37" fontId="5" fillId="17" borderId="0" xfId="4" applyNumberFormat="1" applyFont="1" applyFill="1" applyAlignment="1">
      <alignment vertical="center"/>
    </xf>
    <xf numFmtId="0" fontId="5" fillId="17" borderId="2" xfId="4" applyFont="1" applyFill="1" applyBorder="1" applyAlignment="1">
      <alignment vertical="center"/>
    </xf>
    <xf numFmtId="0" fontId="5" fillId="17" borderId="0" xfId="4" applyFont="1" applyFill="1" applyAlignment="1">
      <alignment horizontal="center" vertical="center"/>
    </xf>
    <xf numFmtId="0" fontId="6" fillId="17" borderId="0" xfId="4" applyFont="1" applyFill="1" applyAlignment="1">
      <alignment horizontal="center" vertical="center"/>
    </xf>
    <xf numFmtId="175" fontId="5" fillId="17" borderId="0" xfId="4" applyNumberFormat="1" applyFont="1" applyFill="1" applyAlignment="1">
      <alignment vertical="center"/>
    </xf>
    <xf numFmtId="175" fontId="5" fillId="17" borderId="10" xfId="4" applyNumberFormat="1" applyFont="1" applyFill="1" applyBorder="1" applyAlignment="1">
      <alignment vertical="center"/>
    </xf>
    <xf numFmtId="6" fontId="5" fillId="17" borderId="0" xfId="4" applyNumberFormat="1" applyFont="1" applyFill="1" applyBorder="1" applyAlignment="1">
      <alignment vertical="center"/>
    </xf>
    <xf numFmtId="175" fontId="5" fillId="17" borderId="0" xfId="4" applyNumberFormat="1" applyFont="1" applyFill="1" applyBorder="1" applyAlignment="1">
      <alignment vertical="center"/>
    </xf>
    <xf numFmtId="0" fontId="19" fillId="13" borderId="0" xfId="4" applyFont="1" applyFill="1" applyAlignment="1">
      <alignment vertical="center"/>
    </xf>
    <xf numFmtId="0" fontId="19" fillId="17" borderId="0" xfId="4" applyFont="1" applyFill="1" applyAlignment="1">
      <alignment horizontal="center" vertical="center"/>
    </xf>
    <xf numFmtId="174" fontId="5" fillId="17" borderId="0" xfId="4" applyNumberFormat="1" applyFont="1" applyFill="1" applyAlignment="1">
      <alignment horizontal="center" vertical="center"/>
    </xf>
    <xf numFmtId="176" fontId="19" fillId="17" borderId="0" xfId="4" applyNumberFormat="1" applyFont="1" applyFill="1" applyAlignment="1">
      <alignment horizontal="center" vertical="center"/>
    </xf>
    <xf numFmtId="0" fontId="19" fillId="13" borderId="0" xfId="4" applyFont="1" applyFill="1" applyAlignment="1">
      <alignment horizontal="center" vertical="center"/>
    </xf>
    <xf numFmtId="0" fontId="21" fillId="13" borderId="0" xfId="4" applyFont="1" applyFill="1" applyAlignment="1">
      <alignment horizontal="center" vertical="center"/>
    </xf>
    <xf numFmtId="0" fontId="5" fillId="17" borderId="0" xfId="4" applyFont="1" applyFill="1" applyAlignment="1">
      <alignment horizontal="right" vertical="center"/>
    </xf>
    <xf numFmtId="0" fontId="5" fillId="17" borderId="0" xfId="4" applyFont="1" applyFill="1" applyAlignment="1">
      <alignment horizontal="left" vertical="center"/>
    </xf>
    <xf numFmtId="0" fontId="5" fillId="17" borderId="0" xfId="6" applyFont="1" applyFill="1"/>
    <xf numFmtId="0" fontId="3" fillId="17" borderId="0" xfId="4" applyFill="1"/>
    <xf numFmtId="0" fontId="4" fillId="17" borderId="0" xfId="6" applyFont="1" applyFill="1"/>
    <xf numFmtId="0" fontId="3" fillId="17" borderId="0" xfId="6" applyFill="1"/>
    <xf numFmtId="0" fontId="22" fillId="18" borderId="0" xfId="7" applyFill="1" applyAlignment="1" applyProtection="1"/>
    <xf numFmtId="0" fontId="3" fillId="18" borderId="0" xfId="6" applyFill="1"/>
    <xf numFmtId="0" fontId="3" fillId="18" borderId="0" xfId="4" applyFill="1"/>
    <xf numFmtId="0" fontId="22" fillId="0" borderId="0" xfId="7" applyAlignment="1" applyProtection="1"/>
    <xf numFmtId="0" fontId="5" fillId="0" borderId="0" xfId="0" applyFont="1" applyFill="1" applyAlignment="1">
      <alignment horizontal="left"/>
    </xf>
    <xf numFmtId="0" fontId="4" fillId="0" borderId="0" xfId="0" applyFont="1" applyFill="1"/>
    <xf numFmtId="0" fontId="4" fillId="0" borderId="0" xfId="0" applyFont="1" applyFill="1" applyProtection="1">
      <protection locked="0"/>
    </xf>
    <xf numFmtId="0" fontId="15" fillId="0" borderId="0" xfId="0" applyFont="1" applyFill="1" applyProtection="1"/>
    <xf numFmtId="43" fontId="5" fillId="0" borderId="0" xfId="1" applyFont="1" applyFill="1" applyProtection="1">
      <protection locked="0"/>
    </xf>
    <xf numFmtId="0" fontId="5" fillId="0" borderId="0" xfId="0" quotePrefix="1" applyFont="1" applyFill="1" applyProtection="1">
      <protection locked="0"/>
    </xf>
    <xf numFmtId="43" fontId="4" fillId="0" borderId="0" xfId="1" applyFont="1" applyFill="1" applyProtection="1">
      <protection locked="0"/>
    </xf>
    <xf numFmtId="0" fontId="6" fillId="0" borderId="0" xfId="0" applyFont="1" applyFill="1" applyProtection="1">
      <protection locked="0"/>
    </xf>
    <xf numFmtId="0" fontId="8" fillId="0" borderId="0" xfId="0" applyFont="1" applyFill="1" applyProtection="1">
      <protection locked="0"/>
    </xf>
    <xf numFmtId="0" fontId="0" fillId="0" borderId="0" xfId="0" applyFill="1"/>
    <xf numFmtId="0" fontId="3" fillId="0" borderId="0" xfId="0" applyFont="1" applyFill="1"/>
    <xf numFmtId="0" fontId="20" fillId="0" borderId="0" xfId="0" applyFont="1" applyFill="1"/>
    <xf numFmtId="37" fontId="13" fillId="4" borderId="0" xfId="0" applyNumberFormat="1" applyFont="1" applyFill="1" applyAlignment="1" applyProtection="1">
      <alignment horizontal="center" vertical="justify"/>
    </xf>
    <xf numFmtId="0" fontId="14" fillId="0" borderId="0" xfId="0" applyFont="1" applyAlignment="1">
      <alignment horizontal="center" vertical="justify"/>
    </xf>
    <xf numFmtId="37" fontId="12" fillId="4" borderId="0" xfId="0" applyNumberFormat="1" applyFont="1" applyFill="1" applyAlignment="1" applyProtection="1">
      <alignment horizontal="left"/>
    </xf>
    <xf numFmtId="0" fontId="0" fillId="0" borderId="0" xfId="0" applyAlignment="1">
      <alignment horizontal="left"/>
    </xf>
    <xf numFmtId="0" fontId="15" fillId="4" borderId="0" xfId="0" applyFont="1" applyFill="1" applyBorder="1" applyAlignment="1"/>
    <xf numFmtId="0" fontId="17" fillId="0" borderId="0" xfId="0" applyFont="1" applyAlignment="1"/>
    <xf numFmtId="37" fontId="12" fillId="4" borderId="0" xfId="0" applyNumberFormat="1" applyFont="1" applyFill="1" applyBorder="1" applyAlignment="1" applyProtection="1">
      <alignment horizontal="center"/>
    </xf>
    <xf numFmtId="0" fontId="0" fillId="0" borderId="0" xfId="0" applyAlignment="1">
      <alignment horizontal="center"/>
    </xf>
    <xf numFmtId="0" fontId="5" fillId="7" borderId="10" xfId="0" applyFont="1" applyFill="1" applyBorder="1" applyAlignment="1">
      <alignment wrapText="1"/>
    </xf>
    <xf numFmtId="0" fontId="0" fillId="0" borderId="10" xfId="0" applyBorder="1" applyAlignment="1">
      <alignment wrapText="1"/>
    </xf>
    <xf numFmtId="0" fontId="4" fillId="8" borderId="0" xfId="0" applyFont="1" applyFill="1" applyBorder="1" applyAlignment="1">
      <alignment horizontal="center"/>
    </xf>
    <xf numFmtId="0" fontId="2" fillId="8" borderId="0" xfId="0" applyFont="1" applyFill="1" applyBorder="1" applyAlignment="1">
      <alignment horizontal="center"/>
    </xf>
    <xf numFmtId="37" fontId="6" fillId="4" borderId="0" xfId="0" applyNumberFormat="1" applyFont="1" applyFill="1" applyAlignment="1" applyProtection="1">
      <alignment horizontal="center"/>
    </xf>
    <xf numFmtId="0" fontId="0" fillId="4" borderId="0" xfId="0" applyFill="1" applyAlignment="1" applyProtection="1">
      <alignment horizontal="center"/>
    </xf>
    <xf numFmtId="0" fontId="5" fillId="4" borderId="0" xfId="0" applyFont="1" applyFill="1" applyAlignment="1" applyProtection="1">
      <alignment horizontal="center"/>
    </xf>
    <xf numFmtId="37" fontId="5" fillId="4" borderId="0" xfId="0" applyNumberFormat="1" applyFont="1" applyFill="1" applyAlignment="1" applyProtection="1">
      <alignment horizontal="center"/>
    </xf>
    <xf numFmtId="0" fontId="10" fillId="8" borderId="10" xfId="0" applyFont="1" applyFill="1" applyBorder="1" applyAlignment="1" applyProtection="1">
      <alignment horizontal="center" wrapText="1" shrinkToFit="1"/>
    </xf>
    <xf numFmtId="0" fontId="0" fillId="0" borderId="0" xfId="0" applyAlignment="1" applyProtection="1">
      <alignment horizontal="center" wrapText="1"/>
    </xf>
    <xf numFmtId="0" fontId="7" fillId="4" borderId="0" xfId="0" applyFont="1" applyFill="1" applyAlignment="1">
      <alignment horizontal="center"/>
    </xf>
    <xf numFmtId="37" fontId="4" fillId="4" borderId="0" xfId="0" applyNumberFormat="1" applyFont="1" applyFill="1" applyAlignment="1">
      <alignment horizontal="center"/>
    </xf>
    <xf numFmtId="0" fontId="4" fillId="4" borderId="0" xfId="0" applyFont="1" applyFill="1" applyAlignment="1">
      <alignment horizontal="center"/>
    </xf>
    <xf numFmtId="37" fontId="4" fillId="4" borderId="0" xfId="0" applyNumberFormat="1" applyFont="1" applyFill="1" applyAlignment="1" applyProtection="1">
      <alignment horizontal="center"/>
    </xf>
    <xf numFmtId="37" fontId="5" fillId="4" borderId="3" xfId="0" applyNumberFormat="1" applyFont="1" applyFill="1" applyBorder="1" applyAlignment="1" applyProtection="1">
      <alignment horizontal="center"/>
    </xf>
    <xf numFmtId="37" fontId="5" fillId="4" borderId="4" xfId="0" applyNumberFormat="1" applyFont="1" applyFill="1" applyBorder="1" applyAlignment="1" applyProtection="1">
      <alignment horizontal="center"/>
    </xf>
    <xf numFmtId="0" fontId="0" fillId="0" borderId="5" xfId="0" applyBorder="1" applyAlignment="1"/>
    <xf numFmtId="0" fontId="4" fillId="4" borderId="0" xfId="0" applyFont="1" applyFill="1" applyAlignment="1" applyProtection="1">
      <alignment horizontal="center"/>
    </xf>
    <xf numFmtId="0" fontId="5" fillId="4" borderId="16" xfId="0" applyFont="1" applyFill="1" applyBorder="1" applyAlignment="1" applyProtection="1">
      <alignment horizontal="center"/>
    </xf>
    <xf numFmtId="0" fontId="0" fillId="0" borderId="15" xfId="0" applyBorder="1" applyAlignment="1" applyProtection="1"/>
    <xf numFmtId="1" fontId="5" fillId="4" borderId="16" xfId="0" applyNumberFormat="1" applyFont="1" applyFill="1" applyBorder="1" applyAlignment="1" applyProtection="1">
      <alignment horizontal="center"/>
    </xf>
    <xf numFmtId="0" fontId="0" fillId="0" borderId="15" xfId="0" applyBorder="1" applyAlignment="1" applyProtection="1">
      <alignment horizontal="center"/>
    </xf>
    <xf numFmtId="0" fontId="12" fillId="17" borderId="0" xfId="5" applyFont="1" applyFill="1" applyAlignment="1">
      <alignment horizontal="center"/>
    </xf>
    <xf numFmtId="0" fontId="3" fillId="17" borderId="0" xfId="4" applyFill="1" applyAlignment="1">
      <alignment horizontal="center"/>
    </xf>
    <xf numFmtId="0" fontId="4" fillId="17" borderId="0" xfId="4" applyFont="1" applyFill="1" applyAlignment="1">
      <alignment horizontal="center" vertical="center"/>
    </xf>
    <xf numFmtId="0" fontId="12" fillId="17" borderId="0" xfId="4" applyFont="1" applyFill="1" applyAlignment="1">
      <alignment horizontal="center" vertical="center"/>
    </xf>
    <xf numFmtId="0" fontId="5" fillId="17" borderId="0" xfId="4" applyFont="1" applyFill="1" applyAlignment="1">
      <alignment vertical="center" wrapText="1"/>
    </xf>
    <xf numFmtId="0" fontId="5" fillId="4" borderId="0" xfId="0" applyNumberFormat="1" applyFont="1" applyFill="1" applyBorder="1" applyAlignment="1" applyProtection="1">
      <alignment horizontal="right"/>
    </xf>
    <xf numFmtId="0" fontId="0" fillId="0" borderId="18" xfId="0" applyBorder="1"/>
    <xf numFmtId="37" fontId="5" fillId="4" borderId="0" xfId="0" applyNumberFormat="1" applyFont="1" applyFill="1" applyAlignment="1" applyProtection="1">
      <alignment horizontal="right"/>
    </xf>
    <xf numFmtId="0" fontId="0" fillId="0" borderId="0" xfId="0" applyAlignment="1">
      <alignment horizontal="right"/>
    </xf>
    <xf numFmtId="0" fontId="4" fillId="3" borderId="1" xfId="0" applyFont="1" applyFill="1" applyBorder="1" applyAlignment="1" applyProtection="1">
      <alignment horizontal="left"/>
      <protection locked="0"/>
    </xf>
    <xf numFmtId="0" fontId="0" fillId="0" borderId="1" xfId="0" applyBorder="1" applyAlignment="1"/>
    <xf numFmtId="0" fontId="4" fillId="2" borderId="3" xfId="0" applyFont="1" applyFill="1" applyBorder="1" applyAlignment="1" applyProtection="1">
      <alignment horizontal="left"/>
      <protection locked="0"/>
    </xf>
    <xf numFmtId="0" fontId="0" fillId="0" borderId="5" xfId="0" applyBorder="1" applyAlignment="1">
      <alignment horizontal="left"/>
    </xf>
    <xf numFmtId="0" fontId="0" fillId="0" borderId="18" xfId="0" applyBorder="1" applyAlignment="1">
      <alignment horizontal="right"/>
    </xf>
    <xf numFmtId="0" fontId="0" fillId="0" borderId="0" xfId="0" applyBorder="1" applyAlignment="1">
      <alignment horizontal="right"/>
    </xf>
    <xf numFmtId="0" fontId="5" fillId="3" borderId="0" xfId="0" applyFont="1" applyFill="1" applyAlignment="1" applyProtection="1">
      <alignment horizontal="center"/>
      <protection locked="0"/>
    </xf>
    <xf numFmtId="0" fontId="0" fillId="3" borderId="0" xfId="0" applyFill="1" applyAlignment="1" applyProtection="1">
      <protection locked="0"/>
    </xf>
    <xf numFmtId="37" fontId="5" fillId="3" borderId="0" xfId="0" applyNumberFormat="1" applyFont="1" applyFill="1" applyAlignment="1" applyProtection="1">
      <alignment horizontal="center"/>
      <protection locked="0"/>
    </xf>
    <xf numFmtId="0" fontId="5" fillId="4" borderId="0" xfId="0" applyFont="1" applyFill="1" applyAlignment="1">
      <alignment horizontal="right"/>
    </xf>
    <xf numFmtId="0" fontId="0" fillId="0" borderId="0" xfId="0" applyAlignment="1" applyProtection="1"/>
    <xf numFmtId="0" fontId="5" fillId="4" borderId="0" xfId="0" applyFont="1" applyFill="1" applyAlignment="1" applyProtection="1">
      <alignment horizontal="right"/>
    </xf>
    <xf numFmtId="0" fontId="0" fillId="0" borderId="0" xfId="0" applyAlignment="1"/>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cellXfs>
  <cellStyles count="302">
    <cellStyle name="Comma" xfId="1" builtinId="3"/>
    <cellStyle name="Comma 11 2" xfId="8"/>
    <cellStyle name="Comma 16" xfId="9"/>
    <cellStyle name="Comma 16 2" xfId="10"/>
    <cellStyle name="Comma 16 3" xfId="11"/>
    <cellStyle name="Comma 2 2" xfId="12"/>
    <cellStyle name="Hyperlink" xfId="7" builtinId="8"/>
    <cellStyle name="Hyperlink 7 2" xfId="13"/>
    <cellStyle name="Normal" xfId="0" builtinId="0"/>
    <cellStyle name="Normal 10 2" xfId="14"/>
    <cellStyle name="Normal 10 2 2" xfId="6"/>
    <cellStyle name="Normal 10 3" xfId="15"/>
    <cellStyle name="Normal 10 4" xfId="16"/>
    <cellStyle name="Normal 10 5" xfId="4"/>
    <cellStyle name="Normal 10 6" xfId="17"/>
    <cellStyle name="Normal 11 2" xfId="18"/>
    <cellStyle name="Normal 11 3" xfId="19"/>
    <cellStyle name="Normal 11 4" xfId="20"/>
    <cellStyle name="Normal 12" xfId="21"/>
    <cellStyle name="Normal 12 10" xfId="22"/>
    <cellStyle name="Normal 12 11" xfId="23"/>
    <cellStyle name="Normal 12 12" xfId="24"/>
    <cellStyle name="Normal 12 2" xfId="25"/>
    <cellStyle name="Normal 12 2 2" xfId="26"/>
    <cellStyle name="Normal 12 3" xfId="27"/>
    <cellStyle name="Normal 12 4" xfId="28"/>
    <cellStyle name="Normal 12 5" xfId="29"/>
    <cellStyle name="Normal 12 6" xfId="30"/>
    <cellStyle name="Normal 12 7" xfId="31"/>
    <cellStyle name="Normal 12 8" xfId="32"/>
    <cellStyle name="Normal 12 9" xfId="33"/>
    <cellStyle name="Normal 13" xfId="34"/>
    <cellStyle name="Normal 13 10" xfId="35"/>
    <cellStyle name="Normal 13 11" xfId="36"/>
    <cellStyle name="Normal 13 12" xfId="37"/>
    <cellStyle name="Normal 13 2" xfId="38"/>
    <cellStyle name="Normal 13 2 2" xfId="39"/>
    <cellStyle name="Normal 13 3" xfId="40"/>
    <cellStyle name="Normal 13 4" xfId="41"/>
    <cellStyle name="Normal 13 5" xfId="42"/>
    <cellStyle name="Normal 13 6" xfId="43"/>
    <cellStyle name="Normal 13 7" xfId="44"/>
    <cellStyle name="Normal 13 8" xfId="45"/>
    <cellStyle name="Normal 13 9" xfId="46"/>
    <cellStyle name="Normal 14 2" xfId="47"/>
    <cellStyle name="Normal 14 3" xfId="48"/>
    <cellStyle name="Normal 14 4" xfId="49"/>
    <cellStyle name="Normal 14 5" xfId="50"/>
    <cellStyle name="Normal 14 6" xfId="51"/>
    <cellStyle name="Normal 15 2" xfId="52"/>
    <cellStyle name="Normal 15 3" xfId="53"/>
    <cellStyle name="Normal 15 4" xfId="54"/>
    <cellStyle name="Normal 16 2" xfId="55"/>
    <cellStyle name="Normal 16 3" xfId="56"/>
    <cellStyle name="Normal 16 4" xfId="57"/>
    <cellStyle name="Normal 17 2" xfId="58"/>
    <cellStyle name="Normal 17 3" xfId="59"/>
    <cellStyle name="Normal 17 4" xfId="60"/>
    <cellStyle name="Normal 18 2" xfId="61"/>
    <cellStyle name="Normal 18 2 2" xfId="62"/>
    <cellStyle name="Normal 18 2 3" xfId="63"/>
    <cellStyle name="Normal 18 3" xfId="64"/>
    <cellStyle name="Normal 18 4" xfId="65"/>
    <cellStyle name="Normal 18 5" xfId="66"/>
    <cellStyle name="Normal 18 6" xfId="67"/>
    <cellStyle name="Normal 18 7" xfId="68"/>
    <cellStyle name="Normal 19 2" xfId="69"/>
    <cellStyle name="Normal 19 2 2" xfId="70"/>
    <cellStyle name="Normal 19 2 3" xfId="71"/>
    <cellStyle name="Normal 19 3" xfId="72"/>
    <cellStyle name="Normal 19 4" xfId="73"/>
    <cellStyle name="Normal 19 5" xfId="74"/>
    <cellStyle name="Normal 19 6" xfId="75"/>
    <cellStyle name="Normal 2 10" xfId="76"/>
    <cellStyle name="Normal 2 10 10" xfId="77"/>
    <cellStyle name="Normal 2 10 2" xfId="78"/>
    <cellStyle name="Normal 2 10 2 2" xfId="79"/>
    <cellStyle name="Normal 2 10 3" xfId="80"/>
    <cellStyle name="Normal 2 10 3 2" xfId="81"/>
    <cellStyle name="Normal 2 10 4" xfId="82"/>
    <cellStyle name="Normal 2 10 4 2" xfId="83"/>
    <cellStyle name="Normal 2 10 5" xfId="84"/>
    <cellStyle name="Normal 2 10 5 2" xfId="85"/>
    <cellStyle name="Normal 2 10 6" xfId="86"/>
    <cellStyle name="Normal 2 10 6 2" xfId="87"/>
    <cellStyle name="Normal 2 10 7" xfId="88"/>
    <cellStyle name="Normal 2 10 7 2" xfId="89"/>
    <cellStyle name="Normal 2 10 8" xfId="90"/>
    <cellStyle name="Normal 2 10 8 2" xfId="91"/>
    <cellStyle name="Normal 2 10 9" xfId="92"/>
    <cellStyle name="Normal 2 11" xfId="93"/>
    <cellStyle name="Normal 2 11 10" xfId="94"/>
    <cellStyle name="Normal 2 11 2" xfId="95"/>
    <cellStyle name="Normal 2 11 2 2" xfId="96"/>
    <cellStyle name="Normal 2 11 3" xfId="97"/>
    <cellStyle name="Normal 2 11 3 2" xfId="98"/>
    <cellStyle name="Normal 2 11 4" xfId="99"/>
    <cellStyle name="Normal 2 11 4 2" xfId="100"/>
    <cellStyle name="Normal 2 11 5" xfId="101"/>
    <cellStyle name="Normal 2 11 5 2" xfId="102"/>
    <cellStyle name="Normal 2 11 6" xfId="103"/>
    <cellStyle name="Normal 2 11 6 2" xfId="104"/>
    <cellStyle name="Normal 2 11 7" xfId="105"/>
    <cellStyle name="Normal 2 11 7 2" xfId="106"/>
    <cellStyle name="Normal 2 11 8" xfId="107"/>
    <cellStyle name="Normal 2 11 8 2" xfId="108"/>
    <cellStyle name="Normal 2 11 9" xfId="109"/>
    <cellStyle name="Normal 2 12" xfId="110"/>
    <cellStyle name="Normal 2 13" xfId="111"/>
    <cellStyle name="Normal 2 14" xfId="112"/>
    <cellStyle name="Normal 2 15" xfId="113"/>
    <cellStyle name="Normal 2 2" xfId="114"/>
    <cellStyle name="Normal 2 2 10" xfId="115"/>
    <cellStyle name="Normal 2 2 10 2" xfId="116"/>
    <cellStyle name="Normal 2 2 11" xfId="117"/>
    <cellStyle name="Normal 2 2 11 2" xfId="118"/>
    <cellStyle name="Normal 2 2 12" xfId="119"/>
    <cellStyle name="Normal 2 2 12 2" xfId="120"/>
    <cellStyle name="Normal 2 2 13" xfId="121"/>
    <cellStyle name="Normal 2 2 13 2" xfId="122"/>
    <cellStyle name="Normal 2 2 14" xfId="123"/>
    <cellStyle name="Normal 2 2 14 2" xfId="124"/>
    <cellStyle name="Normal 2 2 15" xfId="125"/>
    <cellStyle name="Normal 2 2 15 2" xfId="126"/>
    <cellStyle name="Normal 2 2 16" xfId="127"/>
    <cellStyle name="Normal 2 2 17" xfId="128"/>
    <cellStyle name="Normal 2 2 18" xfId="129"/>
    <cellStyle name="Normal 2 2 19" xfId="130"/>
    <cellStyle name="Normal 2 2 2" xfId="131"/>
    <cellStyle name="Normal 2 2 2 2" xfId="132"/>
    <cellStyle name="Normal 2 2 2 2 2" xfId="133"/>
    <cellStyle name="Normal 2 2 2 3" xfId="134"/>
    <cellStyle name="Normal 2 2 2 3 2" xfId="135"/>
    <cellStyle name="Normal 2 2 2 4" xfId="136"/>
    <cellStyle name="Normal 2 2 2 4 2" xfId="137"/>
    <cellStyle name="Normal 2 2 2 5" xfId="138"/>
    <cellStyle name="Normal 2 2 2 5 2" xfId="139"/>
    <cellStyle name="Normal 2 2 2 6" xfId="140"/>
    <cellStyle name="Normal 2 2 2 6 2" xfId="141"/>
    <cellStyle name="Normal 2 2 2 7" xfId="142"/>
    <cellStyle name="Normal 2 2 2 8" xfId="143"/>
    <cellStyle name="Normal 2 2 20" xfId="144"/>
    <cellStyle name="Normal 2 2 21" xfId="145"/>
    <cellStyle name="Normal 2 2 3" xfId="146"/>
    <cellStyle name="Normal 2 2 3 2" xfId="147"/>
    <cellStyle name="Normal 2 2 4" xfId="148"/>
    <cellStyle name="Normal 2 2 4 2" xfId="149"/>
    <cellStyle name="Normal 2 2 5" xfId="150"/>
    <cellStyle name="Normal 2 2 5 2" xfId="151"/>
    <cellStyle name="Normal 2 2 6" xfId="152"/>
    <cellStyle name="Normal 2 2 6 2" xfId="153"/>
    <cellStyle name="Normal 2 2 7" xfId="154"/>
    <cellStyle name="Normal 2 2 7 2" xfId="155"/>
    <cellStyle name="Normal 2 2 8" xfId="156"/>
    <cellStyle name="Normal 2 2 8 2" xfId="157"/>
    <cellStyle name="Normal 2 2 9" xfId="158"/>
    <cellStyle name="Normal 2 2 9 2" xfId="159"/>
    <cellStyle name="Normal 2 3" xfId="160"/>
    <cellStyle name="Normal 2 3 10" xfId="161"/>
    <cellStyle name="Normal 2 3 11" xfId="162"/>
    <cellStyle name="Normal 2 3 12" xfId="163"/>
    <cellStyle name="Normal 2 3 13" xfId="164"/>
    <cellStyle name="Normal 2 3 14" xfId="165"/>
    <cellStyle name="Normal 2 3 2" xfId="166"/>
    <cellStyle name="Normal 2 3 2 2" xfId="167"/>
    <cellStyle name="Normal 2 3 3" xfId="168"/>
    <cellStyle name="Normal 2 3 3 2" xfId="169"/>
    <cellStyle name="Normal 2 3 4" xfId="170"/>
    <cellStyle name="Normal 2 3 5" xfId="171"/>
    <cellStyle name="Normal 2 3 6" xfId="172"/>
    <cellStyle name="Normal 2 3 7" xfId="173"/>
    <cellStyle name="Normal 2 3 8" xfId="174"/>
    <cellStyle name="Normal 2 3 9" xfId="175"/>
    <cellStyle name="Normal 2 4" xfId="176"/>
    <cellStyle name="Normal 2 4 10" xfId="177"/>
    <cellStyle name="Normal 2 4 11" xfId="178"/>
    <cellStyle name="Normal 2 4 2" xfId="179"/>
    <cellStyle name="Normal 2 4 2 2" xfId="180"/>
    <cellStyle name="Normal 2 4 3" xfId="181"/>
    <cellStyle name="Normal 2 4 3 2" xfId="182"/>
    <cellStyle name="Normal 2 4 4" xfId="183"/>
    <cellStyle name="Normal 2 4 5" xfId="184"/>
    <cellStyle name="Normal 2 4 6" xfId="185"/>
    <cellStyle name="Normal 2 4 7" xfId="186"/>
    <cellStyle name="Normal 2 4 8" xfId="187"/>
    <cellStyle name="Normal 2 4 9" xfId="188"/>
    <cellStyle name="Normal 2 5" xfId="189"/>
    <cellStyle name="Normal 2 5 10" xfId="190"/>
    <cellStyle name="Normal 2 5 11" xfId="191"/>
    <cellStyle name="Normal 2 5 2" xfId="192"/>
    <cellStyle name="Normal 2 5 2 2" xfId="193"/>
    <cellStyle name="Normal 2 5 3" xfId="194"/>
    <cellStyle name="Normal 2 5 3 2" xfId="195"/>
    <cellStyle name="Normal 2 5 4" xfId="196"/>
    <cellStyle name="Normal 2 5 5" xfId="197"/>
    <cellStyle name="Normal 2 5 6" xfId="198"/>
    <cellStyle name="Normal 2 5 7" xfId="199"/>
    <cellStyle name="Normal 2 5 8" xfId="200"/>
    <cellStyle name="Normal 2 5 9" xfId="201"/>
    <cellStyle name="Normal 2 6" xfId="202"/>
    <cellStyle name="Normal 2 6 10" xfId="203"/>
    <cellStyle name="Normal 2 6 11" xfId="204"/>
    <cellStyle name="Normal 2 6 2" xfId="205"/>
    <cellStyle name="Normal 2 6 2 2" xfId="206"/>
    <cellStyle name="Normal 2 6 3" xfId="207"/>
    <cellStyle name="Normal 2 6 3 2" xfId="208"/>
    <cellStyle name="Normal 2 6 4" xfId="209"/>
    <cellStyle name="Normal 2 6 5" xfId="210"/>
    <cellStyle name="Normal 2 6 6" xfId="211"/>
    <cellStyle name="Normal 2 6 7" xfId="212"/>
    <cellStyle name="Normal 2 6 8" xfId="213"/>
    <cellStyle name="Normal 2 6 9" xfId="214"/>
    <cellStyle name="Normal 2 7" xfId="215"/>
    <cellStyle name="Normal 2 7 10" xfId="216"/>
    <cellStyle name="Normal 2 7 2" xfId="217"/>
    <cellStyle name="Normal 2 7 2 2" xfId="218"/>
    <cellStyle name="Normal 2 7 3" xfId="219"/>
    <cellStyle name="Normal 2 7 3 2" xfId="220"/>
    <cellStyle name="Normal 2 7 4" xfId="221"/>
    <cellStyle name="Normal 2 7 4 2" xfId="222"/>
    <cellStyle name="Normal 2 7 5" xfId="223"/>
    <cellStyle name="Normal 2 7 5 2" xfId="224"/>
    <cellStyle name="Normal 2 7 6" xfId="225"/>
    <cellStyle name="Normal 2 7 6 2" xfId="226"/>
    <cellStyle name="Normal 2 7 7" xfId="227"/>
    <cellStyle name="Normal 2 7 7 2" xfId="228"/>
    <cellStyle name="Normal 2 7 8" xfId="229"/>
    <cellStyle name="Normal 2 7 8 2" xfId="230"/>
    <cellStyle name="Normal 2 7 9" xfId="231"/>
    <cellStyle name="Normal 2 8" xfId="232"/>
    <cellStyle name="Normal 2 8 10" xfId="233"/>
    <cellStyle name="Normal 2 8 2" xfId="234"/>
    <cellStyle name="Normal 2 8 2 2" xfId="235"/>
    <cellStyle name="Normal 2 8 3" xfId="236"/>
    <cellStyle name="Normal 2 8 3 2" xfId="237"/>
    <cellStyle name="Normal 2 8 4" xfId="238"/>
    <cellStyle name="Normal 2 8 4 2" xfId="239"/>
    <cellStyle name="Normal 2 8 5" xfId="240"/>
    <cellStyle name="Normal 2 8 5 2" xfId="241"/>
    <cellStyle name="Normal 2 8 6" xfId="242"/>
    <cellStyle name="Normal 2 8 6 2" xfId="243"/>
    <cellStyle name="Normal 2 8 7" xfId="244"/>
    <cellStyle name="Normal 2 8 7 2" xfId="245"/>
    <cellStyle name="Normal 2 8 8" xfId="246"/>
    <cellStyle name="Normal 2 8 8 2" xfId="247"/>
    <cellStyle name="Normal 2 8 9" xfId="248"/>
    <cellStyle name="Normal 2 9" xfId="249"/>
    <cellStyle name="Normal 2 9 10" xfId="250"/>
    <cellStyle name="Normal 2 9 2" xfId="251"/>
    <cellStyle name="Normal 2 9 2 2" xfId="252"/>
    <cellStyle name="Normal 2 9 3" xfId="253"/>
    <cellStyle name="Normal 2 9 3 2" xfId="254"/>
    <cellStyle name="Normal 2 9 4" xfId="255"/>
    <cellStyle name="Normal 2 9 4 2" xfId="256"/>
    <cellStyle name="Normal 2 9 5" xfId="257"/>
    <cellStyle name="Normal 2 9 5 2" xfId="258"/>
    <cellStyle name="Normal 2 9 6" xfId="259"/>
    <cellStyle name="Normal 2 9 6 2" xfId="260"/>
    <cellStyle name="Normal 2 9 7" xfId="261"/>
    <cellStyle name="Normal 2 9 7 2" xfId="262"/>
    <cellStyle name="Normal 2 9 8" xfId="263"/>
    <cellStyle name="Normal 2 9 8 2" xfId="264"/>
    <cellStyle name="Normal 2 9 9" xfId="265"/>
    <cellStyle name="Normal 20" xfId="266"/>
    <cellStyle name="Normal 20 2" xfId="267"/>
    <cellStyle name="Normal 20 3" xfId="268"/>
    <cellStyle name="Normal 21" xfId="269"/>
    <cellStyle name="Normal 22" xfId="270"/>
    <cellStyle name="Normal 22 2" xfId="271"/>
    <cellStyle name="Normal 22 3" xfId="272"/>
    <cellStyle name="Normal 23" xfId="273"/>
    <cellStyle name="Normal 23 2" xfId="274"/>
    <cellStyle name="Normal 23 3" xfId="275"/>
    <cellStyle name="Normal 24" xfId="276"/>
    <cellStyle name="Normal 24 2" xfId="277"/>
    <cellStyle name="Normal 24 3" xfId="278"/>
    <cellStyle name="Normal 25" xfId="279"/>
    <cellStyle name="Normal 25 2" xfId="280"/>
    <cellStyle name="Normal 25 3" xfId="281"/>
    <cellStyle name="Normal 26" xfId="282"/>
    <cellStyle name="Normal 3" xfId="283"/>
    <cellStyle name="Normal 3 2" xfId="284"/>
    <cellStyle name="Normal 3 3" xfId="285"/>
    <cellStyle name="Normal 3 4" xfId="286"/>
    <cellStyle name="Normal 3 5" xfId="287"/>
    <cellStyle name="Normal 3 6" xfId="288"/>
    <cellStyle name="Normal 3 7" xfId="289"/>
    <cellStyle name="Normal 4" xfId="290"/>
    <cellStyle name="Normal 4 2" xfId="291"/>
    <cellStyle name="Normal 5 2" xfId="292"/>
    <cellStyle name="Normal 5 3" xfId="293"/>
    <cellStyle name="Normal 6" xfId="294"/>
    <cellStyle name="Normal 6 2" xfId="295"/>
    <cellStyle name="Normal 7 2" xfId="296"/>
    <cellStyle name="Normal 7 3" xfId="297"/>
    <cellStyle name="Normal 7 4" xfId="298"/>
    <cellStyle name="Normal 8 2" xfId="5"/>
    <cellStyle name="Normal 9 2" xfId="299"/>
    <cellStyle name="Normal 9 3" xfId="300"/>
    <cellStyle name="Normal 9 4" xfId="301"/>
    <cellStyle name="Normal_debt" xfId="2"/>
    <cellStyle name="Normal_lpform" xfId="3"/>
  </cellStyles>
  <dxfs count="75">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xdr:col>
      <xdr:colOff>161925</xdr:colOff>
      <xdr:row>59</xdr:row>
      <xdr:rowOff>133350</xdr:rowOff>
    </xdr:from>
    <xdr:to>
      <xdr:col>4</xdr:col>
      <xdr:colOff>1171575</xdr:colOff>
      <xdr:row>64</xdr:row>
      <xdr:rowOff>28575</xdr:rowOff>
    </xdr:to>
    <xdr:sp macro="" textlink="">
      <xdr:nvSpPr>
        <xdr:cNvPr id="2" name="Right Arrow 1"/>
        <xdr:cNvSpPr/>
      </xdr:nvSpPr>
      <xdr:spPr>
        <a:xfrm>
          <a:off x="3295650" y="11858625"/>
          <a:ext cx="3143250" cy="895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peter.haxton@library.ks.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83"/>
  <sheetViews>
    <sheetView topLeftCell="A61" zoomScale="80" workbookViewId="0">
      <selection activeCell="A63" sqref="A63"/>
    </sheetView>
  </sheetViews>
  <sheetFormatPr defaultRowHeight="15.75"/>
  <cols>
    <col min="1" max="1" width="75.77734375" style="2" customWidth="1"/>
    <col min="2" max="16384" width="8.88671875" style="2"/>
  </cols>
  <sheetData>
    <row r="1" spans="1:1">
      <c r="A1" s="1" t="s">
        <v>253</v>
      </c>
    </row>
    <row r="3" spans="1:1" ht="39.75" customHeight="1">
      <c r="A3" s="3" t="s">
        <v>315</v>
      </c>
    </row>
    <row r="4" spans="1:1">
      <c r="A4" s="4"/>
    </row>
    <row r="5" spans="1:1" ht="49.5" customHeight="1">
      <c r="A5" s="5" t="s">
        <v>356</v>
      </c>
    </row>
    <row r="6" spans="1:1">
      <c r="A6" s="5"/>
    </row>
    <row r="7" spans="1:1" ht="66.75" customHeight="1">
      <c r="A7" s="5" t="s">
        <v>325</v>
      </c>
    </row>
    <row r="8" spans="1:1">
      <c r="A8" s="5"/>
    </row>
    <row r="9" spans="1:1" ht="32.25" customHeight="1">
      <c r="A9" s="5" t="s">
        <v>316</v>
      </c>
    </row>
    <row r="11" spans="1:1" ht="51" customHeight="1">
      <c r="A11" s="5" t="s">
        <v>252</v>
      </c>
    </row>
    <row r="13" spans="1:1">
      <c r="A13" s="1" t="s">
        <v>383</v>
      </c>
    </row>
    <row r="14" spans="1:1">
      <c r="A14" s="1"/>
    </row>
    <row r="15" spans="1:1">
      <c r="A15" s="4" t="s">
        <v>388</v>
      </c>
    </row>
    <row r="17" spans="1:1" ht="88.5" customHeight="1">
      <c r="A17" s="6" t="s">
        <v>389</v>
      </c>
    </row>
    <row r="18" spans="1:1" ht="9" customHeight="1">
      <c r="A18" s="6"/>
    </row>
    <row r="19" spans="1:1" ht="100.5" customHeight="1">
      <c r="A19" s="6" t="s">
        <v>384</v>
      </c>
    </row>
    <row r="21" spans="1:1">
      <c r="A21" s="1" t="s">
        <v>61</v>
      </c>
    </row>
    <row r="23" spans="1:1" ht="36" customHeight="1">
      <c r="A23" s="5" t="s">
        <v>317</v>
      </c>
    </row>
    <row r="24" spans="1:1">
      <c r="A24" s="5"/>
    </row>
    <row r="25" spans="1:1">
      <c r="A25" s="234" t="s">
        <v>318</v>
      </c>
    </row>
    <row r="26" spans="1:1" ht="12" customHeight="1">
      <c r="A26" s="5"/>
    </row>
    <row r="27" spans="1:1">
      <c r="A27" s="106" t="s">
        <v>233</v>
      </c>
    </row>
    <row r="28" spans="1:1">
      <c r="A28" s="222"/>
    </row>
    <row r="29" spans="1:1" ht="84.75" customHeight="1">
      <c r="A29" s="107" t="s">
        <v>345</v>
      </c>
    </row>
    <row r="30" spans="1:1" ht="12.75" customHeight="1">
      <c r="A30" s="223"/>
    </row>
    <row r="31" spans="1:1">
      <c r="A31" s="224" t="s">
        <v>319</v>
      </c>
    </row>
    <row r="32" spans="1:1">
      <c r="A32" s="223"/>
    </row>
    <row r="33" spans="1:1">
      <c r="A33" s="314" t="s">
        <v>382</v>
      </c>
    </row>
    <row r="34" spans="1:1">
      <c r="A34" s="223"/>
    </row>
    <row r="35" spans="1:1">
      <c r="A35" s="5" t="s">
        <v>162</v>
      </c>
    </row>
    <row r="37" spans="1:1">
      <c r="A37" s="1" t="s">
        <v>163</v>
      </c>
    </row>
    <row r="39" spans="1:1" ht="66.75" customHeight="1">
      <c r="A39" s="5" t="s">
        <v>385</v>
      </c>
    </row>
    <row r="40" spans="1:1" ht="35.25" customHeight="1">
      <c r="A40" s="5" t="s">
        <v>255</v>
      </c>
    </row>
    <row r="41" spans="1:1" ht="53.25" customHeight="1">
      <c r="A41" s="225" t="s">
        <v>320</v>
      </c>
    </row>
    <row r="43" spans="1:1" ht="84" customHeight="1">
      <c r="A43" s="5" t="s">
        <v>364</v>
      </c>
    </row>
    <row r="44" spans="1:1" ht="53.25" customHeight="1">
      <c r="A44" s="5" t="s">
        <v>321</v>
      </c>
    </row>
    <row r="45" spans="1:1" ht="15.75" customHeight="1">
      <c r="A45" s="5"/>
    </row>
    <row r="46" spans="1:1" ht="69.75" customHeight="1">
      <c r="A46" s="5" t="s">
        <v>322</v>
      </c>
    </row>
    <row r="47" spans="1:1" ht="37.5" customHeight="1">
      <c r="A47" s="5" t="s">
        <v>323</v>
      </c>
    </row>
    <row r="48" spans="1:1" ht="69" customHeight="1">
      <c r="A48" s="5" t="s">
        <v>337</v>
      </c>
    </row>
    <row r="50" spans="1:1" ht="84.75" customHeight="1">
      <c r="A50" s="5" t="s">
        <v>336</v>
      </c>
    </row>
    <row r="51" spans="1:1" ht="38.25" customHeight="1">
      <c r="A51" s="5" t="s">
        <v>324</v>
      </c>
    </row>
    <row r="52" spans="1:1">
      <c r="A52" s="5"/>
    </row>
    <row r="53" spans="1:1" ht="68.25" customHeight="1">
      <c r="A53" s="5" t="s">
        <v>390</v>
      </c>
    </row>
    <row r="54" spans="1:1">
      <c r="A54" s="5"/>
    </row>
    <row r="55" spans="1:1" ht="48.75" customHeight="1">
      <c r="A55" s="5" t="s">
        <v>338</v>
      </c>
    </row>
    <row r="56" spans="1:1" ht="51" customHeight="1">
      <c r="A56" s="5" t="s">
        <v>391</v>
      </c>
    </row>
    <row r="58" spans="1:1" s="5" customFormat="1" ht="66.75" customHeight="1">
      <c r="A58" s="5" t="s">
        <v>339</v>
      </c>
    </row>
    <row r="60" spans="1:1" ht="67.5" customHeight="1">
      <c r="A60" s="5" t="s">
        <v>346</v>
      </c>
    </row>
    <row r="62" spans="1:1" ht="95.25" customHeight="1">
      <c r="A62" s="5" t="s">
        <v>347</v>
      </c>
    </row>
    <row r="63" spans="1:1" ht="135.75" customHeight="1">
      <c r="A63" s="5" t="s">
        <v>414</v>
      </c>
    </row>
    <row r="64" spans="1:1" ht="73.5" customHeight="1">
      <c r="A64" s="5" t="s">
        <v>373</v>
      </c>
    </row>
    <row r="65" spans="1:1" ht="110.25" customHeight="1">
      <c r="A65" s="5" t="s">
        <v>374</v>
      </c>
    </row>
    <row r="66" spans="1:1" ht="67.5" customHeight="1">
      <c r="A66" s="5" t="s">
        <v>375</v>
      </c>
    </row>
    <row r="67" spans="1:1" ht="57" customHeight="1">
      <c r="A67" s="5" t="s">
        <v>376</v>
      </c>
    </row>
    <row r="68" spans="1:1" ht="69" customHeight="1">
      <c r="A68" s="5" t="s">
        <v>386</v>
      </c>
    </row>
    <row r="69" spans="1:1" ht="45" customHeight="1">
      <c r="A69" s="5" t="s">
        <v>377</v>
      </c>
    </row>
    <row r="70" spans="1:1" ht="86.25" customHeight="1">
      <c r="A70" s="5" t="s">
        <v>378</v>
      </c>
    </row>
    <row r="71" spans="1:1" ht="177.75" customHeight="1">
      <c r="A71" s="5" t="s">
        <v>387</v>
      </c>
    </row>
    <row r="73" spans="1:1" ht="152.25" customHeight="1">
      <c r="A73" s="5" t="s">
        <v>379</v>
      </c>
    </row>
    <row r="75" spans="1:1" ht="58.5" customHeight="1">
      <c r="A75" s="5" t="s">
        <v>380</v>
      </c>
    </row>
    <row r="76" spans="1:1" ht="81.75" customHeight="1">
      <c r="A76" s="226" t="s">
        <v>394</v>
      </c>
    </row>
    <row r="77" spans="1:1" ht="38.25" customHeight="1">
      <c r="A77" s="5" t="s">
        <v>395</v>
      </c>
    </row>
    <row r="78" spans="1:1" ht="24.75" customHeight="1">
      <c r="A78" s="5" t="s">
        <v>396</v>
      </c>
    </row>
    <row r="79" spans="1:1" ht="25.5" customHeight="1">
      <c r="A79" s="5" t="s">
        <v>397</v>
      </c>
    </row>
    <row r="80" spans="1:1" ht="39" customHeight="1">
      <c r="A80" s="5" t="s">
        <v>398</v>
      </c>
    </row>
    <row r="81" spans="1:1" ht="53.25" customHeight="1">
      <c r="A81" s="5" t="s">
        <v>399</v>
      </c>
    </row>
    <row r="83" spans="1:1" ht="47.25">
      <c r="A83" s="5" t="s">
        <v>400</v>
      </c>
    </row>
  </sheetData>
  <sheetProtection sheet="1" objects="1" scenarios="1"/>
  <phoneticPr fontId="0" type="noConversion"/>
  <pageMargins left="0.5" right="0.5" top="0.5" bottom="0.5" header="0.5" footer="0"/>
  <pageSetup scale="90" fitToHeight="2" orientation="portrait" blackAndWhite="1" r:id="rId1"/>
  <headerFooter alignWithMargins="0">
    <oddFooter>&amp;Lrevised 5/08/08</oddFooter>
  </headerFooter>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topLeftCell="A12" zoomScaleNormal="100" workbookViewId="0">
      <selection activeCell="A40" sqref="A40"/>
    </sheetView>
  </sheetViews>
  <sheetFormatPr defaultRowHeight="15"/>
  <cols>
    <col min="1" max="1" width="2.5546875" style="382" customWidth="1"/>
    <col min="2" max="4" width="8.88671875" style="382"/>
    <col min="5" max="5" width="9.6640625" style="382" customWidth="1"/>
    <col min="6" max="6" width="8.88671875" style="382"/>
    <col min="7" max="7" width="9.6640625" style="382" customWidth="1"/>
    <col min="8" max="256" width="8.88671875" style="382"/>
    <col min="257" max="257" width="2.5546875" style="382" customWidth="1"/>
    <col min="258" max="260" width="8.88671875" style="382"/>
    <col min="261" max="261" width="9.6640625" style="382" customWidth="1"/>
    <col min="262" max="262" width="8.88671875" style="382"/>
    <col min="263" max="263" width="9.6640625" style="382" customWidth="1"/>
    <col min="264" max="512" width="8.88671875" style="382"/>
    <col min="513" max="513" width="2.5546875" style="382" customWidth="1"/>
    <col min="514" max="516" width="8.88671875" style="382"/>
    <col min="517" max="517" width="9.6640625" style="382" customWidth="1"/>
    <col min="518" max="518" width="8.88671875" style="382"/>
    <col min="519" max="519" width="9.6640625" style="382" customWidth="1"/>
    <col min="520" max="768" width="8.88671875" style="382"/>
    <col min="769" max="769" width="2.5546875" style="382" customWidth="1"/>
    <col min="770" max="772" width="8.88671875" style="382"/>
    <col min="773" max="773" width="9.6640625" style="382" customWidth="1"/>
    <col min="774" max="774" width="8.88671875" style="382"/>
    <col min="775" max="775" width="9.6640625" style="382" customWidth="1"/>
    <col min="776" max="1024" width="8.88671875" style="382"/>
    <col min="1025" max="1025" width="2.5546875" style="382" customWidth="1"/>
    <col min="1026" max="1028" width="8.88671875" style="382"/>
    <col min="1029" max="1029" width="9.6640625" style="382" customWidth="1"/>
    <col min="1030" max="1030" width="8.88671875" style="382"/>
    <col min="1031" max="1031" width="9.6640625" style="382" customWidth="1"/>
    <col min="1032" max="1280" width="8.88671875" style="382"/>
    <col min="1281" max="1281" width="2.5546875" style="382" customWidth="1"/>
    <col min="1282" max="1284" width="8.88671875" style="382"/>
    <col min="1285" max="1285" width="9.6640625" style="382" customWidth="1"/>
    <col min="1286" max="1286" width="8.88671875" style="382"/>
    <col min="1287" max="1287" width="9.6640625" style="382" customWidth="1"/>
    <col min="1288" max="1536" width="8.88671875" style="382"/>
    <col min="1537" max="1537" width="2.5546875" style="382" customWidth="1"/>
    <col min="1538" max="1540" width="8.88671875" style="382"/>
    <col min="1541" max="1541" width="9.6640625" style="382" customWidth="1"/>
    <col min="1542" max="1542" width="8.88671875" style="382"/>
    <col min="1543" max="1543" width="9.6640625" style="382" customWidth="1"/>
    <col min="1544" max="1792" width="8.88671875" style="382"/>
    <col min="1793" max="1793" width="2.5546875" style="382" customWidth="1"/>
    <col min="1794" max="1796" width="8.88671875" style="382"/>
    <col min="1797" max="1797" width="9.6640625" style="382" customWidth="1"/>
    <col min="1798" max="1798" width="8.88671875" style="382"/>
    <col min="1799" max="1799" width="9.6640625" style="382" customWidth="1"/>
    <col min="1800" max="2048" width="8.88671875" style="382"/>
    <col min="2049" max="2049" width="2.5546875" style="382" customWidth="1"/>
    <col min="2050" max="2052" width="8.88671875" style="382"/>
    <col min="2053" max="2053" width="9.6640625" style="382" customWidth="1"/>
    <col min="2054" max="2054" width="8.88671875" style="382"/>
    <col min="2055" max="2055" width="9.6640625" style="382" customWidth="1"/>
    <col min="2056" max="2304" width="8.88671875" style="382"/>
    <col min="2305" max="2305" width="2.5546875" style="382" customWidth="1"/>
    <col min="2306" max="2308" width="8.88671875" style="382"/>
    <col min="2309" max="2309" width="9.6640625" style="382" customWidth="1"/>
    <col min="2310" max="2310" width="8.88671875" style="382"/>
    <col min="2311" max="2311" width="9.6640625" style="382" customWidth="1"/>
    <col min="2312" max="2560" width="8.88671875" style="382"/>
    <col min="2561" max="2561" width="2.5546875" style="382" customWidth="1"/>
    <col min="2562" max="2564" width="8.88671875" style="382"/>
    <col min="2565" max="2565" width="9.6640625" style="382" customWidth="1"/>
    <col min="2566" max="2566" width="8.88671875" style="382"/>
    <col min="2567" max="2567" width="9.6640625" style="382" customWidth="1"/>
    <col min="2568" max="2816" width="8.88671875" style="382"/>
    <col min="2817" max="2817" width="2.5546875" style="382" customWidth="1"/>
    <col min="2818" max="2820" width="8.88671875" style="382"/>
    <col min="2821" max="2821" width="9.6640625" style="382" customWidth="1"/>
    <col min="2822" max="2822" width="8.88671875" style="382"/>
    <col min="2823" max="2823" width="9.6640625" style="382" customWidth="1"/>
    <col min="2824" max="3072" width="8.88671875" style="382"/>
    <col min="3073" max="3073" width="2.5546875" style="382" customWidth="1"/>
    <col min="3074" max="3076" width="8.88671875" style="382"/>
    <col min="3077" max="3077" width="9.6640625" style="382" customWidth="1"/>
    <col min="3078" max="3078" width="8.88671875" style="382"/>
    <col min="3079" max="3079" width="9.6640625" style="382" customWidth="1"/>
    <col min="3080" max="3328" width="8.88671875" style="382"/>
    <col min="3329" max="3329" width="2.5546875" style="382" customWidth="1"/>
    <col min="3330" max="3332" width="8.88671875" style="382"/>
    <col min="3333" max="3333" width="9.6640625" style="382" customWidth="1"/>
    <col min="3334" max="3334" width="8.88671875" style="382"/>
    <col min="3335" max="3335" width="9.6640625" style="382" customWidth="1"/>
    <col min="3336" max="3584" width="8.88671875" style="382"/>
    <col min="3585" max="3585" width="2.5546875" style="382" customWidth="1"/>
    <col min="3586" max="3588" width="8.88671875" style="382"/>
    <col min="3589" max="3589" width="9.6640625" style="382" customWidth="1"/>
    <col min="3590" max="3590" width="8.88671875" style="382"/>
    <col min="3591" max="3591" width="9.6640625" style="382" customWidth="1"/>
    <col min="3592" max="3840" width="8.88671875" style="382"/>
    <col min="3841" max="3841" width="2.5546875" style="382" customWidth="1"/>
    <col min="3842" max="3844" width="8.88671875" style="382"/>
    <col min="3845" max="3845" width="9.6640625" style="382" customWidth="1"/>
    <col min="3846" max="3846" width="8.88671875" style="382"/>
    <col min="3847" max="3847" width="9.6640625" style="382" customWidth="1"/>
    <col min="3848" max="4096" width="8.88671875" style="382"/>
    <col min="4097" max="4097" width="2.5546875" style="382" customWidth="1"/>
    <col min="4098" max="4100" width="8.88671875" style="382"/>
    <col min="4101" max="4101" width="9.6640625" style="382" customWidth="1"/>
    <col min="4102" max="4102" width="8.88671875" style="382"/>
    <col min="4103" max="4103" width="9.6640625" style="382" customWidth="1"/>
    <col min="4104" max="4352" width="8.88671875" style="382"/>
    <col min="4353" max="4353" width="2.5546875" style="382" customWidth="1"/>
    <col min="4354" max="4356" width="8.88671875" style="382"/>
    <col min="4357" max="4357" width="9.6640625" style="382" customWidth="1"/>
    <col min="4358" max="4358" width="8.88671875" style="382"/>
    <col min="4359" max="4359" width="9.6640625" style="382" customWidth="1"/>
    <col min="4360" max="4608" width="8.88671875" style="382"/>
    <col min="4609" max="4609" width="2.5546875" style="382" customWidth="1"/>
    <col min="4610" max="4612" width="8.88671875" style="382"/>
    <col min="4613" max="4613" width="9.6640625" style="382" customWidth="1"/>
    <col min="4614" max="4614" width="8.88671875" style="382"/>
    <col min="4615" max="4615" width="9.6640625" style="382" customWidth="1"/>
    <col min="4616" max="4864" width="8.88671875" style="382"/>
    <col min="4865" max="4865" width="2.5546875" style="382" customWidth="1"/>
    <col min="4866" max="4868" width="8.88671875" style="382"/>
    <col min="4869" max="4869" width="9.6640625" style="382" customWidth="1"/>
    <col min="4870" max="4870" width="8.88671875" style="382"/>
    <col min="4871" max="4871" width="9.6640625" style="382" customWidth="1"/>
    <col min="4872" max="5120" width="8.88671875" style="382"/>
    <col min="5121" max="5121" width="2.5546875" style="382" customWidth="1"/>
    <col min="5122" max="5124" width="8.88671875" style="382"/>
    <col min="5125" max="5125" width="9.6640625" style="382" customWidth="1"/>
    <col min="5126" max="5126" width="8.88671875" style="382"/>
    <col min="5127" max="5127" width="9.6640625" style="382" customWidth="1"/>
    <col min="5128" max="5376" width="8.88671875" style="382"/>
    <col min="5377" max="5377" width="2.5546875" style="382" customWidth="1"/>
    <col min="5378" max="5380" width="8.88671875" style="382"/>
    <col min="5381" max="5381" width="9.6640625" style="382" customWidth="1"/>
    <col min="5382" max="5382" width="8.88671875" style="382"/>
    <col min="5383" max="5383" width="9.6640625" style="382" customWidth="1"/>
    <col min="5384" max="5632" width="8.88671875" style="382"/>
    <col min="5633" max="5633" width="2.5546875" style="382" customWidth="1"/>
    <col min="5634" max="5636" width="8.88671875" style="382"/>
    <col min="5637" max="5637" width="9.6640625" style="382" customWidth="1"/>
    <col min="5638" max="5638" width="8.88671875" style="382"/>
    <col min="5639" max="5639" width="9.6640625" style="382" customWidth="1"/>
    <col min="5640" max="5888" width="8.88671875" style="382"/>
    <col min="5889" max="5889" width="2.5546875" style="382" customWidth="1"/>
    <col min="5890" max="5892" width="8.88671875" style="382"/>
    <col min="5893" max="5893" width="9.6640625" style="382" customWidth="1"/>
    <col min="5894" max="5894" width="8.88671875" style="382"/>
    <col min="5895" max="5895" width="9.6640625" style="382" customWidth="1"/>
    <col min="5896" max="6144" width="8.88671875" style="382"/>
    <col min="6145" max="6145" width="2.5546875" style="382" customWidth="1"/>
    <col min="6146" max="6148" width="8.88671875" style="382"/>
    <col min="6149" max="6149" width="9.6640625" style="382" customWidth="1"/>
    <col min="6150" max="6150" width="8.88671875" style="382"/>
    <col min="6151" max="6151" width="9.6640625" style="382" customWidth="1"/>
    <col min="6152" max="6400" width="8.88671875" style="382"/>
    <col min="6401" max="6401" width="2.5546875" style="382" customWidth="1"/>
    <col min="6402" max="6404" width="8.88671875" style="382"/>
    <col min="6405" max="6405" width="9.6640625" style="382" customWidth="1"/>
    <col min="6406" max="6406" width="8.88671875" style="382"/>
    <col min="6407" max="6407" width="9.6640625" style="382" customWidth="1"/>
    <col min="6408" max="6656" width="8.88671875" style="382"/>
    <col min="6657" max="6657" width="2.5546875" style="382" customWidth="1"/>
    <col min="6658" max="6660" width="8.88671875" style="382"/>
    <col min="6661" max="6661" width="9.6640625" style="382" customWidth="1"/>
    <col min="6662" max="6662" width="8.88671875" style="382"/>
    <col min="6663" max="6663" width="9.6640625" style="382" customWidth="1"/>
    <col min="6664" max="6912" width="8.88671875" style="382"/>
    <col min="6913" max="6913" width="2.5546875" style="382" customWidth="1"/>
    <col min="6914" max="6916" width="8.88671875" style="382"/>
    <col min="6917" max="6917" width="9.6640625" style="382" customWidth="1"/>
    <col min="6918" max="6918" width="8.88671875" style="382"/>
    <col min="6919" max="6919" width="9.6640625" style="382" customWidth="1"/>
    <col min="6920" max="7168" width="8.88671875" style="382"/>
    <col min="7169" max="7169" width="2.5546875" style="382" customWidth="1"/>
    <col min="7170" max="7172" width="8.88671875" style="382"/>
    <col min="7173" max="7173" width="9.6640625" style="382" customWidth="1"/>
    <col min="7174" max="7174" width="8.88671875" style="382"/>
    <col min="7175" max="7175" width="9.6640625" style="382" customWidth="1"/>
    <col min="7176" max="7424" width="8.88671875" style="382"/>
    <col min="7425" max="7425" width="2.5546875" style="382" customWidth="1"/>
    <col min="7426" max="7428" width="8.88671875" style="382"/>
    <col min="7429" max="7429" width="9.6640625" style="382" customWidth="1"/>
    <col min="7430" max="7430" width="8.88671875" style="382"/>
    <col min="7431" max="7431" width="9.6640625" style="382" customWidth="1"/>
    <col min="7432" max="7680" width="8.88671875" style="382"/>
    <col min="7681" max="7681" width="2.5546875" style="382" customWidth="1"/>
    <col min="7682" max="7684" width="8.88671875" style="382"/>
    <col min="7685" max="7685" width="9.6640625" style="382" customWidth="1"/>
    <col min="7686" max="7686" width="8.88671875" style="382"/>
    <col min="7687" max="7687" width="9.6640625" style="382" customWidth="1"/>
    <col min="7688" max="7936" width="8.88671875" style="382"/>
    <col min="7937" max="7937" width="2.5546875" style="382" customWidth="1"/>
    <col min="7938" max="7940" width="8.88671875" style="382"/>
    <col min="7941" max="7941" width="9.6640625" style="382" customWidth="1"/>
    <col min="7942" max="7942" width="8.88671875" style="382"/>
    <col min="7943" max="7943" width="9.6640625" style="382" customWidth="1"/>
    <col min="7944" max="8192" width="8.88671875" style="382"/>
    <col min="8193" max="8193" width="2.5546875" style="382" customWidth="1"/>
    <col min="8194" max="8196" width="8.88671875" style="382"/>
    <col min="8197" max="8197" width="9.6640625" style="382" customWidth="1"/>
    <col min="8198" max="8198" width="8.88671875" style="382"/>
    <col min="8199" max="8199" width="9.6640625" style="382" customWidth="1"/>
    <col min="8200" max="8448" width="8.88671875" style="382"/>
    <col min="8449" max="8449" width="2.5546875" style="382" customWidth="1"/>
    <col min="8450" max="8452" width="8.88671875" style="382"/>
    <col min="8453" max="8453" width="9.6640625" style="382" customWidth="1"/>
    <col min="8454" max="8454" width="8.88671875" style="382"/>
    <col min="8455" max="8455" width="9.6640625" style="382" customWidth="1"/>
    <col min="8456" max="8704" width="8.88671875" style="382"/>
    <col min="8705" max="8705" width="2.5546875" style="382" customWidth="1"/>
    <col min="8706" max="8708" width="8.88671875" style="382"/>
    <col min="8709" max="8709" width="9.6640625" style="382" customWidth="1"/>
    <col min="8710" max="8710" width="8.88671875" style="382"/>
    <col min="8711" max="8711" width="9.6640625" style="382" customWidth="1"/>
    <col min="8712" max="8960" width="8.88671875" style="382"/>
    <col min="8961" max="8961" width="2.5546875" style="382" customWidth="1"/>
    <col min="8962" max="8964" width="8.88671875" style="382"/>
    <col min="8965" max="8965" width="9.6640625" style="382" customWidth="1"/>
    <col min="8966" max="8966" width="8.88671875" style="382"/>
    <col min="8967" max="8967" width="9.6640625" style="382" customWidth="1"/>
    <col min="8968" max="9216" width="8.88671875" style="382"/>
    <col min="9217" max="9217" width="2.5546875" style="382" customWidth="1"/>
    <col min="9218" max="9220" width="8.88671875" style="382"/>
    <col min="9221" max="9221" width="9.6640625" style="382" customWidth="1"/>
    <col min="9222" max="9222" width="8.88671875" style="382"/>
    <col min="9223" max="9223" width="9.6640625" style="382" customWidth="1"/>
    <col min="9224" max="9472" width="8.88671875" style="382"/>
    <col min="9473" max="9473" width="2.5546875" style="382" customWidth="1"/>
    <col min="9474" max="9476" width="8.88671875" style="382"/>
    <col min="9477" max="9477" width="9.6640625" style="382" customWidth="1"/>
    <col min="9478" max="9478" width="8.88671875" style="382"/>
    <col min="9479" max="9479" width="9.6640625" style="382" customWidth="1"/>
    <col min="9480" max="9728" width="8.88671875" style="382"/>
    <col min="9729" max="9729" width="2.5546875" style="382" customWidth="1"/>
    <col min="9730" max="9732" width="8.88671875" style="382"/>
    <col min="9733" max="9733" width="9.6640625" style="382" customWidth="1"/>
    <col min="9734" max="9734" width="8.88671875" style="382"/>
    <col min="9735" max="9735" width="9.6640625" style="382" customWidth="1"/>
    <col min="9736" max="9984" width="8.88671875" style="382"/>
    <col min="9985" max="9985" width="2.5546875" style="382" customWidth="1"/>
    <col min="9986" max="9988" width="8.88671875" style="382"/>
    <col min="9989" max="9989" width="9.6640625" style="382" customWidth="1"/>
    <col min="9990" max="9990" width="8.88671875" style="382"/>
    <col min="9991" max="9991" width="9.6640625" style="382" customWidth="1"/>
    <col min="9992" max="10240" width="8.88671875" style="382"/>
    <col min="10241" max="10241" width="2.5546875" style="382" customWidth="1"/>
    <col min="10242" max="10244" width="8.88671875" style="382"/>
    <col min="10245" max="10245" width="9.6640625" style="382" customWidth="1"/>
    <col min="10246" max="10246" width="8.88671875" style="382"/>
    <col min="10247" max="10247" width="9.6640625" style="382" customWidth="1"/>
    <col min="10248" max="10496" width="8.88671875" style="382"/>
    <col min="10497" max="10497" width="2.5546875" style="382" customWidth="1"/>
    <col min="10498" max="10500" width="8.88671875" style="382"/>
    <col min="10501" max="10501" width="9.6640625" style="382" customWidth="1"/>
    <col min="10502" max="10502" width="8.88671875" style="382"/>
    <col min="10503" max="10503" width="9.6640625" style="382" customWidth="1"/>
    <col min="10504" max="10752" width="8.88671875" style="382"/>
    <col min="10753" max="10753" width="2.5546875" style="382" customWidth="1"/>
    <col min="10754" max="10756" width="8.88671875" style="382"/>
    <col min="10757" max="10757" width="9.6640625" style="382" customWidth="1"/>
    <col min="10758" max="10758" width="8.88671875" style="382"/>
    <col min="10759" max="10759" width="9.6640625" style="382" customWidth="1"/>
    <col min="10760" max="11008" width="8.88671875" style="382"/>
    <col min="11009" max="11009" width="2.5546875" style="382" customWidth="1"/>
    <col min="11010" max="11012" width="8.88671875" style="382"/>
    <col min="11013" max="11013" width="9.6640625" style="382" customWidth="1"/>
    <col min="11014" max="11014" width="8.88671875" style="382"/>
    <col min="11015" max="11015" width="9.6640625" style="382" customWidth="1"/>
    <col min="11016" max="11264" width="8.88671875" style="382"/>
    <col min="11265" max="11265" width="2.5546875" style="382" customWidth="1"/>
    <col min="11266" max="11268" width="8.88671875" style="382"/>
    <col min="11269" max="11269" width="9.6640625" style="382" customWidth="1"/>
    <col min="11270" max="11270" width="8.88671875" style="382"/>
    <col min="11271" max="11271" width="9.6640625" style="382" customWidth="1"/>
    <col min="11272" max="11520" width="8.88671875" style="382"/>
    <col min="11521" max="11521" width="2.5546875" style="382" customWidth="1"/>
    <col min="11522" max="11524" width="8.88671875" style="382"/>
    <col min="11525" max="11525" width="9.6640625" style="382" customWidth="1"/>
    <col min="11526" max="11526" width="8.88671875" style="382"/>
    <col min="11527" max="11527" width="9.6640625" style="382" customWidth="1"/>
    <col min="11528" max="11776" width="8.88671875" style="382"/>
    <col min="11777" max="11777" width="2.5546875" style="382" customWidth="1"/>
    <col min="11778" max="11780" width="8.88671875" style="382"/>
    <col min="11781" max="11781" width="9.6640625" style="382" customWidth="1"/>
    <col min="11782" max="11782" width="8.88671875" style="382"/>
    <col min="11783" max="11783" width="9.6640625" style="382" customWidth="1"/>
    <col min="11784" max="12032" width="8.88671875" style="382"/>
    <col min="12033" max="12033" width="2.5546875" style="382" customWidth="1"/>
    <col min="12034" max="12036" width="8.88671875" style="382"/>
    <col min="12037" max="12037" width="9.6640625" style="382" customWidth="1"/>
    <col min="12038" max="12038" width="8.88671875" style="382"/>
    <col min="12039" max="12039" width="9.6640625" style="382" customWidth="1"/>
    <col min="12040" max="12288" width="8.88671875" style="382"/>
    <col min="12289" max="12289" width="2.5546875" style="382" customWidth="1"/>
    <col min="12290" max="12292" width="8.88671875" style="382"/>
    <col min="12293" max="12293" width="9.6640625" style="382" customWidth="1"/>
    <col min="12294" max="12294" width="8.88671875" style="382"/>
    <col min="12295" max="12295" width="9.6640625" style="382" customWidth="1"/>
    <col min="12296" max="12544" width="8.88671875" style="382"/>
    <col min="12545" max="12545" width="2.5546875" style="382" customWidth="1"/>
    <col min="12546" max="12548" width="8.88671875" style="382"/>
    <col min="12549" max="12549" width="9.6640625" style="382" customWidth="1"/>
    <col min="12550" max="12550" width="8.88671875" style="382"/>
    <col min="12551" max="12551" width="9.6640625" style="382" customWidth="1"/>
    <col min="12552" max="12800" width="8.88671875" style="382"/>
    <col min="12801" max="12801" width="2.5546875" style="382" customWidth="1"/>
    <col min="12802" max="12804" width="8.88671875" style="382"/>
    <col min="12805" max="12805" width="9.6640625" style="382" customWidth="1"/>
    <col min="12806" max="12806" width="8.88671875" style="382"/>
    <col min="12807" max="12807" width="9.6640625" style="382" customWidth="1"/>
    <col min="12808" max="13056" width="8.88671875" style="382"/>
    <col min="13057" max="13057" width="2.5546875" style="382" customWidth="1"/>
    <col min="13058" max="13060" width="8.88671875" style="382"/>
    <col min="13061" max="13061" width="9.6640625" style="382" customWidth="1"/>
    <col min="13062" max="13062" width="8.88671875" style="382"/>
    <col min="13063" max="13063" width="9.6640625" style="382" customWidth="1"/>
    <col min="13064" max="13312" width="8.88671875" style="382"/>
    <col min="13313" max="13313" width="2.5546875" style="382" customWidth="1"/>
    <col min="13314" max="13316" width="8.88671875" style="382"/>
    <col min="13317" max="13317" width="9.6640625" style="382" customWidth="1"/>
    <col min="13318" max="13318" width="8.88671875" style="382"/>
    <col min="13319" max="13319" width="9.6640625" style="382" customWidth="1"/>
    <col min="13320" max="13568" width="8.88671875" style="382"/>
    <col min="13569" max="13569" width="2.5546875" style="382" customWidth="1"/>
    <col min="13570" max="13572" width="8.88671875" style="382"/>
    <col min="13573" max="13573" width="9.6640625" style="382" customWidth="1"/>
    <col min="13574" max="13574" width="8.88671875" style="382"/>
    <col min="13575" max="13575" width="9.6640625" style="382" customWidth="1"/>
    <col min="13576" max="13824" width="8.88671875" style="382"/>
    <col min="13825" max="13825" width="2.5546875" style="382" customWidth="1"/>
    <col min="13826" max="13828" width="8.88671875" style="382"/>
    <col min="13829" max="13829" width="9.6640625" style="382" customWidth="1"/>
    <col min="13830" max="13830" width="8.88671875" style="382"/>
    <col min="13831" max="13831" width="9.6640625" style="382" customWidth="1"/>
    <col min="13832" max="14080" width="8.88671875" style="382"/>
    <col min="14081" max="14081" width="2.5546875" style="382" customWidth="1"/>
    <col min="14082" max="14084" width="8.88671875" style="382"/>
    <col min="14085" max="14085" width="9.6640625" style="382" customWidth="1"/>
    <col min="14086" max="14086" width="8.88671875" style="382"/>
    <col min="14087" max="14087" width="9.6640625" style="382" customWidth="1"/>
    <col min="14088" max="14336" width="8.88671875" style="382"/>
    <col min="14337" max="14337" width="2.5546875" style="382" customWidth="1"/>
    <col min="14338" max="14340" width="8.88671875" style="382"/>
    <col min="14341" max="14341" width="9.6640625" style="382" customWidth="1"/>
    <col min="14342" max="14342" width="8.88671875" style="382"/>
    <col min="14343" max="14343" width="9.6640625" style="382" customWidth="1"/>
    <col min="14344" max="14592" width="8.88671875" style="382"/>
    <col min="14593" max="14593" width="2.5546875" style="382" customWidth="1"/>
    <col min="14594" max="14596" width="8.88671875" style="382"/>
    <col min="14597" max="14597" width="9.6640625" style="382" customWidth="1"/>
    <col min="14598" max="14598" width="8.88671875" style="382"/>
    <col min="14599" max="14599" width="9.6640625" style="382" customWidth="1"/>
    <col min="14600" max="14848" width="8.88671875" style="382"/>
    <col min="14849" max="14849" width="2.5546875" style="382" customWidth="1"/>
    <col min="14850" max="14852" width="8.88671875" style="382"/>
    <col min="14853" max="14853" width="9.6640625" style="382" customWidth="1"/>
    <col min="14854" max="14854" width="8.88671875" style="382"/>
    <col min="14855" max="14855" width="9.6640625" style="382" customWidth="1"/>
    <col min="14856" max="15104" width="8.88671875" style="382"/>
    <col min="15105" max="15105" width="2.5546875" style="382" customWidth="1"/>
    <col min="15106" max="15108" width="8.88671875" style="382"/>
    <col min="15109" max="15109" width="9.6640625" style="382" customWidth="1"/>
    <col min="15110" max="15110" width="8.88671875" style="382"/>
    <col min="15111" max="15111" width="9.6640625" style="382" customWidth="1"/>
    <col min="15112" max="15360" width="8.88671875" style="382"/>
    <col min="15361" max="15361" width="2.5546875" style="382" customWidth="1"/>
    <col min="15362" max="15364" width="8.88671875" style="382"/>
    <col min="15365" max="15365" width="9.6640625" style="382" customWidth="1"/>
    <col min="15366" max="15366" width="8.88671875" style="382"/>
    <col min="15367" max="15367" width="9.6640625" style="382" customWidth="1"/>
    <col min="15368" max="15616" width="8.88671875" style="382"/>
    <col min="15617" max="15617" width="2.5546875" style="382" customWidth="1"/>
    <col min="15618" max="15620" width="8.88671875" style="382"/>
    <col min="15621" max="15621" width="9.6640625" style="382" customWidth="1"/>
    <col min="15622" max="15622" width="8.88671875" style="382"/>
    <col min="15623" max="15623" width="9.6640625" style="382" customWidth="1"/>
    <col min="15624" max="15872" width="8.88671875" style="382"/>
    <col min="15873" max="15873" width="2.5546875" style="382" customWidth="1"/>
    <col min="15874" max="15876" width="8.88671875" style="382"/>
    <col min="15877" max="15877" width="9.6640625" style="382" customWidth="1"/>
    <col min="15878" max="15878" width="8.88671875" style="382"/>
    <col min="15879" max="15879" width="9.6640625" style="382" customWidth="1"/>
    <col min="15880" max="16128" width="8.88671875" style="382"/>
    <col min="16129" max="16129" width="2.5546875" style="382" customWidth="1"/>
    <col min="16130" max="16132" width="8.88671875" style="382"/>
    <col min="16133" max="16133" width="9.6640625" style="382" customWidth="1"/>
    <col min="16134" max="16134" width="8.88671875" style="382"/>
    <col min="16135" max="16135" width="9.6640625" style="382" customWidth="1"/>
    <col min="16136" max="16384" width="8.88671875" style="382"/>
  </cols>
  <sheetData>
    <row r="1" spans="2:9" ht="15.75">
      <c r="B1" s="381"/>
      <c r="C1" s="381"/>
      <c r="D1" s="381"/>
      <c r="E1" s="381"/>
      <c r="F1" s="381"/>
      <c r="G1" s="381"/>
      <c r="H1" s="381"/>
      <c r="I1" s="381"/>
    </row>
    <row r="2" spans="2:9" ht="15.75">
      <c r="B2" s="452" t="s">
        <v>521</v>
      </c>
      <c r="C2" s="452"/>
      <c r="D2" s="452"/>
      <c r="E2" s="452"/>
      <c r="F2" s="452"/>
      <c r="G2" s="452"/>
      <c r="H2" s="452"/>
      <c r="I2" s="452"/>
    </row>
    <row r="3" spans="2:9" ht="15.75">
      <c r="B3" s="452" t="s">
        <v>522</v>
      </c>
      <c r="C3" s="452"/>
      <c r="D3" s="452"/>
      <c r="E3" s="452"/>
      <c r="F3" s="452"/>
      <c r="G3" s="452"/>
      <c r="H3" s="452"/>
      <c r="I3" s="452"/>
    </row>
    <row r="4" spans="2:9" ht="15.75">
      <c r="B4" s="383"/>
      <c r="C4" s="383"/>
      <c r="D4" s="383"/>
      <c r="E4" s="383"/>
      <c r="F4" s="383"/>
      <c r="G4" s="383"/>
      <c r="H4" s="383"/>
      <c r="I4" s="383"/>
    </row>
    <row r="5" spans="2:9" ht="15.75">
      <c r="B5" s="453" t="str">
        <f>CONCATENATE("Budgeted Year: ",inputPrYr!C5,"")</f>
        <v>Budgeted Year: 2013</v>
      </c>
      <c r="C5" s="453"/>
      <c r="D5" s="453"/>
      <c r="E5" s="453"/>
      <c r="F5" s="453"/>
      <c r="G5" s="453"/>
      <c r="H5" s="453"/>
      <c r="I5" s="453"/>
    </row>
    <row r="6" spans="2:9" ht="15.75">
      <c r="B6" s="384"/>
      <c r="C6" s="383"/>
      <c r="D6" s="383"/>
      <c r="E6" s="383"/>
      <c r="F6" s="383"/>
      <c r="G6" s="383"/>
      <c r="H6" s="383"/>
      <c r="I6" s="383"/>
    </row>
    <row r="7" spans="2:9" ht="15.75">
      <c r="B7" s="384" t="str">
        <f>CONCATENATE("Library found in: ",inputPrYr!D2,"")</f>
        <v>Library found in: CITY OF BLUE RAPIDS</v>
      </c>
      <c r="C7" s="383"/>
      <c r="D7" s="383"/>
      <c r="E7" s="383"/>
      <c r="F7" s="383"/>
      <c r="G7" s="383"/>
      <c r="H7" s="383"/>
      <c r="I7" s="383"/>
    </row>
    <row r="8" spans="2:9" ht="15.75">
      <c r="B8" s="384" t="str">
        <f>inputPrYr!D3</f>
        <v>MARSHALL COUNTY</v>
      </c>
      <c r="C8" s="383"/>
      <c r="D8" s="383"/>
      <c r="E8" s="383"/>
      <c r="F8" s="383"/>
      <c r="G8" s="383"/>
      <c r="H8" s="383"/>
      <c r="I8" s="383"/>
    </row>
    <row r="9" spans="2:9" ht="15.75">
      <c r="B9" s="383"/>
      <c r="C9" s="383"/>
      <c r="D9" s="383"/>
      <c r="E9" s="383"/>
      <c r="F9" s="383"/>
      <c r="G9" s="383"/>
      <c r="H9" s="383"/>
      <c r="I9" s="383"/>
    </row>
    <row r="10" spans="2:9" ht="39" customHeight="1">
      <c r="B10" s="454" t="s">
        <v>523</v>
      </c>
      <c r="C10" s="454"/>
      <c r="D10" s="454"/>
      <c r="E10" s="454"/>
      <c r="F10" s="454"/>
      <c r="G10" s="454"/>
      <c r="H10" s="454"/>
      <c r="I10" s="454"/>
    </row>
    <row r="11" spans="2:9" ht="15.75">
      <c r="B11" s="383"/>
      <c r="C11" s="383"/>
      <c r="D11" s="383"/>
      <c r="E11" s="383"/>
      <c r="F11" s="383"/>
      <c r="G11" s="383"/>
      <c r="H11" s="383"/>
      <c r="I11" s="383"/>
    </row>
    <row r="12" spans="2:9" ht="15.75">
      <c r="B12" s="385" t="s">
        <v>524</v>
      </c>
      <c r="C12" s="383"/>
      <c r="D12" s="383"/>
      <c r="E12" s="383"/>
      <c r="F12" s="383"/>
      <c r="G12" s="383"/>
      <c r="H12" s="383"/>
      <c r="I12" s="383"/>
    </row>
    <row r="13" spans="2:9" ht="15.75">
      <c r="B13" s="383"/>
      <c r="C13" s="383"/>
      <c r="D13" s="383"/>
      <c r="E13" s="386" t="s">
        <v>525</v>
      </c>
      <c r="F13" s="383"/>
      <c r="G13" s="386" t="s">
        <v>526</v>
      </c>
      <c r="H13" s="383"/>
      <c r="I13" s="383"/>
    </row>
    <row r="14" spans="2:9" ht="15.75">
      <c r="B14" s="383"/>
      <c r="C14" s="383"/>
      <c r="D14" s="383"/>
      <c r="E14" s="387">
        <f>inputPrYr!C5-1</f>
        <v>2012</v>
      </c>
      <c r="F14" s="383"/>
      <c r="G14" s="387">
        <f>inputPrYr!C5</f>
        <v>2013</v>
      </c>
      <c r="H14" s="383"/>
      <c r="I14" s="383"/>
    </row>
    <row r="15" spans="2:9" ht="15.75">
      <c r="B15" s="384" t="str">
        <f>LibraryBondInt!A9</f>
        <v>Ad Valorem Tax</v>
      </c>
      <c r="C15" s="383"/>
      <c r="D15" s="383"/>
      <c r="E15" s="388">
        <f>LibraryBondInt!D9</f>
        <v>9144</v>
      </c>
      <c r="F15" s="383"/>
      <c r="G15" s="388">
        <f>LibraryBondInt!E30</f>
        <v>16969</v>
      </c>
      <c r="H15" s="383"/>
      <c r="I15" s="383"/>
    </row>
    <row r="16" spans="2:9" ht="15.75">
      <c r="B16" s="384" t="str">
        <f>LibraryBondInt!A10</f>
        <v>Delinquent Tax</v>
      </c>
      <c r="C16" s="383"/>
      <c r="D16" s="383"/>
      <c r="E16" s="388">
        <f>LibraryBondInt!D10</f>
        <v>0</v>
      </c>
      <c r="F16" s="383"/>
      <c r="G16" s="388">
        <f>LibraryBondInt!E10</f>
        <v>0</v>
      </c>
      <c r="H16" s="383"/>
      <c r="I16" s="383"/>
    </row>
    <row r="17" spans="2:9" ht="15.75">
      <c r="B17" s="384" t="str">
        <f>LibraryBondInt!A11</f>
        <v>Motor Vehicle Tax</v>
      </c>
      <c r="C17" s="383"/>
      <c r="D17" s="383"/>
      <c r="E17" s="388">
        <f>LibraryBondInt!D11</f>
        <v>1973</v>
      </c>
      <c r="F17" s="383"/>
      <c r="G17" s="388">
        <f>LibraryBondInt!E11</f>
        <v>1803</v>
      </c>
      <c r="H17" s="383"/>
      <c r="I17" s="383"/>
    </row>
    <row r="18" spans="2:9" ht="15.75">
      <c r="B18" s="384" t="str">
        <f>LibraryBondInt!A12</f>
        <v>Recreational Vehicle Tax</v>
      </c>
      <c r="C18" s="383"/>
      <c r="D18" s="383"/>
      <c r="E18" s="388">
        <f>LibraryBondInt!D12</f>
        <v>56</v>
      </c>
      <c r="F18" s="383"/>
      <c r="G18" s="388">
        <f>LibraryBondInt!E12</f>
        <v>50</v>
      </c>
      <c r="H18" s="383"/>
      <c r="I18" s="383"/>
    </row>
    <row r="19" spans="2:9" ht="15.75">
      <c r="B19" s="384" t="str">
        <f>LibraryBondInt!A13</f>
        <v>16/20M Vehicle Tax</v>
      </c>
      <c r="C19" s="383"/>
      <c r="D19" s="383"/>
      <c r="E19" s="388">
        <f>LibraryBondInt!D13</f>
        <v>27</v>
      </c>
      <c r="F19" s="383"/>
      <c r="G19" s="388">
        <f>LibraryBondInt!E13</f>
        <v>28</v>
      </c>
      <c r="H19" s="383"/>
      <c r="I19" s="383"/>
    </row>
    <row r="20" spans="2:9" ht="15.75">
      <c r="B20" s="384"/>
      <c r="C20" s="383"/>
      <c r="D20" s="383"/>
      <c r="E20" s="388">
        <v>0</v>
      </c>
      <c r="F20" s="383"/>
      <c r="G20" s="388">
        <v>0</v>
      </c>
      <c r="H20" s="383"/>
      <c r="I20" s="383"/>
    </row>
    <row r="21" spans="2:9" ht="15.75">
      <c r="B21" s="383"/>
      <c r="C21" s="383"/>
      <c r="D21" s="383"/>
      <c r="E21" s="388">
        <v>0</v>
      </c>
      <c r="F21" s="383"/>
      <c r="G21" s="388">
        <v>0</v>
      </c>
      <c r="H21" s="383"/>
      <c r="I21" s="383"/>
    </row>
    <row r="22" spans="2:9" ht="15.75">
      <c r="B22" s="383" t="s">
        <v>527</v>
      </c>
      <c r="C22" s="383"/>
      <c r="D22" s="383"/>
      <c r="E22" s="389">
        <f>SUM(E15:E21)</f>
        <v>11200</v>
      </c>
      <c r="F22" s="383"/>
      <c r="G22" s="389">
        <f>SUM(G15:G21)</f>
        <v>18850</v>
      </c>
      <c r="H22" s="383"/>
      <c r="I22" s="383"/>
    </row>
    <row r="23" spans="2:9" ht="15.75">
      <c r="B23" s="383" t="s">
        <v>528</v>
      </c>
      <c r="C23" s="383"/>
      <c r="D23" s="383"/>
      <c r="E23" s="390">
        <f>G22-E22</f>
        <v>7650</v>
      </c>
      <c r="F23" s="383"/>
      <c r="G23" s="391"/>
      <c r="H23" s="383"/>
      <c r="I23" s="383"/>
    </row>
    <row r="24" spans="2:9" ht="15.75">
      <c r="B24" s="383" t="s">
        <v>529</v>
      </c>
      <c r="C24" s="383"/>
      <c r="D24" s="392" t="str">
        <f>IF((G22-E22)&gt;0,"Qualify","Not Qualify")</f>
        <v>Qualify</v>
      </c>
      <c r="E24" s="383"/>
      <c r="F24" s="383"/>
      <c r="G24" s="383"/>
      <c r="H24" s="383"/>
      <c r="I24" s="383"/>
    </row>
    <row r="25" spans="2:9" ht="15.75">
      <c r="B25" s="383"/>
      <c r="C25" s="383"/>
      <c r="D25" s="383"/>
      <c r="E25" s="383"/>
      <c r="F25" s="383"/>
      <c r="G25" s="383"/>
      <c r="H25" s="383"/>
      <c r="I25" s="383"/>
    </row>
    <row r="26" spans="2:9" ht="15.75">
      <c r="B26" s="385" t="s">
        <v>530</v>
      </c>
      <c r="C26" s="383"/>
      <c r="D26" s="383"/>
      <c r="E26" s="383"/>
      <c r="F26" s="383"/>
      <c r="G26" s="383"/>
      <c r="H26" s="383"/>
      <c r="I26" s="383"/>
    </row>
    <row r="27" spans="2:9" ht="15.75">
      <c r="B27" s="383" t="s">
        <v>531</v>
      </c>
      <c r="C27" s="383"/>
      <c r="D27" s="383"/>
      <c r="E27" s="388">
        <f>summ!D35</f>
        <v>3010539</v>
      </c>
      <c r="F27" s="383"/>
      <c r="G27" s="388">
        <f>summ!F35</f>
        <v>3064475</v>
      </c>
      <c r="H27" s="383"/>
      <c r="I27" s="383"/>
    </row>
    <row r="28" spans="2:9" ht="15.75">
      <c r="B28" s="383" t="s">
        <v>532</v>
      </c>
      <c r="C28" s="383"/>
      <c r="D28" s="383"/>
      <c r="E28" s="393" t="str">
        <f>IF(G27-E27&gt;0,"No","Yes")</f>
        <v>No</v>
      </c>
      <c r="F28" s="383"/>
      <c r="G28" s="383"/>
      <c r="H28" s="383"/>
      <c r="I28" s="383"/>
    </row>
    <row r="29" spans="2:9" ht="15.75">
      <c r="B29" s="383" t="s">
        <v>533</v>
      </c>
      <c r="C29" s="383"/>
      <c r="D29" s="383"/>
      <c r="E29" s="386">
        <f>summ!E19</f>
        <v>3.0369999999999999</v>
      </c>
      <c r="F29" s="383"/>
      <c r="G29" s="394">
        <f>summ!H19</f>
        <v>5.5369999999999999</v>
      </c>
      <c r="H29" s="383"/>
      <c r="I29" s="383"/>
    </row>
    <row r="30" spans="2:9" ht="15.75">
      <c r="B30" s="383" t="s">
        <v>534</v>
      </c>
      <c r="C30" s="383"/>
      <c r="D30" s="383"/>
      <c r="E30" s="395">
        <f>G29-E29</f>
        <v>2.5</v>
      </c>
      <c r="F30" s="383"/>
      <c r="G30" s="383"/>
      <c r="H30" s="383"/>
      <c r="I30" s="383"/>
    </row>
    <row r="31" spans="2:9" ht="15.75">
      <c r="B31" s="383" t="s">
        <v>529</v>
      </c>
      <c r="C31" s="383"/>
      <c r="D31" s="396" t="str">
        <f>IF(E30&gt;=0,"Qualify","Not Qualify")</f>
        <v>Qualify</v>
      </c>
      <c r="E31" s="383"/>
      <c r="F31" s="383"/>
      <c r="G31" s="383"/>
      <c r="H31" s="383"/>
      <c r="I31" s="383"/>
    </row>
    <row r="32" spans="2:9" ht="15.75">
      <c r="B32" s="383"/>
      <c r="C32" s="383"/>
      <c r="D32" s="383"/>
      <c r="E32" s="383"/>
      <c r="F32" s="383"/>
      <c r="G32" s="383"/>
      <c r="H32" s="383"/>
      <c r="I32" s="383"/>
    </row>
    <row r="33" spans="2:9" ht="15.75">
      <c r="B33" s="383" t="s">
        <v>535</v>
      </c>
      <c r="C33" s="383"/>
      <c r="D33" s="383"/>
      <c r="E33" s="383"/>
      <c r="F33" s="397" t="str">
        <f>IF(D24="Not Qualify",IF(D31="Not Qualify",IF(D31="Not Qualify","Not Qualify","Qualify"),"Qualify"),"Qualify")</f>
        <v>Qualify</v>
      </c>
      <c r="G33" s="383"/>
      <c r="H33" s="383"/>
      <c r="I33" s="383"/>
    </row>
    <row r="34" spans="2:9" ht="15.75">
      <c r="B34" s="383"/>
      <c r="C34" s="383"/>
      <c r="D34" s="383"/>
      <c r="E34" s="383"/>
      <c r="F34" s="383"/>
      <c r="G34" s="383"/>
      <c r="H34" s="383"/>
      <c r="I34" s="383"/>
    </row>
    <row r="35" spans="2:9" ht="15.75">
      <c r="B35" s="383"/>
      <c r="C35" s="383"/>
      <c r="D35" s="383"/>
      <c r="E35" s="383"/>
      <c r="F35" s="383"/>
      <c r="G35" s="383"/>
      <c r="H35" s="383"/>
      <c r="I35" s="383"/>
    </row>
    <row r="36" spans="2:9" ht="37.5" customHeight="1">
      <c r="B36" s="454" t="s">
        <v>536</v>
      </c>
      <c r="C36" s="454"/>
      <c r="D36" s="454"/>
      <c r="E36" s="454"/>
      <c r="F36" s="454"/>
      <c r="G36" s="454"/>
      <c r="H36" s="454"/>
      <c r="I36" s="454"/>
    </row>
    <row r="37" spans="2:9" ht="15.75">
      <c r="B37" s="383"/>
      <c r="C37" s="383"/>
      <c r="D37" s="383"/>
      <c r="E37" s="383"/>
      <c r="F37" s="383"/>
      <c r="G37" s="383"/>
      <c r="H37" s="383"/>
      <c r="I37" s="383"/>
    </row>
    <row r="38" spans="2:9" ht="15.75">
      <c r="B38" s="383"/>
      <c r="C38" s="383"/>
      <c r="D38" s="383"/>
      <c r="E38" s="383"/>
      <c r="F38" s="383"/>
      <c r="G38" s="383"/>
      <c r="H38" s="383"/>
      <c r="I38" s="383"/>
    </row>
    <row r="39" spans="2:9" ht="15.75">
      <c r="B39" s="383"/>
      <c r="C39" s="383"/>
      <c r="D39" s="383"/>
      <c r="E39" s="383"/>
      <c r="F39" s="383"/>
      <c r="G39" s="383"/>
      <c r="H39" s="383"/>
      <c r="I39" s="383"/>
    </row>
    <row r="40" spans="2:9" ht="15.75">
      <c r="B40" s="383"/>
      <c r="C40" s="383"/>
      <c r="D40" s="383"/>
      <c r="E40" s="398" t="s">
        <v>105</v>
      </c>
      <c r="F40" s="399">
        <v>7</v>
      </c>
      <c r="G40" s="383"/>
      <c r="H40" s="383"/>
      <c r="I40" s="383"/>
    </row>
    <row r="41" spans="2:9" ht="15.75">
      <c r="B41" s="383"/>
      <c r="C41" s="383"/>
      <c r="D41" s="383"/>
      <c r="E41" s="383"/>
      <c r="F41" s="383"/>
      <c r="G41" s="383"/>
      <c r="H41" s="383"/>
      <c r="I41" s="383"/>
    </row>
    <row r="42" spans="2:9" ht="15.75">
      <c r="B42" s="383"/>
      <c r="C42" s="383"/>
      <c r="D42" s="383"/>
      <c r="E42" s="383"/>
      <c r="F42" s="383"/>
      <c r="G42" s="383"/>
      <c r="H42" s="383"/>
      <c r="I42" s="383"/>
    </row>
    <row r="43" spans="2:9" ht="15.75">
      <c r="B43" s="450" t="s">
        <v>537</v>
      </c>
      <c r="C43" s="451"/>
      <c r="D43" s="451"/>
      <c r="E43" s="451"/>
      <c r="F43" s="451"/>
      <c r="G43" s="451"/>
      <c r="H43" s="451"/>
      <c r="I43" s="451"/>
    </row>
    <row r="44" spans="2:9" ht="15.75">
      <c r="B44" s="383"/>
      <c r="C44" s="383"/>
      <c r="D44" s="383"/>
      <c r="E44" s="383"/>
      <c r="F44" s="383"/>
      <c r="G44" s="383"/>
      <c r="H44" s="383"/>
      <c r="I44" s="383"/>
    </row>
    <row r="45" spans="2:9" ht="15.75">
      <c r="B45" s="400" t="s">
        <v>538</v>
      </c>
      <c r="C45" s="383"/>
      <c r="D45" s="383"/>
      <c r="E45" s="383"/>
      <c r="F45" s="383"/>
      <c r="G45" s="383"/>
      <c r="H45" s="383"/>
      <c r="I45" s="383"/>
    </row>
    <row r="46" spans="2:9" ht="15.75">
      <c r="B46" s="400" t="str">
        <f>CONCATENATE("sources in your ",G14," library fund is not equal to or greater than the amount from the same")</f>
        <v>sources in your 2013 library fund is not equal to or greater than the amount from the same</v>
      </c>
      <c r="C46" s="383"/>
      <c r="D46" s="383"/>
      <c r="E46" s="383"/>
      <c r="F46" s="383"/>
      <c r="G46" s="383"/>
      <c r="H46" s="383"/>
      <c r="I46" s="383"/>
    </row>
    <row r="47" spans="2:9" ht="15.75">
      <c r="B47" s="400" t="str">
        <f>CONCATENATE("sources in ",E14,".")</f>
        <v>sources in 2012.</v>
      </c>
      <c r="C47" s="381"/>
      <c r="D47" s="381"/>
      <c r="E47" s="381"/>
      <c r="F47" s="381"/>
      <c r="G47" s="381"/>
      <c r="H47" s="381"/>
      <c r="I47" s="381"/>
    </row>
    <row r="48" spans="2:9" ht="15.75">
      <c r="B48" s="381"/>
      <c r="C48" s="381"/>
      <c r="D48" s="381"/>
      <c r="E48" s="381"/>
      <c r="F48" s="381"/>
      <c r="G48" s="381"/>
      <c r="H48" s="381"/>
      <c r="I48" s="381"/>
    </row>
    <row r="49" spans="2:9" ht="15.75">
      <c r="B49" s="400" t="s">
        <v>539</v>
      </c>
      <c r="C49" s="400"/>
      <c r="D49" s="401"/>
      <c r="E49" s="401"/>
      <c r="F49" s="401"/>
      <c r="G49" s="401"/>
      <c r="H49" s="401"/>
      <c r="I49" s="401"/>
    </row>
    <row r="50" spans="2:9" ht="15.75">
      <c r="B50" s="400" t="s">
        <v>540</v>
      </c>
      <c r="C50" s="400"/>
      <c r="D50" s="401"/>
      <c r="E50" s="401"/>
      <c r="F50" s="401"/>
      <c r="G50" s="401"/>
      <c r="H50" s="401"/>
      <c r="I50" s="401"/>
    </row>
    <row r="51" spans="2:9" ht="15.75">
      <c r="B51" s="400" t="s">
        <v>541</v>
      </c>
      <c r="C51" s="400"/>
      <c r="D51" s="401"/>
      <c r="E51" s="401"/>
      <c r="F51" s="401"/>
      <c r="G51" s="401"/>
      <c r="H51" s="401"/>
      <c r="I51" s="401"/>
    </row>
    <row r="52" spans="2:9">
      <c r="B52" s="401"/>
      <c r="C52" s="401"/>
      <c r="D52" s="401"/>
      <c r="E52" s="401"/>
      <c r="F52" s="401"/>
      <c r="G52" s="401"/>
      <c r="H52" s="401"/>
      <c r="I52" s="401"/>
    </row>
    <row r="53" spans="2:9" ht="15.75">
      <c r="B53" s="402" t="s">
        <v>542</v>
      </c>
      <c r="C53" s="401"/>
      <c r="D53" s="401"/>
      <c r="E53" s="401"/>
      <c r="F53" s="401"/>
      <c r="G53" s="401"/>
      <c r="H53" s="401"/>
      <c r="I53" s="401"/>
    </row>
    <row r="54" spans="2:9">
      <c r="B54" s="401"/>
      <c r="C54" s="401"/>
      <c r="D54" s="401"/>
      <c r="E54" s="401"/>
      <c r="F54" s="401"/>
      <c r="G54" s="401"/>
      <c r="H54" s="401"/>
      <c r="I54" s="401"/>
    </row>
    <row r="55" spans="2:9" ht="15.75">
      <c r="B55" s="400" t="s">
        <v>543</v>
      </c>
      <c r="C55" s="401"/>
      <c r="D55" s="401"/>
      <c r="E55" s="401"/>
      <c r="F55" s="401"/>
      <c r="G55" s="401"/>
      <c r="H55" s="401"/>
      <c r="I55" s="401"/>
    </row>
    <row r="56" spans="2:9" ht="15.75">
      <c r="B56" s="400" t="s">
        <v>544</v>
      </c>
      <c r="C56" s="401"/>
      <c r="D56" s="401"/>
      <c r="E56" s="401"/>
      <c r="F56" s="401"/>
      <c r="G56" s="401"/>
      <c r="H56" s="401"/>
      <c r="I56" s="401"/>
    </row>
    <row r="57" spans="2:9">
      <c r="B57" s="401"/>
      <c r="C57" s="401"/>
      <c r="D57" s="401"/>
      <c r="E57" s="401"/>
      <c r="F57" s="401"/>
      <c r="G57" s="401"/>
      <c r="H57" s="401"/>
      <c r="I57" s="401"/>
    </row>
    <row r="58" spans="2:9" ht="15.75">
      <c r="B58" s="402" t="s">
        <v>545</v>
      </c>
      <c r="C58" s="400"/>
      <c r="D58" s="400"/>
      <c r="E58" s="400"/>
      <c r="F58" s="400"/>
      <c r="G58" s="401"/>
      <c r="H58" s="401"/>
      <c r="I58" s="401"/>
    </row>
    <row r="59" spans="2:9" ht="15.75">
      <c r="B59" s="400"/>
      <c r="C59" s="400"/>
      <c r="D59" s="400"/>
      <c r="E59" s="400"/>
      <c r="F59" s="400"/>
      <c r="G59" s="401"/>
      <c r="H59" s="401"/>
      <c r="I59" s="401"/>
    </row>
    <row r="60" spans="2:9" ht="15.75">
      <c r="B60" s="400" t="s">
        <v>546</v>
      </c>
      <c r="C60" s="400"/>
      <c r="D60" s="400"/>
      <c r="E60" s="400"/>
      <c r="F60" s="400"/>
      <c r="G60" s="401"/>
      <c r="H60" s="401"/>
      <c r="I60" s="401"/>
    </row>
    <row r="61" spans="2:9" ht="15.75">
      <c r="B61" s="400" t="s">
        <v>547</v>
      </c>
      <c r="C61" s="400"/>
      <c r="D61" s="400"/>
      <c r="E61" s="400"/>
      <c r="F61" s="400"/>
      <c r="G61" s="401"/>
      <c r="H61" s="401"/>
      <c r="I61" s="401"/>
    </row>
    <row r="62" spans="2:9" ht="15.75">
      <c r="B62" s="400" t="s">
        <v>548</v>
      </c>
      <c r="C62" s="400"/>
      <c r="D62" s="400"/>
      <c r="E62" s="400"/>
      <c r="F62" s="400"/>
      <c r="G62" s="401"/>
      <c r="H62" s="401"/>
      <c r="I62" s="401"/>
    </row>
    <row r="63" spans="2:9" ht="15.75">
      <c r="B63" s="400" t="s">
        <v>549</v>
      </c>
      <c r="C63" s="400"/>
      <c r="D63" s="400"/>
      <c r="E63" s="400"/>
      <c r="F63" s="400"/>
      <c r="G63" s="401"/>
      <c r="H63" s="401"/>
      <c r="I63" s="401"/>
    </row>
    <row r="64" spans="2:9">
      <c r="B64" s="403"/>
      <c r="C64" s="403"/>
      <c r="D64" s="403"/>
      <c r="E64" s="403"/>
      <c r="F64" s="403"/>
      <c r="G64" s="401"/>
      <c r="H64" s="401"/>
      <c r="I64" s="401"/>
    </row>
    <row r="65" spans="2:9" ht="15.75">
      <c r="B65" s="400" t="s">
        <v>550</v>
      </c>
      <c r="C65" s="403"/>
      <c r="D65" s="403"/>
      <c r="E65" s="403"/>
      <c r="F65" s="403"/>
      <c r="G65" s="401"/>
      <c r="H65" s="401"/>
      <c r="I65" s="401"/>
    </row>
    <row r="66" spans="2:9" ht="15.75">
      <c r="B66" s="400" t="s">
        <v>551</v>
      </c>
      <c r="C66" s="403"/>
      <c r="D66" s="403"/>
      <c r="E66" s="403"/>
      <c r="F66" s="403"/>
      <c r="G66" s="401"/>
      <c r="H66" s="401"/>
      <c r="I66" s="401"/>
    </row>
    <row r="67" spans="2:9">
      <c r="B67" s="403"/>
      <c r="C67" s="403"/>
      <c r="D67" s="403"/>
      <c r="E67" s="403"/>
      <c r="F67" s="403"/>
      <c r="G67" s="401"/>
      <c r="H67" s="401"/>
      <c r="I67" s="401"/>
    </row>
    <row r="68" spans="2:9" ht="15.75">
      <c r="B68" s="400" t="s">
        <v>552</v>
      </c>
      <c r="C68" s="403"/>
      <c r="D68" s="403"/>
      <c r="E68" s="403"/>
      <c r="F68" s="403"/>
      <c r="G68" s="401"/>
      <c r="H68" s="401"/>
      <c r="I68" s="401"/>
    </row>
    <row r="69" spans="2:9" ht="15.75">
      <c r="B69" s="400" t="s">
        <v>553</v>
      </c>
      <c r="C69" s="403"/>
      <c r="D69" s="403"/>
      <c r="E69" s="403"/>
      <c r="F69" s="403"/>
      <c r="G69" s="401"/>
      <c r="H69" s="401"/>
      <c r="I69" s="401"/>
    </row>
    <row r="70" spans="2:9">
      <c r="B70" s="403"/>
      <c r="C70" s="403"/>
      <c r="D70" s="403"/>
      <c r="E70" s="403"/>
      <c r="F70" s="403"/>
      <c r="G70" s="401"/>
      <c r="H70" s="401"/>
      <c r="I70" s="401"/>
    </row>
    <row r="71" spans="2:9" ht="15.75">
      <c r="B71" s="402" t="s">
        <v>554</v>
      </c>
      <c r="C71" s="403"/>
      <c r="D71" s="403"/>
      <c r="E71" s="403"/>
      <c r="F71" s="403"/>
      <c r="G71" s="401"/>
      <c r="H71" s="401"/>
      <c r="I71" s="401"/>
    </row>
    <row r="72" spans="2:9">
      <c r="B72" s="403"/>
      <c r="C72" s="403"/>
      <c r="D72" s="403"/>
      <c r="E72" s="403"/>
      <c r="F72" s="403"/>
      <c r="G72" s="401"/>
      <c r="H72" s="401"/>
      <c r="I72" s="401"/>
    </row>
    <row r="73" spans="2:9" ht="15.75">
      <c r="B73" s="400" t="s">
        <v>555</v>
      </c>
      <c r="C73" s="403"/>
      <c r="D73" s="403"/>
      <c r="E73" s="403"/>
      <c r="F73" s="403"/>
      <c r="G73" s="401"/>
      <c r="H73" s="401"/>
      <c r="I73" s="401"/>
    </row>
    <row r="74" spans="2:9" ht="15.75">
      <c r="B74" s="400" t="s">
        <v>556</v>
      </c>
      <c r="C74" s="403"/>
      <c r="D74" s="403"/>
      <c r="E74" s="403"/>
      <c r="F74" s="403"/>
      <c r="G74" s="401"/>
      <c r="H74" s="401"/>
      <c r="I74" s="401"/>
    </row>
    <row r="75" spans="2:9">
      <c r="B75" s="403"/>
      <c r="C75" s="403"/>
      <c r="D75" s="403"/>
      <c r="E75" s="403"/>
      <c r="F75" s="403"/>
      <c r="G75" s="401"/>
      <c r="H75" s="401"/>
      <c r="I75" s="401"/>
    </row>
    <row r="76" spans="2:9" ht="15.75">
      <c r="B76" s="402" t="s">
        <v>557</v>
      </c>
      <c r="C76" s="403"/>
      <c r="D76" s="403"/>
      <c r="E76" s="403"/>
      <c r="F76" s="403"/>
      <c r="G76" s="401"/>
      <c r="H76" s="401"/>
      <c r="I76" s="401"/>
    </row>
    <row r="77" spans="2:9">
      <c r="B77" s="403"/>
      <c r="C77" s="403"/>
      <c r="D77" s="403"/>
      <c r="E77" s="403"/>
      <c r="F77" s="403"/>
      <c r="G77" s="401"/>
      <c r="H77" s="401"/>
      <c r="I77" s="401"/>
    </row>
    <row r="78" spans="2:9" ht="15.75">
      <c r="B78" s="400" t="str">
        <f>CONCATENATE("If the ",G14," municipal budget has not been published and has not been submitted to the County")</f>
        <v>If the 2013 municipal budget has not been published and has not been submitted to the County</v>
      </c>
      <c r="C78" s="403"/>
      <c r="D78" s="403"/>
      <c r="E78" s="403"/>
      <c r="F78" s="403"/>
      <c r="G78" s="401"/>
      <c r="H78" s="401"/>
      <c r="I78" s="401"/>
    </row>
    <row r="79" spans="2:9" ht="15.75">
      <c r="B79" s="400" t="s">
        <v>558</v>
      </c>
      <c r="C79" s="403"/>
      <c r="D79" s="403"/>
      <c r="E79" s="403"/>
      <c r="F79" s="403"/>
      <c r="G79" s="401"/>
      <c r="H79" s="401"/>
      <c r="I79" s="401"/>
    </row>
    <row r="80" spans="2:9">
      <c r="B80" s="403"/>
      <c r="C80" s="403"/>
      <c r="D80" s="403"/>
      <c r="E80" s="403"/>
      <c r="F80" s="403"/>
      <c r="G80" s="401"/>
      <c r="H80" s="401"/>
      <c r="I80" s="401"/>
    </row>
    <row r="81" spans="2:9" ht="15.75">
      <c r="B81" s="402" t="s">
        <v>559</v>
      </c>
      <c r="C81" s="403"/>
      <c r="D81" s="403"/>
      <c r="E81" s="403"/>
      <c r="F81" s="403"/>
      <c r="G81" s="401"/>
      <c r="H81" s="401"/>
      <c r="I81" s="401"/>
    </row>
    <row r="82" spans="2:9">
      <c r="B82" s="403"/>
      <c r="C82" s="403"/>
      <c r="D82" s="403"/>
      <c r="E82" s="403"/>
      <c r="F82" s="403"/>
      <c r="G82" s="401"/>
      <c r="H82" s="401"/>
      <c r="I82" s="401"/>
    </row>
    <row r="83" spans="2:9" ht="15.75">
      <c r="B83" s="400" t="s">
        <v>560</v>
      </c>
      <c r="C83" s="403"/>
      <c r="D83" s="403"/>
      <c r="E83" s="403"/>
      <c r="F83" s="403"/>
      <c r="G83" s="401"/>
      <c r="H83" s="401"/>
      <c r="I83" s="401"/>
    </row>
    <row r="84" spans="2:9" ht="15.75">
      <c r="B84" s="400" t="str">
        <f>CONCATENATE("Budget Year ",G14," is equal to or greater than that for Current Year Estimate ",E14,".")</f>
        <v>Budget Year 2013 is equal to or greater than that for Current Year Estimate 2012.</v>
      </c>
      <c r="C84" s="403"/>
      <c r="D84" s="403"/>
      <c r="E84" s="403"/>
      <c r="F84" s="403"/>
      <c r="G84" s="401"/>
      <c r="H84" s="401"/>
      <c r="I84" s="401"/>
    </row>
    <row r="85" spans="2:9">
      <c r="B85" s="403"/>
      <c r="C85" s="403"/>
      <c r="D85" s="403"/>
      <c r="E85" s="403"/>
      <c r="F85" s="403"/>
      <c r="G85" s="401"/>
      <c r="H85" s="401"/>
      <c r="I85" s="401"/>
    </row>
    <row r="86" spans="2:9" ht="15.75">
      <c r="B86" s="400" t="s">
        <v>561</v>
      </c>
      <c r="C86" s="403"/>
      <c r="D86" s="403"/>
      <c r="E86" s="403"/>
      <c r="F86" s="403"/>
      <c r="G86" s="401"/>
      <c r="H86" s="401"/>
      <c r="I86" s="401"/>
    </row>
    <row r="87" spans="2:9" ht="15.75">
      <c r="B87" s="400" t="s">
        <v>562</v>
      </c>
      <c r="C87" s="403"/>
      <c r="D87" s="403"/>
      <c r="E87" s="403"/>
      <c r="F87" s="403"/>
      <c r="G87" s="401"/>
      <c r="H87" s="401"/>
      <c r="I87" s="401"/>
    </row>
    <row r="88" spans="2:9" ht="15.75">
      <c r="B88" s="400" t="s">
        <v>563</v>
      </c>
      <c r="C88" s="403"/>
      <c r="D88" s="403"/>
      <c r="E88" s="403"/>
      <c r="F88" s="403"/>
      <c r="G88" s="401"/>
      <c r="H88" s="401"/>
      <c r="I88" s="401"/>
    </row>
    <row r="89" spans="2:9" ht="15.75">
      <c r="B89" s="400" t="str">
        <f>CONCATENATE("purpose for the previous (",E14,") year.")</f>
        <v>purpose for the previous (2012) year.</v>
      </c>
      <c r="C89" s="403"/>
      <c r="D89" s="403"/>
      <c r="E89" s="403"/>
      <c r="F89" s="403"/>
      <c r="G89" s="401"/>
      <c r="H89" s="401"/>
      <c r="I89" s="401"/>
    </row>
    <row r="90" spans="2:9">
      <c r="B90" s="403"/>
      <c r="C90" s="403"/>
      <c r="D90" s="403"/>
      <c r="E90" s="403"/>
      <c r="F90" s="403"/>
      <c r="G90" s="401"/>
      <c r="H90" s="401"/>
      <c r="I90" s="401"/>
    </row>
    <row r="91" spans="2:9" ht="15.75">
      <c r="B91" s="400" t="str">
        <f>CONCATENATE("Next, look to see if delinquent tax for ",G14," is budgeted. Often this line is budgeted at $0 or left")</f>
        <v>Next, look to see if delinquent tax for 2013 is budgeted. Often this line is budgeted at $0 or left</v>
      </c>
      <c r="C91" s="403"/>
      <c r="D91" s="403"/>
      <c r="E91" s="403"/>
      <c r="F91" s="403"/>
      <c r="G91" s="401"/>
      <c r="H91" s="401"/>
      <c r="I91" s="401"/>
    </row>
    <row r="92" spans="2:9" ht="15.75">
      <c r="B92" s="400" t="s">
        <v>564</v>
      </c>
      <c r="C92" s="403"/>
      <c r="D92" s="403"/>
      <c r="E92" s="403"/>
      <c r="F92" s="403"/>
      <c r="G92" s="401"/>
      <c r="H92" s="401"/>
      <c r="I92" s="401"/>
    </row>
    <row r="93" spans="2:9" ht="15.75">
      <c r="B93" s="400" t="s">
        <v>565</v>
      </c>
      <c r="C93" s="403"/>
      <c r="D93" s="403"/>
      <c r="E93" s="403"/>
      <c r="F93" s="403"/>
      <c r="G93" s="401"/>
      <c r="H93" s="401"/>
      <c r="I93" s="401"/>
    </row>
    <row r="94" spans="2:9" ht="15.75">
      <c r="B94" s="400" t="s">
        <v>566</v>
      </c>
      <c r="C94" s="403"/>
      <c r="D94" s="403"/>
      <c r="E94" s="403"/>
      <c r="F94" s="403"/>
      <c r="G94" s="401"/>
      <c r="H94" s="401"/>
      <c r="I94" s="401"/>
    </row>
    <row r="95" spans="2:9">
      <c r="B95" s="403"/>
      <c r="C95" s="403"/>
      <c r="D95" s="403"/>
      <c r="E95" s="403"/>
      <c r="F95" s="403"/>
      <c r="G95" s="401"/>
      <c r="H95" s="401"/>
      <c r="I95" s="401"/>
    </row>
    <row r="96" spans="2:9" ht="15.75">
      <c r="B96" s="402" t="s">
        <v>567</v>
      </c>
      <c r="C96" s="403"/>
      <c r="D96" s="403"/>
      <c r="E96" s="403"/>
      <c r="F96" s="403"/>
      <c r="G96" s="401"/>
      <c r="H96" s="401"/>
      <c r="I96" s="401"/>
    </row>
    <row r="97" spans="2:9">
      <c r="B97" s="403"/>
      <c r="C97" s="403"/>
      <c r="D97" s="403"/>
      <c r="E97" s="403"/>
      <c r="F97" s="403"/>
      <c r="G97" s="401"/>
      <c r="H97" s="401"/>
      <c r="I97" s="401"/>
    </row>
    <row r="98" spans="2:9" ht="15.75">
      <c r="B98" s="400" t="s">
        <v>568</v>
      </c>
      <c r="C98" s="403"/>
      <c r="D98" s="403"/>
      <c r="E98" s="403"/>
      <c r="F98" s="403"/>
      <c r="G98" s="401"/>
      <c r="H98" s="401"/>
      <c r="I98" s="401"/>
    </row>
    <row r="99" spans="2:9" ht="15.75">
      <c r="B99" s="400" t="s">
        <v>569</v>
      </c>
      <c r="C99" s="403"/>
      <c r="D99" s="403"/>
      <c r="E99" s="403"/>
      <c r="F99" s="403"/>
      <c r="G99" s="401"/>
      <c r="H99" s="401"/>
      <c r="I99" s="401"/>
    </row>
    <row r="100" spans="2:9">
      <c r="B100" s="403"/>
      <c r="C100" s="403"/>
      <c r="D100" s="403"/>
      <c r="E100" s="403"/>
      <c r="F100" s="403"/>
      <c r="G100" s="401"/>
      <c r="H100" s="401"/>
      <c r="I100" s="401"/>
    </row>
    <row r="101" spans="2:9" ht="15.75">
      <c r="B101" s="400" t="s">
        <v>570</v>
      </c>
      <c r="C101" s="403"/>
      <c r="D101" s="403"/>
      <c r="E101" s="403"/>
      <c r="F101" s="403"/>
      <c r="G101" s="401"/>
      <c r="H101" s="401"/>
      <c r="I101" s="401"/>
    </row>
    <row r="102" spans="2:9" ht="15.75">
      <c r="B102" s="400" t="s">
        <v>571</v>
      </c>
      <c r="C102" s="403"/>
      <c r="D102" s="403"/>
      <c r="E102" s="403"/>
      <c r="F102" s="403"/>
      <c r="G102" s="401"/>
      <c r="H102" s="401"/>
      <c r="I102" s="401"/>
    </row>
    <row r="103" spans="2:9" ht="15.75">
      <c r="B103" s="400" t="s">
        <v>572</v>
      </c>
      <c r="C103" s="403"/>
      <c r="D103" s="403"/>
      <c r="E103" s="403"/>
      <c r="F103" s="403"/>
      <c r="G103" s="401"/>
      <c r="H103" s="401"/>
      <c r="I103" s="401"/>
    </row>
    <row r="104" spans="2:9" ht="15.75">
      <c r="B104" s="400" t="s">
        <v>573</v>
      </c>
      <c r="C104" s="403"/>
      <c r="D104" s="403"/>
      <c r="E104" s="403"/>
      <c r="F104" s="403"/>
      <c r="G104" s="401"/>
      <c r="H104" s="401"/>
      <c r="I104" s="401"/>
    </row>
    <row r="105" spans="2:9">
      <c r="B105" s="404" t="s">
        <v>574</v>
      </c>
      <c r="C105" s="405"/>
      <c r="D105" s="405"/>
      <c r="E105" s="405"/>
      <c r="F105" s="405"/>
      <c r="G105" s="406"/>
      <c r="H105" s="406"/>
      <c r="I105" s="406"/>
    </row>
    <row r="108" spans="2:9">
      <c r="G108" s="407"/>
    </row>
  </sheetData>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rowBreaks count="1" manualBreakCount="1">
    <brk id="40" max="16383" man="1"/>
  </rowBreaks>
</worksheet>
</file>

<file path=xl/worksheets/sheet11.xml><?xml version="1.0" encoding="utf-8"?>
<worksheet xmlns="http://schemas.openxmlformats.org/spreadsheetml/2006/main" xmlns:r="http://schemas.openxmlformats.org/officeDocument/2006/relationships">
  <sheetPr>
    <tabColor theme="7" tint="0.39997558519241921"/>
  </sheetPr>
  <dimension ref="A1:O95"/>
  <sheetViews>
    <sheetView topLeftCell="A25" zoomScaleNormal="100" workbookViewId="0">
      <selection activeCell="A14" sqref="A14"/>
    </sheetView>
  </sheetViews>
  <sheetFormatPr defaultRowHeight="15.75"/>
  <cols>
    <col min="1" max="1" width="28.77734375" style="7" customWidth="1"/>
    <col min="2" max="2" width="9.5546875" style="7" customWidth="1"/>
    <col min="3" max="5" width="15.77734375" style="7" customWidth="1"/>
    <col min="6" max="16384" width="8.88671875" style="7"/>
  </cols>
  <sheetData>
    <row r="1" spans="1:5">
      <c r="A1" s="72" t="str">
        <f>inputPrYr!D2</f>
        <v>CITY OF BLUE RAPIDS</v>
      </c>
      <c r="B1" s="72"/>
      <c r="C1" s="21"/>
      <c r="D1" s="21"/>
      <c r="E1" s="136">
        <f>inputPrYr!C5</f>
        <v>2013</v>
      </c>
    </row>
    <row r="2" spans="1:5">
      <c r="A2" s="21"/>
      <c r="B2" s="21"/>
      <c r="C2" s="21"/>
      <c r="D2" s="21"/>
      <c r="E2" s="24"/>
    </row>
    <row r="3" spans="1:5">
      <c r="A3" s="90" t="s">
        <v>172</v>
      </c>
      <c r="B3" s="90"/>
      <c r="C3" s="21"/>
      <c r="D3" s="21"/>
      <c r="E3" s="23"/>
    </row>
    <row r="4" spans="1:5">
      <c r="A4" s="21"/>
      <c r="B4" s="21"/>
      <c r="C4" s="91"/>
      <c r="D4" s="91"/>
      <c r="E4" s="91"/>
    </row>
    <row r="5" spans="1:5">
      <c r="A5" s="92" t="s">
        <v>96</v>
      </c>
      <c r="B5" s="92"/>
      <c r="C5" s="93" t="s">
        <v>120</v>
      </c>
      <c r="D5" s="33" t="s">
        <v>256</v>
      </c>
      <c r="E5" s="33" t="s">
        <v>257</v>
      </c>
    </row>
    <row r="6" spans="1:5">
      <c r="A6" s="325" t="str">
        <f>inputPrYr!B16</f>
        <v>General</v>
      </c>
      <c r="B6" s="135"/>
      <c r="C6" s="142">
        <f>E1-2</f>
        <v>2011</v>
      </c>
      <c r="D6" s="142">
        <f>E1-1</f>
        <v>2012</v>
      </c>
      <c r="E6" s="142">
        <f>E1</f>
        <v>2013</v>
      </c>
    </row>
    <row r="7" spans="1:5">
      <c r="A7" s="275" t="s">
        <v>230</v>
      </c>
      <c r="B7" s="281"/>
      <c r="C7" s="268">
        <v>91037</v>
      </c>
      <c r="D7" s="40">
        <f>C83</f>
        <v>135675</v>
      </c>
      <c r="E7" s="40">
        <f>D83</f>
        <v>143084</v>
      </c>
    </row>
    <row r="8" spans="1:5">
      <c r="A8" s="280" t="s">
        <v>232</v>
      </c>
      <c r="B8" s="281"/>
      <c r="C8" s="269"/>
      <c r="D8" s="40"/>
      <c r="E8" s="40"/>
    </row>
    <row r="9" spans="1:5">
      <c r="A9" s="275" t="s">
        <v>97</v>
      </c>
      <c r="B9" s="281"/>
      <c r="C9" s="268">
        <v>203526</v>
      </c>
      <c r="D9" s="40">
        <f>inputPrYr!D16</f>
        <v>217667</v>
      </c>
      <c r="E9" s="45" t="s">
        <v>470</v>
      </c>
    </row>
    <row r="10" spans="1:5">
      <c r="A10" s="275" t="s">
        <v>98</v>
      </c>
      <c r="B10" s="281"/>
      <c r="C10" s="268">
        <v>10653</v>
      </c>
      <c r="D10" s="268">
        <v>0</v>
      </c>
      <c r="E10" s="14">
        <v>0</v>
      </c>
    </row>
    <row r="11" spans="1:5">
      <c r="A11" s="275" t="s">
        <v>99</v>
      </c>
      <c r="B11" s="281"/>
      <c r="C11" s="268">
        <v>40307</v>
      </c>
      <c r="D11" s="268">
        <v>39313</v>
      </c>
      <c r="E11" s="40">
        <f>mvalloc!C7</f>
        <v>42910</v>
      </c>
    </row>
    <row r="12" spans="1:5">
      <c r="A12" s="275" t="s">
        <v>100</v>
      </c>
      <c r="B12" s="281"/>
      <c r="C12" s="268">
        <v>1243</v>
      </c>
      <c r="D12" s="268">
        <v>1235</v>
      </c>
      <c r="E12" s="40">
        <f>mvalloc!D7</f>
        <v>1180</v>
      </c>
    </row>
    <row r="13" spans="1:5">
      <c r="A13" s="275" t="s">
        <v>207</v>
      </c>
      <c r="B13" s="281"/>
      <c r="C13" s="268">
        <v>654</v>
      </c>
      <c r="D13" s="268">
        <v>650</v>
      </c>
      <c r="E13" s="40">
        <f>mvalloc!E7</f>
        <v>661</v>
      </c>
    </row>
    <row r="14" spans="1:5">
      <c r="A14" s="275" t="s">
        <v>208</v>
      </c>
      <c r="B14" s="281"/>
      <c r="C14" s="268">
        <v>7968</v>
      </c>
      <c r="D14" s="268">
        <v>6341</v>
      </c>
      <c r="E14" s="40">
        <f>inputOth!E15</f>
        <v>6738</v>
      </c>
    </row>
    <row r="15" spans="1:5">
      <c r="A15" s="275" t="s">
        <v>262</v>
      </c>
      <c r="B15" s="281"/>
      <c r="C15" s="268">
        <v>0</v>
      </c>
      <c r="D15" s="268">
        <v>0</v>
      </c>
      <c r="E15" s="40">
        <f>inputOth!E40</f>
        <v>0</v>
      </c>
    </row>
    <row r="16" spans="1:5">
      <c r="A16" s="285" t="s">
        <v>264</v>
      </c>
      <c r="B16" s="281"/>
      <c r="C16" s="268">
        <v>0</v>
      </c>
      <c r="D16" s="268">
        <v>0</v>
      </c>
      <c r="E16" s="40">
        <f>mvalloc!F7</f>
        <v>0</v>
      </c>
    </row>
    <row r="17" spans="1:6">
      <c r="A17" s="287" t="s">
        <v>431</v>
      </c>
      <c r="B17" s="282"/>
      <c r="C17" s="268">
        <v>30236</v>
      </c>
      <c r="D17" s="14">
        <v>32500</v>
      </c>
      <c r="E17" s="14">
        <v>32500</v>
      </c>
    </row>
    <row r="18" spans="1:6">
      <c r="A18" s="287" t="s">
        <v>101</v>
      </c>
      <c r="B18" s="282"/>
      <c r="C18" s="268">
        <v>3497</v>
      </c>
      <c r="D18" s="14">
        <v>3300</v>
      </c>
      <c r="E18" s="14">
        <v>3245</v>
      </c>
    </row>
    <row r="19" spans="1:6">
      <c r="A19" s="287" t="s">
        <v>50</v>
      </c>
      <c r="B19" s="282"/>
      <c r="C19" s="268">
        <v>498</v>
      </c>
      <c r="D19" s="14">
        <v>0</v>
      </c>
      <c r="E19" s="14">
        <v>0</v>
      </c>
    </row>
    <row r="20" spans="1:6">
      <c r="A20" s="287" t="s">
        <v>442</v>
      </c>
      <c r="B20" s="282"/>
      <c r="C20" s="268">
        <v>133391</v>
      </c>
      <c r="D20" s="14">
        <v>135900</v>
      </c>
      <c r="E20" s="14">
        <v>135950</v>
      </c>
    </row>
    <row r="21" spans="1:6">
      <c r="A21" s="287" t="s">
        <v>432</v>
      </c>
      <c r="B21" s="282"/>
      <c r="C21" s="268">
        <v>12000</v>
      </c>
      <c r="D21" s="14">
        <v>12000</v>
      </c>
      <c r="E21" s="14">
        <v>12000</v>
      </c>
      <c r="F21" s="342"/>
    </row>
    <row r="22" spans="1:6">
      <c r="A22" s="287" t="s">
        <v>443</v>
      </c>
      <c r="B22" s="282"/>
      <c r="C22" s="268">
        <v>375</v>
      </c>
      <c r="D22" s="14">
        <v>1100</v>
      </c>
      <c r="E22" s="14">
        <v>1200</v>
      </c>
    </row>
    <row r="23" spans="1:6">
      <c r="A23" s="287" t="s">
        <v>433</v>
      </c>
      <c r="B23" s="282"/>
      <c r="C23" s="268">
        <v>1050</v>
      </c>
      <c r="D23" s="14">
        <v>0</v>
      </c>
      <c r="E23" s="14">
        <v>0</v>
      </c>
    </row>
    <row r="24" spans="1:6">
      <c r="A24" s="287" t="s">
        <v>434</v>
      </c>
      <c r="B24" s="282"/>
      <c r="C24" s="268">
        <v>255</v>
      </c>
      <c r="D24" s="14">
        <v>475</v>
      </c>
      <c r="E24" s="14">
        <v>475</v>
      </c>
    </row>
    <row r="25" spans="1:6">
      <c r="A25" s="287" t="s">
        <v>0</v>
      </c>
      <c r="B25" s="282"/>
      <c r="C25" s="268">
        <v>395</v>
      </c>
      <c r="D25" s="14">
        <v>415</v>
      </c>
      <c r="E25" s="14">
        <v>420</v>
      </c>
    </row>
    <row r="26" spans="1:6">
      <c r="A26" s="287" t="s">
        <v>435</v>
      </c>
      <c r="B26" s="282"/>
      <c r="C26" s="268">
        <v>1734</v>
      </c>
      <c r="D26" s="14">
        <v>2120</v>
      </c>
      <c r="E26" s="14">
        <v>2120</v>
      </c>
    </row>
    <row r="27" spans="1:6">
      <c r="A27" s="287" t="s">
        <v>102</v>
      </c>
      <c r="B27" s="282"/>
      <c r="C27" s="268">
        <v>8492</v>
      </c>
      <c r="D27" s="14">
        <v>8500</v>
      </c>
      <c r="E27" s="14">
        <v>8650</v>
      </c>
    </row>
    <row r="28" spans="1:6">
      <c r="A28" s="287" t="s">
        <v>49</v>
      </c>
      <c r="B28" s="282"/>
      <c r="C28" s="268">
        <v>0</v>
      </c>
      <c r="D28" s="14">
        <v>0</v>
      </c>
      <c r="E28" s="14">
        <v>0</v>
      </c>
    </row>
    <row r="29" spans="1:6">
      <c r="A29" s="287" t="s">
        <v>444</v>
      </c>
      <c r="B29" s="282"/>
      <c r="C29" s="268">
        <v>0</v>
      </c>
      <c r="D29" s="14">
        <v>200</v>
      </c>
      <c r="E29" s="14">
        <v>0</v>
      </c>
    </row>
    <row r="30" spans="1:6">
      <c r="A30" s="287" t="s">
        <v>437</v>
      </c>
      <c r="B30" s="282"/>
      <c r="C30" s="268">
        <v>23595</v>
      </c>
      <c r="D30" s="14">
        <v>29000</v>
      </c>
      <c r="E30" s="14">
        <v>29250</v>
      </c>
    </row>
    <row r="31" spans="1:6">
      <c r="A31" s="287" t="s">
        <v>438</v>
      </c>
      <c r="B31" s="282"/>
      <c r="C31" s="268">
        <v>1300</v>
      </c>
      <c r="D31" s="14">
        <v>1400</v>
      </c>
      <c r="E31" s="14">
        <v>1500</v>
      </c>
    </row>
    <row r="32" spans="1:6">
      <c r="A32" s="287" t="s">
        <v>439</v>
      </c>
      <c r="B32" s="282"/>
      <c r="C32" s="268">
        <v>2837</v>
      </c>
      <c r="D32" s="14">
        <v>3500</v>
      </c>
      <c r="E32" s="14">
        <v>3700</v>
      </c>
    </row>
    <row r="33" spans="1:15">
      <c r="A33" s="287" t="s">
        <v>440</v>
      </c>
      <c r="B33" s="282"/>
      <c r="C33" s="268">
        <v>6189</v>
      </c>
      <c r="D33" s="14">
        <v>0</v>
      </c>
      <c r="E33" s="14">
        <v>0</v>
      </c>
    </row>
    <row r="34" spans="1:15">
      <c r="A34" s="287" t="s">
        <v>480</v>
      </c>
      <c r="B34" s="282"/>
      <c r="C34" s="268">
        <v>1776</v>
      </c>
      <c r="D34" s="14">
        <v>0</v>
      </c>
      <c r="E34" s="14">
        <v>0</v>
      </c>
    </row>
    <row r="35" spans="1:15">
      <c r="A35" s="287" t="s">
        <v>441</v>
      </c>
      <c r="B35" s="282"/>
      <c r="C35" s="268">
        <v>401</v>
      </c>
      <c r="D35" s="14">
        <v>650</v>
      </c>
      <c r="E35" s="14">
        <v>650</v>
      </c>
      <c r="F35" s="341"/>
      <c r="G35" s="341"/>
      <c r="H35" s="341"/>
      <c r="I35" s="341"/>
      <c r="J35" s="341"/>
      <c r="K35" s="341"/>
      <c r="L35" s="341"/>
      <c r="M35" s="341"/>
      <c r="N35" s="341"/>
      <c r="O35" s="341"/>
    </row>
    <row r="36" spans="1:15">
      <c r="A36" s="287" t="s">
        <v>445</v>
      </c>
      <c r="B36" s="282"/>
      <c r="C36" s="268">
        <v>140000</v>
      </c>
      <c r="D36" s="14">
        <v>160000</v>
      </c>
      <c r="E36" s="14">
        <v>160000</v>
      </c>
      <c r="F36" s="355"/>
      <c r="G36" s="355"/>
      <c r="H36" s="355"/>
      <c r="I36" s="355"/>
      <c r="J36" s="355"/>
      <c r="K36" s="355"/>
      <c r="L36" s="355"/>
      <c r="M36" s="355"/>
      <c r="N36" s="355"/>
      <c r="O36" s="341"/>
    </row>
    <row r="37" spans="1:15">
      <c r="A37" s="287" t="s">
        <v>481</v>
      </c>
      <c r="B37" s="282"/>
      <c r="C37" s="268">
        <v>5100</v>
      </c>
      <c r="D37" s="14">
        <v>0</v>
      </c>
      <c r="E37" s="14">
        <v>0</v>
      </c>
      <c r="F37" s="355"/>
      <c r="G37" s="355"/>
      <c r="H37" s="355"/>
      <c r="I37" s="355"/>
      <c r="J37" s="355"/>
      <c r="K37" s="355"/>
      <c r="L37" s="355"/>
      <c r="M37" s="355"/>
      <c r="N37" s="355"/>
      <c r="O37" s="341"/>
    </row>
    <row r="38" spans="1:15">
      <c r="A38" s="287" t="s">
        <v>448</v>
      </c>
      <c r="B38" s="282"/>
      <c r="C38" s="268">
        <v>515</v>
      </c>
      <c r="D38" s="14">
        <v>0</v>
      </c>
      <c r="E38" s="14">
        <v>0</v>
      </c>
      <c r="F38" s="355"/>
      <c r="G38" s="355"/>
      <c r="H38" s="355"/>
      <c r="I38" s="355"/>
      <c r="J38" s="355"/>
      <c r="K38" s="355"/>
      <c r="L38" s="355"/>
      <c r="M38" s="355"/>
      <c r="N38" s="355"/>
      <c r="O38" s="341"/>
    </row>
    <row r="39" spans="1:15">
      <c r="A39" s="276" t="s">
        <v>459</v>
      </c>
      <c r="B39" s="282"/>
      <c r="C39" s="268">
        <v>3316</v>
      </c>
      <c r="D39" s="14">
        <v>0</v>
      </c>
      <c r="E39" s="14">
        <v>0</v>
      </c>
      <c r="F39" s="355"/>
      <c r="G39" s="355"/>
      <c r="H39" s="355"/>
      <c r="I39" s="355"/>
      <c r="J39" s="355"/>
      <c r="K39" s="355"/>
      <c r="L39" s="355"/>
      <c r="M39" s="355"/>
      <c r="N39" s="355"/>
      <c r="O39" s="341"/>
    </row>
    <row r="40" spans="1:15">
      <c r="A40" s="285" t="s">
        <v>436</v>
      </c>
      <c r="B40" s="281"/>
      <c r="C40" s="268">
        <v>2674</v>
      </c>
      <c r="D40" s="268">
        <v>6500</v>
      </c>
      <c r="E40" s="268">
        <v>7500</v>
      </c>
      <c r="F40" s="355"/>
      <c r="G40" s="341"/>
      <c r="H40" s="341"/>
      <c r="I40" s="341"/>
      <c r="J40" s="341"/>
      <c r="K40" s="341"/>
      <c r="L40" s="341"/>
      <c r="M40" s="341"/>
      <c r="N40" s="341"/>
      <c r="O40" s="341"/>
    </row>
    <row r="41" spans="1:15">
      <c r="A41" s="275" t="s">
        <v>372</v>
      </c>
      <c r="B41" s="281"/>
      <c r="C41" s="310" t="str">
        <f>IF(C42*0.1&lt;C40,"Exceed 10% Rule","")</f>
        <v/>
      </c>
      <c r="D41" s="310" t="str">
        <f>IF(D42*0.1&lt;D40,"Exceed 10% Rule","")</f>
        <v/>
      </c>
      <c r="E41" s="310" t="str">
        <f>IF(E42*0.1&lt;E40,"Exceed 10% Rule","")</f>
        <v/>
      </c>
      <c r="F41" s="341"/>
      <c r="G41" s="341"/>
      <c r="H41" s="341"/>
      <c r="I41" s="341"/>
      <c r="J41" s="341"/>
      <c r="K41" s="341"/>
      <c r="L41" s="341"/>
      <c r="M41" s="341"/>
      <c r="N41" s="341"/>
      <c r="O41" s="341"/>
    </row>
    <row r="42" spans="1:15">
      <c r="A42" s="144" t="s">
        <v>103</v>
      </c>
      <c r="B42" s="281"/>
      <c r="C42" s="271">
        <f>SUM(C9:C40)</f>
        <v>643977</v>
      </c>
      <c r="D42" s="242">
        <f>SUM(D9:D40)</f>
        <v>662766</v>
      </c>
      <c r="E42" s="242">
        <f>SUM(E10:E40)</f>
        <v>450649</v>
      </c>
      <c r="F42" s="341"/>
      <c r="G42" s="341"/>
      <c r="H42" s="341"/>
      <c r="I42" s="341"/>
      <c r="J42" s="341"/>
      <c r="K42" s="341"/>
      <c r="L42" s="341"/>
      <c r="M42" s="341"/>
      <c r="N42" s="341"/>
      <c r="O42" s="341"/>
    </row>
    <row r="43" spans="1:15">
      <c r="A43" s="144" t="s">
        <v>104</v>
      </c>
      <c r="B43" s="281"/>
      <c r="C43" s="278">
        <f>C7+C42</f>
        <v>735014</v>
      </c>
      <c r="D43" s="245">
        <f>D7+D42</f>
        <v>798441</v>
      </c>
      <c r="E43" s="245">
        <f>E7+E42</f>
        <v>593733</v>
      </c>
      <c r="F43" s="341"/>
      <c r="G43" s="341"/>
      <c r="H43" s="341"/>
      <c r="I43" s="341"/>
      <c r="J43" s="341"/>
      <c r="K43" s="341"/>
      <c r="L43" s="341"/>
      <c r="M43" s="341"/>
      <c r="N43" s="341"/>
      <c r="O43" s="341"/>
    </row>
    <row r="44" spans="1:15">
      <c r="A44" s="21"/>
      <c r="B44" s="21"/>
      <c r="C44" s="21"/>
      <c r="D44" s="21"/>
      <c r="E44" s="21"/>
      <c r="F44" s="341"/>
      <c r="G44" s="341"/>
      <c r="H44" s="341"/>
      <c r="I44" s="341"/>
      <c r="J44" s="341"/>
      <c r="K44" s="341"/>
      <c r="L44" s="341"/>
      <c r="M44" s="341"/>
      <c r="N44" s="341"/>
      <c r="O44" s="341"/>
    </row>
    <row r="45" spans="1:15">
      <c r="A45" s="434" t="s">
        <v>575</v>
      </c>
      <c r="B45" s="434"/>
      <c r="C45" s="434"/>
      <c r="D45" s="434"/>
      <c r="E45" s="434"/>
      <c r="F45" s="341"/>
      <c r="G45" s="341"/>
      <c r="H45" s="341"/>
      <c r="I45" s="341"/>
      <c r="J45" s="341"/>
      <c r="K45" s="341"/>
      <c r="L45" s="341"/>
      <c r="M45" s="341"/>
      <c r="N45" s="341"/>
      <c r="O45" s="341"/>
    </row>
    <row r="46" spans="1:15">
      <c r="A46" s="131"/>
      <c r="B46" s="131"/>
      <c r="C46" s="131"/>
      <c r="D46" s="131"/>
      <c r="E46" s="131"/>
      <c r="F46" s="341"/>
      <c r="G46" s="341"/>
      <c r="H46" s="341"/>
      <c r="I46" s="341"/>
      <c r="J46" s="341"/>
      <c r="K46" s="341"/>
      <c r="L46" s="341"/>
      <c r="M46" s="341"/>
      <c r="N46" s="341"/>
      <c r="O46" s="341"/>
    </row>
    <row r="47" spans="1:15">
      <c r="A47" s="72" t="str">
        <f>inputPrYr!D2</f>
        <v>CITY OF BLUE RAPIDS</v>
      </c>
      <c r="B47" s="72"/>
      <c r="C47" s="21"/>
      <c r="D47" s="21"/>
      <c r="E47" s="24"/>
      <c r="F47" s="341"/>
      <c r="G47" s="341"/>
      <c r="H47" s="341"/>
      <c r="I47" s="341"/>
      <c r="J47" s="341"/>
      <c r="K47" s="341"/>
      <c r="L47" s="341"/>
      <c r="M47" s="341"/>
      <c r="N47" s="341"/>
      <c r="O47" s="341"/>
    </row>
    <row r="48" spans="1:15">
      <c r="A48" s="21"/>
      <c r="B48" s="21"/>
      <c r="C48" s="21"/>
      <c r="D48" s="21"/>
      <c r="E48" s="23"/>
      <c r="F48" s="341"/>
      <c r="G48" s="341"/>
      <c r="H48" s="341"/>
      <c r="I48" s="341"/>
      <c r="J48" s="341"/>
      <c r="K48" s="341"/>
      <c r="L48" s="341"/>
      <c r="M48" s="341"/>
      <c r="N48" s="341"/>
      <c r="O48" s="341"/>
    </row>
    <row r="49" spans="1:15">
      <c r="A49" s="89" t="s">
        <v>172</v>
      </c>
      <c r="B49" s="89"/>
      <c r="C49" s="87"/>
      <c r="D49" s="87"/>
      <c r="E49" s="87"/>
      <c r="F49" s="341"/>
      <c r="G49" s="341"/>
      <c r="H49" s="341"/>
      <c r="I49" s="341"/>
      <c r="J49" s="341"/>
      <c r="K49" s="341"/>
      <c r="L49" s="341"/>
      <c r="M49" s="341"/>
      <c r="N49" s="341"/>
      <c r="O49" s="341"/>
    </row>
    <row r="50" spans="1:15">
      <c r="A50" s="21" t="s">
        <v>96</v>
      </c>
      <c r="B50" s="21"/>
      <c r="C50" s="93" t="s">
        <v>120</v>
      </c>
      <c r="D50" s="33" t="s">
        <v>256</v>
      </c>
      <c r="E50" s="33" t="s">
        <v>257</v>
      </c>
      <c r="F50" s="341"/>
      <c r="G50" s="341"/>
      <c r="H50" s="341"/>
      <c r="I50" s="341"/>
      <c r="J50" s="341"/>
      <c r="K50" s="341"/>
      <c r="L50" s="341"/>
      <c r="M50" s="341"/>
      <c r="N50" s="341"/>
      <c r="O50" s="341"/>
    </row>
    <row r="51" spans="1:15">
      <c r="A51" s="325" t="str">
        <f>inputPrYr!B16</f>
        <v>General</v>
      </c>
      <c r="B51" s="135"/>
      <c r="C51" s="142">
        <f>C6</f>
        <v>2011</v>
      </c>
      <c r="D51" s="142">
        <f>D6</f>
        <v>2012</v>
      </c>
      <c r="E51" s="142">
        <f>E6</f>
        <v>2013</v>
      </c>
      <c r="F51" s="341"/>
      <c r="G51" s="341"/>
      <c r="H51" s="341"/>
      <c r="I51" s="341"/>
      <c r="J51" s="341"/>
      <c r="K51" s="341"/>
      <c r="L51" s="341"/>
      <c r="M51" s="341"/>
      <c r="N51" s="341"/>
      <c r="O51" s="341"/>
    </row>
    <row r="52" spans="1:15">
      <c r="A52" s="288" t="s">
        <v>104</v>
      </c>
      <c r="B52" s="289"/>
      <c r="C52" s="117">
        <f>C43</f>
        <v>735014</v>
      </c>
      <c r="D52" s="85">
        <f>D43</f>
        <v>798441</v>
      </c>
      <c r="E52" s="85">
        <f>E43</f>
        <v>593733</v>
      </c>
      <c r="F52" s="341"/>
      <c r="G52" s="341"/>
      <c r="H52" s="341"/>
      <c r="I52" s="341"/>
      <c r="J52" s="341"/>
      <c r="K52" s="341"/>
      <c r="L52" s="341"/>
      <c r="M52" s="341"/>
      <c r="N52" s="341"/>
      <c r="O52" s="341"/>
    </row>
    <row r="53" spans="1:15">
      <c r="A53" s="280" t="s">
        <v>106</v>
      </c>
      <c r="B53" s="289"/>
      <c r="C53" s="269"/>
      <c r="D53" s="40"/>
      <c r="E53" s="40"/>
      <c r="F53" s="341"/>
      <c r="G53" s="341"/>
      <c r="H53" s="341"/>
      <c r="I53" s="341"/>
      <c r="J53" s="341"/>
      <c r="K53" s="341"/>
      <c r="L53" s="341"/>
      <c r="M53" s="341"/>
      <c r="N53" s="341"/>
      <c r="O53" s="341"/>
    </row>
    <row r="54" spans="1:15">
      <c r="A54" s="276"/>
      <c r="B54" s="290"/>
      <c r="C54" s="268"/>
      <c r="D54" s="14"/>
      <c r="E54" s="14"/>
      <c r="F54" s="341"/>
      <c r="G54" s="341"/>
      <c r="H54" s="341"/>
      <c r="I54" s="341"/>
      <c r="J54" s="341"/>
      <c r="K54" s="341"/>
      <c r="L54" s="341"/>
      <c r="M54" s="341"/>
      <c r="N54" s="341"/>
      <c r="O54" s="341"/>
    </row>
    <row r="55" spans="1:15">
      <c r="A55" s="459" t="s">
        <v>1</v>
      </c>
      <c r="B55" s="460"/>
      <c r="C55" s="14">
        <f>'general-detail'!B12</f>
        <v>92670</v>
      </c>
      <c r="D55" s="14">
        <f>'general-detail'!C12</f>
        <v>104870</v>
      </c>
      <c r="E55" s="14">
        <f>'general-detail'!D12</f>
        <v>229875</v>
      </c>
      <c r="F55" s="341"/>
      <c r="G55" s="341"/>
      <c r="H55" s="341"/>
      <c r="I55" s="341"/>
      <c r="J55" s="341"/>
      <c r="K55" s="341"/>
      <c r="L55" s="341"/>
      <c r="M55" s="341"/>
      <c r="N55" s="341"/>
      <c r="O55" s="341"/>
    </row>
    <row r="56" spans="1:15">
      <c r="A56" s="276"/>
      <c r="B56" s="290"/>
      <c r="C56" s="268"/>
      <c r="D56" s="14"/>
      <c r="E56" s="14"/>
      <c r="F56" s="341"/>
      <c r="G56" s="341"/>
      <c r="H56" s="341"/>
      <c r="I56" s="341"/>
      <c r="J56" s="341"/>
      <c r="K56" s="341"/>
      <c r="L56" s="341"/>
      <c r="M56" s="341"/>
      <c r="N56" s="341"/>
      <c r="O56" s="341"/>
    </row>
    <row r="57" spans="1:15">
      <c r="A57" s="339" t="s">
        <v>2</v>
      </c>
      <c r="B57" s="290"/>
      <c r="C57" s="268">
        <f>'general-detail'!B18</f>
        <v>148450</v>
      </c>
      <c r="D57" s="268">
        <f>'general-detail'!C18</f>
        <v>176700</v>
      </c>
      <c r="E57" s="268">
        <f>'general-detail'!D18</f>
        <v>197649</v>
      </c>
      <c r="F57" s="341"/>
      <c r="G57" s="341"/>
      <c r="H57" s="341"/>
      <c r="I57" s="341"/>
      <c r="J57" s="341"/>
      <c r="K57" s="341"/>
      <c r="L57" s="341"/>
      <c r="M57" s="341"/>
      <c r="N57" s="341"/>
      <c r="O57" s="341"/>
    </row>
    <row r="58" spans="1:15">
      <c r="A58" s="266"/>
      <c r="B58" s="290"/>
      <c r="C58" s="268"/>
      <c r="D58" s="14"/>
      <c r="E58" s="14"/>
    </row>
    <row r="59" spans="1:15">
      <c r="A59" s="339" t="s">
        <v>3</v>
      </c>
      <c r="B59" s="290"/>
      <c r="C59" s="268">
        <f>'general-detail'!B24</f>
        <v>30773</v>
      </c>
      <c r="D59" s="268">
        <f>'general-detail'!C24</f>
        <v>23275</v>
      </c>
      <c r="E59" s="268">
        <f>'general-detail'!D24</f>
        <v>33375</v>
      </c>
    </row>
    <row r="60" spans="1:15">
      <c r="A60" s="266"/>
      <c r="B60" s="290"/>
      <c r="C60" s="268"/>
      <c r="D60" s="14"/>
      <c r="E60" s="14"/>
    </row>
    <row r="61" spans="1:15">
      <c r="A61" s="339" t="s">
        <v>4</v>
      </c>
      <c r="B61" s="290"/>
      <c r="C61" s="268">
        <f>'general-detail'!B30</f>
        <v>118566</v>
      </c>
      <c r="D61" s="268">
        <f>'general-detail'!C30</f>
        <v>125719</v>
      </c>
      <c r="E61" s="268">
        <f>'general-detail'!D30</f>
        <v>129919</v>
      </c>
    </row>
    <row r="62" spans="1:15">
      <c r="A62" s="266"/>
      <c r="B62" s="290"/>
      <c r="C62" s="268"/>
      <c r="D62" s="14"/>
      <c r="E62" s="14"/>
    </row>
    <row r="63" spans="1:15">
      <c r="A63" s="339" t="s">
        <v>5</v>
      </c>
      <c r="B63" s="290"/>
      <c r="C63" s="268">
        <f>'general-detail'!B36</f>
        <v>0</v>
      </c>
      <c r="D63" s="268">
        <f>'general-detail'!C36</f>
        <v>0</v>
      </c>
      <c r="E63" s="268">
        <f>'general-detail'!D36</f>
        <v>0</v>
      </c>
    </row>
    <row r="64" spans="1:15">
      <c r="A64" s="276"/>
      <c r="B64" s="290"/>
      <c r="C64" s="268"/>
      <c r="D64" s="14"/>
      <c r="E64" s="14"/>
    </row>
    <row r="65" spans="1:5">
      <c r="A65" s="339" t="s">
        <v>6</v>
      </c>
      <c r="B65" s="290"/>
      <c r="C65" s="268">
        <f>'general-detail'!B43</f>
        <v>113194</v>
      </c>
      <c r="D65" s="268">
        <f>'general-detail'!C43</f>
        <v>125000</v>
      </c>
      <c r="E65" s="268">
        <f>'general-detail'!D43</f>
        <v>131040</v>
      </c>
    </row>
    <row r="66" spans="1:5">
      <c r="A66" s="276"/>
      <c r="B66" s="290"/>
      <c r="C66" s="268"/>
      <c r="D66" s="14"/>
      <c r="E66" s="14"/>
    </row>
    <row r="67" spans="1:5">
      <c r="A67" s="339" t="s">
        <v>7</v>
      </c>
      <c r="B67" s="290"/>
      <c r="C67" s="268">
        <f>'general-detail'!B49</f>
        <v>5240</v>
      </c>
      <c r="D67" s="268">
        <f>'general-detail'!C49</f>
        <v>5900</v>
      </c>
      <c r="E67" s="268">
        <f>'general-detail'!D49</f>
        <v>6300</v>
      </c>
    </row>
    <row r="68" spans="1:5">
      <c r="A68" s="276"/>
      <c r="B68" s="290"/>
      <c r="C68" s="268"/>
      <c r="D68" s="14"/>
      <c r="E68" s="14"/>
    </row>
    <row r="69" spans="1:5">
      <c r="A69" s="461" t="s">
        <v>21</v>
      </c>
      <c r="B69" s="462"/>
      <c r="C69" s="268">
        <f>'general-detail'!B50</f>
        <v>12000</v>
      </c>
      <c r="D69" s="268">
        <f>'general-detail'!C50</f>
        <v>12000</v>
      </c>
      <c r="E69" s="268">
        <f>'general-detail'!D50</f>
        <v>12000</v>
      </c>
    </row>
    <row r="70" spans="1:5">
      <c r="A70" s="461"/>
      <c r="B70" s="462"/>
      <c r="C70" s="268"/>
      <c r="D70" s="14"/>
      <c r="E70" s="14"/>
    </row>
    <row r="71" spans="1:5">
      <c r="A71" s="461" t="s">
        <v>22</v>
      </c>
      <c r="B71" s="462"/>
      <c r="C71" s="268">
        <f>'general-detail'!B51</f>
        <v>30501</v>
      </c>
      <c r="D71" s="268">
        <f>'general-detail'!C51</f>
        <v>34100</v>
      </c>
      <c r="E71" s="268">
        <f>'general-detail'!D51</f>
        <v>36500</v>
      </c>
    </row>
    <row r="72" spans="1:5">
      <c r="A72" s="266"/>
      <c r="B72" s="290"/>
      <c r="C72" s="268"/>
      <c r="D72" s="14"/>
      <c r="E72" s="14"/>
    </row>
    <row r="73" spans="1:5">
      <c r="A73" s="339" t="s">
        <v>8</v>
      </c>
      <c r="B73" s="290"/>
      <c r="C73" s="268">
        <f>'general-detail'!B63</f>
        <v>47945</v>
      </c>
      <c r="D73" s="268">
        <f>'general-detail'!C63</f>
        <v>47793</v>
      </c>
      <c r="E73" s="268">
        <f>'general-detail'!D63</f>
        <v>46776</v>
      </c>
    </row>
    <row r="74" spans="1:5">
      <c r="A74" s="349"/>
      <c r="B74" s="350"/>
      <c r="C74" s="268"/>
      <c r="D74" s="268"/>
      <c r="E74" s="268"/>
    </row>
    <row r="75" spans="1:5">
      <c r="A75" s="330"/>
      <c r="B75" s="290"/>
      <c r="C75" s="268"/>
      <c r="D75" s="268"/>
      <c r="E75" s="268"/>
    </row>
    <row r="76" spans="1:5">
      <c r="A76" s="266"/>
      <c r="B76" s="290"/>
      <c r="C76" s="268"/>
      <c r="D76" s="268"/>
      <c r="E76" s="268"/>
    </row>
    <row r="77" spans="1:5">
      <c r="A77" s="266"/>
      <c r="B77" s="290"/>
      <c r="C77" s="268"/>
      <c r="D77" s="268"/>
      <c r="E77" s="268"/>
    </row>
    <row r="78" spans="1:5">
      <c r="A78" s="266"/>
      <c r="B78" s="290"/>
      <c r="C78" s="268"/>
      <c r="D78" s="14"/>
      <c r="E78" s="18"/>
    </row>
    <row r="79" spans="1:5">
      <c r="A79" s="283"/>
      <c r="B79" s="281"/>
      <c r="C79" s="268"/>
      <c r="D79" s="14"/>
      <c r="E79" s="329"/>
    </row>
    <row r="80" spans="1:5">
      <c r="A80" s="283" t="s">
        <v>370</v>
      </c>
      <c r="B80" s="281"/>
      <c r="C80" s="268"/>
      <c r="D80" s="268"/>
      <c r="E80" s="268"/>
    </row>
    <row r="81" spans="1:6">
      <c r="A81" s="283" t="s">
        <v>371</v>
      </c>
      <c r="B81" s="281"/>
      <c r="C81" s="310" t="str">
        <f>IF(C82*0.1&lt;C80,"Exceed 10% Rule","")</f>
        <v/>
      </c>
      <c r="D81" s="310" t="str">
        <f>IF(D82*0.1&lt;D80,"Exceed 10% Rule","")</f>
        <v/>
      </c>
      <c r="E81" s="310" t="str">
        <f>IF(E82*0.1&lt;E80,"Exceed 10% Rule","")</f>
        <v/>
      </c>
    </row>
    <row r="82" spans="1:6">
      <c r="A82" s="144" t="s">
        <v>110</v>
      </c>
      <c r="B82" s="289"/>
      <c r="C82" s="271">
        <f>SUM(C54:C80)</f>
        <v>599339</v>
      </c>
      <c r="D82" s="242">
        <f>SUM(D54:D80)</f>
        <v>655357</v>
      </c>
      <c r="E82" s="242">
        <f>SUM(E54:E80)</f>
        <v>823434</v>
      </c>
    </row>
    <row r="83" spans="1:6">
      <c r="A83" s="37" t="s">
        <v>231</v>
      </c>
      <c r="B83" s="289"/>
      <c r="C83" s="279">
        <f>C43-C82</f>
        <v>135675</v>
      </c>
      <c r="D83" s="244">
        <f>D43-D82</f>
        <v>143084</v>
      </c>
      <c r="E83" s="45" t="s">
        <v>84</v>
      </c>
    </row>
    <row r="84" spans="1:6">
      <c r="A84" s="23" t="str">
        <f>CONCATENATE("",E1-2," Budget Authority Limited Amount:")</f>
        <v>2011 Budget Authority Limited Amount:</v>
      </c>
      <c r="B84" s="297">
        <f>inputOth!B59</f>
        <v>727881</v>
      </c>
      <c r="C84" s="72"/>
      <c r="D84" s="23" t="s">
        <v>111</v>
      </c>
      <c r="E84" s="14"/>
      <c r="F84" s="260" t="str">
        <f>IF(E82/0.95-E82&lt;E84,"Exceeds 5%","")</f>
        <v/>
      </c>
    </row>
    <row r="85" spans="1:6">
      <c r="A85" s="23" t="str">
        <f>CONCATENATE("Violation of Budget Law for ",E1-2,":")</f>
        <v>Violation of Budget Law for 2011:</v>
      </c>
      <c r="B85" s="298" t="str">
        <f>IF(C82&gt;B84,"Yes","")</f>
        <v/>
      </c>
      <c r="C85" s="72"/>
      <c r="D85" s="23" t="s">
        <v>359</v>
      </c>
      <c r="E85" s="40">
        <f>E82+E84</f>
        <v>823434</v>
      </c>
    </row>
    <row r="86" spans="1:6">
      <c r="A86" s="23" t="str">
        <f>CONCATENATE("Possible Cash Violation for ",E1-2,":")</f>
        <v>Possible Cash Violation for 2011:</v>
      </c>
      <c r="B86" s="298" t="str">
        <f>IF(C83&lt;0,"Yes","")</f>
        <v/>
      </c>
      <c r="C86" s="21"/>
      <c r="D86" s="24" t="s">
        <v>112</v>
      </c>
      <c r="E86" s="240">
        <f>IF(E85-E43&gt;0,E85-E43,0)</f>
        <v>229701</v>
      </c>
    </row>
    <row r="87" spans="1:6">
      <c r="A87" s="457" t="s">
        <v>298</v>
      </c>
      <c r="B87" s="457"/>
      <c r="C87" s="458"/>
      <c r="D87" s="209">
        <f>(inputOth!E46)</f>
        <v>0</v>
      </c>
      <c r="E87" s="40">
        <f>ROUND(IF(D87&gt;0,(E86*D87),0),0)</f>
        <v>0</v>
      </c>
    </row>
    <row r="88" spans="1:6">
      <c r="A88" s="21"/>
      <c r="B88" s="21"/>
      <c r="C88" s="455" t="str">
        <f>CONCATENATE("Amount of  ",E1-1," Ad Valorem Tax")</f>
        <v>Amount of  2012 Ad Valorem Tax</v>
      </c>
      <c r="D88" s="456"/>
      <c r="E88" s="240">
        <f>E86+E87</f>
        <v>229701</v>
      </c>
    </row>
    <row r="89" spans="1:6">
      <c r="A89" s="21"/>
      <c r="B89" s="21"/>
      <c r="C89" s="21"/>
      <c r="D89" s="21"/>
      <c r="E89" s="21"/>
    </row>
    <row r="90" spans="1:6">
      <c r="A90" s="434" t="s">
        <v>576</v>
      </c>
      <c r="B90" s="434"/>
      <c r="C90" s="434"/>
      <c r="D90" s="434"/>
      <c r="E90" s="434"/>
    </row>
    <row r="92" spans="1:6">
      <c r="A92"/>
      <c r="B92"/>
    </row>
    <row r="95" spans="1:6">
      <c r="A95" s="2"/>
      <c r="B95" s="2"/>
      <c r="C95" s="2"/>
    </row>
  </sheetData>
  <mergeCells count="8">
    <mergeCell ref="A45:E45"/>
    <mergeCell ref="A90:E90"/>
    <mergeCell ref="C88:D88"/>
    <mergeCell ref="A87:C87"/>
    <mergeCell ref="A55:B55"/>
    <mergeCell ref="A69:B69"/>
    <mergeCell ref="A70:B70"/>
    <mergeCell ref="A71:B71"/>
  </mergeCells>
  <phoneticPr fontId="0" type="noConversion"/>
  <conditionalFormatting sqref="C80">
    <cfRule type="cellIs" dxfId="74" priority="1" stopIfTrue="1" operator="greaterThan">
      <formula>$C$82*0.1</formula>
    </cfRule>
  </conditionalFormatting>
  <conditionalFormatting sqref="D80">
    <cfRule type="cellIs" dxfId="73" priority="2" stopIfTrue="1" operator="greaterThan">
      <formula>$D$82*0.1</formula>
    </cfRule>
  </conditionalFormatting>
  <conditionalFormatting sqref="E80">
    <cfRule type="cellIs" dxfId="72" priority="3" stopIfTrue="1" operator="greaterThan">
      <formula>$E$82*0.1</formula>
    </cfRule>
  </conditionalFormatting>
  <conditionalFormatting sqref="E84">
    <cfRule type="cellIs" dxfId="71" priority="4" stopIfTrue="1" operator="greaterThan">
      <formula>$E$82/0.95-$E$82</formula>
    </cfRule>
  </conditionalFormatting>
  <conditionalFormatting sqref="C40">
    <cfRule type="cellIs" dxfId="70" priority="5" stopIfTrue="1" operator="greaterThan">
      <formula>$C$42*0.1</formula>
    </cfRule>
  </conditionalFormatting>
  <conditionalFormatting sqref="D40">
    <cfRule type="cellIs" dxfId="69" priority="6" stopIfTrue="1" operator="greaterThan">
      <formula>$D$42*0.1</formula>
    </cfRule>
  </conditionalFormatting>
  <conditionalFormatting sqref="E40">
    <cfRule type="cellIs" dxfId="68" priority="7" stopIfTrue="1" operator="greaterThan">
      <formula>$E$42*0.1</formula>
    </cfRule>
  </conditionalFormatting>
  <pageMargins left="0.5" right="0.5" top="1" bottom="0.5" header="0.5" footer="0.5"/>
  <pageSetup scale="87" fitToHeight="2" orientation="portrait" blackAndWhite="1" r:id="rId1"/>
  <headerFooter alignWithMargins="0">
    <oddHeader>&amp;RState of Kansas
City</oddHeader>
    <oddFooter>&amp;Lrevised 8/06/07</oddFooter>
  </headerFooter>
  <rowBreaks count="1" manualBreakCount="1">
    <brk id="45" max="14" man="1"/>
  </rowBreaks>
</worksheet>
</file>

<file path=xl/worksheets/sheet12.xml><?xml version="1.0" encoding="utf-8"?>
<worksheet xmlns="http://schemas.openxmlformats.org/spreadsheetml/2006/main" xmlns:r="http://schemas.openxmlformats.org/officeDocument/2006/relationships">
  <sheetPr>
    <tabColor theme="7" tint="0.39997558519241921"/>
    <pageSetUpPr fitToPage="1"/>
  </sheetPr>
  <dimension ref="A1:O67"/>
  <sheetViews>
    <sheetView topLeftCell="A37" zoomScaleNormal="100" workbookViewId="0">
      <selection activeCell="F16" sqref="F16"/>
    </sheetView>
  </sheetViews>
  <sheetFormatPr defaultRowHeight="15.75"/>
  <cols>
    <col min="1" max="1" width="28.33203125" style="2" customWidth="1"/>
    <col min="2" max="4" width="15.77734375" style="2" customWidth="1"/>
    <col min="5" max="16384" width="8.88671875" style="2"/>
  </cols>
  <sheetData>
    <row r="1" spans="1:15">
      <c r="A1" s="72" t="str">
        <f>inputPrYr!D2</f>
        <v>CITY OF BLUE RAPIDS</v>
      </c>
      <c r="B1" s="21"/>
      <c r="C1" s="92"/>
      <c r="D1" s="21">
        <f>inputPrYr!C5</f>
        <v>2013</v>
      </c>
    </row>
    <row r="2" spans="1:15">
      <c r="A2" s="21"/>
      <c r="B2" s="21"/>
      <c r="C2" s="21"/>
      <c r="D2" s="92"/>
    </row>
    <row r="3" spans="1:15">
      <c r="A3" s="90" t="s">
        <v>175</v>
      </c>
      <c r="B3" s="98"/>
      <c r="C3" s="98"/>
      <c r="D3" s="98"/>
    </row>
    <row r="4" spans="1:15">
      <c r="A4" s="92" t="s">
        <v>96</v>
      </c>
      <c r="B4" s="93" t="s">
        <v>120</v>
      </c>
      <c r="C4" s="33" t="s">
        <v>256</v>
      </c>
      <c r="D4" s="33" t="s">
        <v>257</v>
      </c>
      <c r="E4" s="222"/>
      <c r="F4" s="222"/>
      <c r="G4" s="222"/>
      <c r="H4" s="222"/>
      <c r="I4" s="222"/>
      <c r="J4" s="222"/>
      <c r="K4" s="222"/>
      <c r="L4" s="222"/>
      <c r="M4" s="222"/>
      <c r="N4" s="222"/>
      <c r="O4" s="222"/>
    </row>
    <row r="5" spans="1:15">
      <c r="A5" s="20" t="s">
        <v>115</v>
      </c>
      <c r="B5" s="142">
        <f>D1-2</f>
        <v>2011</v>
      </c>
      <c r="C5" s="142">
        <f>D1-1</f>
        <v>2012</v>
      </c>
      <c r="D5" s="142">
        <f>D1</f>
        <v>2013</v>
      </c>
      <c r="E5" s="222"/>
      <c r="F5" s="222"/>
      <c r="G5" s="222"/>
      <c r="H5" s="222"/>
      <c r="I5" s="222"/>
      <c r="J5" s="222"/>
      <c r="K5" s="222"/>
      <c r="L5" s="222"/>
      <c r="M5" s="222"/>
      <c r="N5" s="222"/>
      <c r="O5" s="222"/>
    </row>
    <row r="6" spans="1:15">
      <c r="A6" s="83" t="s">
        <v>106</v>
      </c>
      <c r="B6" s="40"/>
      <c r="C6" s="40"/>
      <c r="D6" s="40"/>
      <c r="E6" s="222"/>
      <c r="F6" s="222"/>
      <c r="G6" s="222"/>
      <c r="H6" s="222"/>
      <c r="I6" s="222"/>
      <c r="J6" s="222"/>
      <c r="K6" s="222"/>
      <c r="L6" s="222"/>
      <c r="M6" s="222"/>
      <c r="N6" s="222"/>
      <c r="O6" s="222"/>
    </row>
    <row r="7" spans="1:15">
      <c r="A7" s="323" t="s">
        <v>1</v>
      </c>
      <c r="B7" s="40"/>
      <c r="C7" s="40"/>
      <c r="D7" s="40"/>
      <c r="E7" s="408"/>
      <c r="F7" s="222"/>
      <c r="G7" s="222"/>
      <c r="H7" s="222"/>
      <c r="I7" s="222"/>
      <c r="J7" s="222"/>
      <c r="K7" s="222"/>
      <c r="L7" s="222"/>
      <c r="M7" s="222"/>
      <c r="N7" s="222"/>
      <c r="O7" s="222"/>
    </row>
    <row r="8" spans="1:15">
      <c r="A8" s="15" t="s">
        <v>116</v>
      </c>
      <c r="B8" s="14">
        <v>45501</v>
      </c>
      <c r="C8" s="14">
        <v>46870</v>
      </c>
      <c r="D8" s="14">
        <v>48275</v>
      </c>
      <c r="E8" s="409"/>
      <c r="F8" s="222"/>
      <c r="G8" s="222"/>
      <c r="H8" s="222"/>
      <c r="I8" s="222"/>
      <c r="J8" s="222"/>
      <c r="K8" s="222"/>
      <c r="L8" s="222"/>
      <c r="M8" s="222"/>
      <c r="N8" s="222"/>
      <c r="O8" s="222"/>
    </row>
    <row r="9" spans="1:15">
      <c r="A9" s="15" t="s">
        <v>107</v>
      </c>
      <c r="B9" s="14">
        <v>25956</v>
      </c>
      <c r="C9" s="14">
        <v>26000</v>
      </c>
      <c r="D9" s="14">
        <v>27000</v>
      </c>
      <c r="E9" s="222"/>
      <c r="F9" s="222"/>
      <c r="G9" s="222"/>
      <c r="H9" s="222"/>
      <c r="I9" s="222"/>
      <c r="J9" s="222"/>
      <c r="K9" s="222"/>
      <c r="L9" s="222"/>
      <c r="M9" s="222"/>
      <c r="N9" s="222"/>
      <c r="O9" s="222"/>
    </row>
    <row r="10" spans="1:15">
      <c r="A10" s="15" t="s">
        <v>108</v>
      </c>
      <c r="B10" s="14">
        <v>21213</v>
      </c>
      <c r="C10" s="14">
        <v>32000</v>
      </c>
      <c r="D10" s="14">
        <v>32500</v>
      </c>
      <c r="E10" s="222"/>
      <c r="F10" s="222"/>
      <c r="G10" s="222"/>
      <c r="H10" s="222"/>
      <c r="I10" s="222"/>
      <c r="J10" s="222"/>
      <c r="K10" s="222"/>
      <c r="L10" s="222"/>
      <c r="M10" s="222"/>
      <c r="N10" s="222"/>
      <c r="O10" s="222"/>
    </row>
    <row r="11" spans="1:15">
      <c r="A11" s="15" t="s">
        <v>109</v>
      </c>
      <c r="B11" s="14">
        <v>0</v>
      </c>
      <c r="C11" s="14">
        <v>0</v>
      </c>
      <c r="D11" s="14">
        <v>122100</v>
      </c>
      <c r="E11" s="373"/>
      <c r="F11" s="373"/>
      <c r="G11" s="373"/>
      <c r="H11" s="373"/>
      <c r="I11" s="373"/>
      <c r="J11" s="373"/>
      <c r="K11" s="373"/>
      <c r="L11" s="222"/>
      <c r="M11" s="222"/>
      <c r="N11" s="222"/>
      <c r="O11" s="222"/>
    </row>
    <row r="12" spans="1:15">
      <c r="A12" s="326" t="s">
        <v>67</v>
      </c>
      <c r="B12" s="242">
        <f>SUM(B8:B11)</f>
        <v>92670</v>
      </c>
      <c r="C12" s="242">
        <f>SUM(C8:C11)</f>
        <v>104870</v>
      </c>
      <c r="D12" s="242">
        <f>SUM(D8:D11)</f>
        <v>229875</v>
      </c>
      <c r="E12" s="373"/>
      <c r="F12" s="373"/>
      <c r="G12" s="373"/>
      <c r="H12" s="373"/>
      <c r="I12" s="373"/>
      <c r="J12" s="373"/>
      <c r="K12" s="373"/>
      <c r="L12" s="222"/>
      <c r="M12" s="222"/>
      <c r="N12" s="222"/>
      <c r="O12" s="222"/>
    </row>
    <row r="13" spans="1:15">
      <c r="A13" s="321" t="s">
        <v>2</v>
      </c>
      <c r="B13" s="72"/>
      <c r="C13" s="72"/>
      <c r="D13" s="72"/>
      <c r="E13" s="222"/>
      <c r="F13" s="222"/>
      <c r="G13" s="222"/>
      <c r="H13" s="222"/>
      <c r="I13" s="222"/>
      <c r="J13" s="222"/>
      <c r="K13" s="222"/>
      <c r="L13" s="222"/>
      <c r="M13" s="222"/>
      <c r="N13" s="222"/>
      <c r="O13" s="222"/>
    </row>
    <row r="14" spans="1:15">
      <c r="A14" s="15" t="s">
        <v>116</v>
      </c>
      <c r="B14" s="14">
        <v>105808</v>
      </c>
      <c r="C14" s="14">
        <v>109000</v>
      </c>
      <c r="D14" s="14">
        <v>112250</v>
      </c>
      <c r="E14" s="222"/>
      <c r="F14" s="222"/>
      <c r="G14" s="222"/>
      <c r="H14" s="222"/>
      <c r="I14" s="222"/>
      <c r="J14" s="222"/>
      <c r="K14" s="222"/>
      <c r="L14" s="222"/>
      <c r="M14" s="222"/>
      <c r="N14" s="222"/>
      <c r="O14" s="222"/>
    </row>
    <row r="15" spans="1:15">
      <c r="A15" s="15" t="s">
        <v>107</v>
      </c>
      <c r="B15" s="14">
        <v>0</v>
      </c>
      <c r="C15" s="14">
        <v>2700</v>
      </c>
      <c r="D15" s="14">
        <v>2800</v>
      </c>
      <c r="E15" s="222"/>
      <c r="F15" s="222"/>
      <c r="G15" s="222"/>
      <c r="H15" s="222"/>
      <c r="I15" s="222"/>
      <c r="J15" s="222"/>
      <c r="K15" s="222"/>
      <c r="L15" s="222"/>
      <c r="M15" s="222"/>
      <c r="N15" s="222"/>
      <c r="O15" s="222"/>
    </row>
    <row r="16" spans="1:15">
      <c r="A16" s="15" t="s">
        <v>108</v>
      </c>
      <c r="B16" s="14">
        <v>42642</v>
      </c>
      <c r="C16" s="14">
        <v>65000</v>
      </c>
      <c r="D16" s="14">
        <v>68000</v>
      </c>
      <c r="E16" s="222"/>
      <c r="F16" s="222"/>
      <c r="G16" s="222"/>
      <c r="H16" s="222"/>
      <c r="I16" s="222"/>
      <c r="J16" s="222"/>
      <c r="K16" s="222"/>
      <c r="L16" s="222"/>
      <c r="M16" s="222"/>
      <c r="N16" s="222"/>
      <c r="O16" s="222"/>
    </row>
    <row r="17" spans="1:15">
      <c r="A17" s="15" t="s">
        <v>109</v>
      </c>
      <c r="B17" s="14">
        <v>0</v>
      </c>
      <c r="C17" s="14">
        <v>0</v>
      </c>
      <c r="D17" s="14">
        <v>14599</v>
      </c>
      <c r="E17" s="222"/>
      <c r="F17" s="222"/>
      <c r="G17" s="222"/>
      <c r="H17" s="222"/>
      <c r="I17" s="222"/>
      <c r="J17" s="222"/>
      <c r="K17" s="222"/>
      <c r="L17" s="222"/>
      <c r="M17" s="222"/>
      <c r="N17" s="222"/>
      <c r="O17" s="222"/>
    </row>
    <row r="18" spans="1:15">
      <c r="A18" s="326" t="s">
        <v>67</v>
      </c>
      <c r="B18" s="242">
        <f>SUM(B14:B17)</f>
        <v>148450</v>
      </c>
      <c r="C18" s="242">
        <f>SUM(C14:C17)</f>
        <v>176700</v>
      </c>
      <c r="D18" s="242">
        <f>SUM(D14:D17)</f>
        <v>197649</v>
      </c>
      <c r="E18" s="222"/>
      <c r="F18" s="222"/>
      <c r="G18" s="222"/>
      <c r="H18" s="222"/>
      <c r="I18" s="222"/>
      <c r="J18" s="222"/>
      <c r="K18" s="222"/>
      <c r="L18" s="222"/>
      <c r="M18" s="222"/>
      <c r="N18" s="222"/>
      <c r="O18" s="222"/>
    </row>
    <row r="19" spans="1:15">
      <c r="A19" s="321" t="s">
        <v>3</v>
      </c>
      <c r="B19" s="72"/>
      <c r="C19" s="72"/>
      <c r="D19" s="72"/>
      <c r="E19" s="222"/>
      <c r="F19" s="222"/>
      <c r="G19" s="222"/>
      <c r="H19" s="222"/>
      <c r="I19" s="222"/>
      <c r="J19" s="222"/>
      <c r="K19" s="222"/>
      <c r="L19" s="222"/>
      <c r="M19" s="222"/>
      <c r="N19" s="222"/>
      <c r="O19" s="222"/>
    </row>
    <row r="20" spans="1:15">
      <c r="A20" s="15" t="s">
        <v>116</v>
      </c>
      <c r="B20" s="14">
        <v>12886</v>
      </c>
      <c r="C20" s="14">
        <v>13275</v>
      </c>
      <c r="D20" s="14">
        <v>13675</v>
      </c>
      <c r="E20" s="222"/>
      <c r="F20" s="222"/>
      <c r="G20" s="222"/>
      <c r="H20" s="222"/>
      <c r="I20" s="222"/>
      <c r="J20" s="222"/>
      <c r="K20" s="222"/>
      <c r="L20" s="222"/>
      <c r="M20" s="222"/>
      <c r="N20" s="222"/>
      <c r="O20" s="222"/>
    </row>
    <row r="21" spans="1:15">
      <c r="A21" s="15" t="s">
        <v>107</v>
      </c>
      <c r="B21" s="14">
        <v>1500</v>
      </c>
      <c r="C21" s="14">
        <v>2000</v>
      </c>
      <c r="D21" s="14">
        <v>2200</v>
      </c>
      <c r="E21" s="222"/>
      <c r="F21" s="222"/>
      <c r="G21" s="222"/>
      <c r="H21" s="222"/>
      <c r="I21" s="222"/>
      <c r="J21" s="222"/>
      <c r="K21" s="222"/>
      <c r="L21" s="222"/>
      <c r="M21" s="222"/>
      <c r="N21" s="222"/>
      <c r="O21" s="222"/>
    </row>
    <row r="22" spans="1:15">
      <c r="A22" s="15" t="s">
        <v>108</v>
      </c>
      <c r="B22" s="14">
        <v>16387</v>
      </c>
      <c r="C22" s="14">
        <v>8000</v>
      </c>
      <c r="D22" s="14">
        <v>17500</v>
      </c>
      <c r="E22" s="222"/>
      <c r="F22" s="222"/>
      <c r="G22" s="222"/>
      <c r="H22" s="222"/>
      <c r="I22" s="222"/>
      <c r="J22" s="222"/>
      <c r="K22" s="222"/>
      <c r="L22" s="222"/>
      <c r="M22" s="222"/>
      <c r="N22" s="222"/>
      <c r="O22" s="222"/>
    </row>
    <row r="23" spans="1:15">
      <c r="A23" s="15" t="s">
        <v>109</v>
      </c>
      <c r="B23" s="14">
        <v>0</v>
      </c>
      <c r="C23" s="14">
        <v>0</v>
      </c>
      <c r="D23" s="14">
        <v>0</v>
      </c>
      <c r="E23" s="222"/>
      <c r="F23" s="222"/>
      <c r="G23" s="222"/>
      <c r="H23" s="222"/>
      <c r="I23" s="222"/>
      <c r="J23" s="222"/>
      <c r="K23" s="222"/>
      <c r="L23" s="222"/>
      <c r="M23" s="222"/>
      <c r="N23" s="222"/>
      <c r="O23" s="222"/>
    </row>
    <row r="24" spans="1:15">
      <c r="A24" s="326" t="s">
        <v>67</v>
      </c>
      <c r="B24" s="242">
        <f>SUM(B20:B23)</f>
        <v>30773</v>
      </c>
      <c r="C24" s="242">
        <f>SUM(C20:C23)</f>
        <v>23275</v>
      </c>
      <c r="D24" s="242">
        <f>SUM(D20:D23)</f>
        <v>33375</v>
      </c>
      <c r="E24" s="222"/>
      <c r="F24" s="222"/>
      <c r="G24" s="222"/>
      <c r="H24" s="222"/>
      <c r="I24" s="222"/>
      <c r="J24" s="222"/>
      <c r="K24" s="222"/>
      <c r="L24" s="222"/>
      <c r="M24" s="222"/>
      <c r="N24" s="222"/>
      <c r="O24" s="222"/>
    </row>
    <row r="25" spans="1:15">
      <c r="A25" s="321" t="s">
        <v>4</v>
      </c>
      <c r="B25" s="72"/>
      <c r="C25" s="72"/>
      <c r="D25" s="72"/>
      <c r="E25" s="222"/>
      <c r="F25" s="222"/>
      <c r="G25" s="222"/>
      <c r="H25" s="222"/>
      <c r="I25" s="222"/>
      <c r="J25" s="222"/>
      <c r="K25" s="222"/>
      <c r="L25" s="222"/>
      <c r="M25" s="222"/>
      <c r="N25" s="222"/>
      <c r="O25" s="222"/>
    </row>
    <row r="26" spans="1:15">
      <c r="A26" s="15" t="s">
        <v>116</v>
      </c>
      <c r="B26" s="14">
        <v>80294</v>
      </c>
      <c r="C26" s="14">
        <v>82700</v>
      </c>
      <c r="D26" s="14">
        <v>85200</v>
      </c>
      <c r="E26" s="222"/>
      <c r="F26" s="222"/>
      <c r="G26" s="222"/>
      <c r="H26" s="222"/>
      <c r="I26" s="222"/>
      <c r="J26" s="222"/>
      <c r="K26" s="222"/>
      <c r="L26" s="222"/>
      <c r="M26" s="222"/>
      <c r="N26" s="222"/>
      <c r="O26" s="222"/>
    </row>
    <row r="27" spans="1:15">
      <c r="A27" s="15" t="s">
        <v>107</v>
      </c>
      <c r="B27" s="14">
        <v>11785</v>
      </c>
      <c r="C27" s="14">
        <v>15800</v>
      </c>
      <c r="D27" s="14">
        <v>16500</v>
      </c>
      <c r="E27" s="222"/>
      <c r="F27" s="222"/>
      <c r="G27" s="222"/>
      <c r="H27" s="222"/>
      <c r="I27" s="222"/>
      <c r="J27" s="222"/>
      <c r="K27" s="222"/>
      <c r="L27" s="222"/>
      <c r="M27" s="222"/>
      <c r="N27" s="222"/>
      <c r="O27" s="222"/>
    </row>
    <row r="28" spans="1:15">
      <c r="A28" s="15" t="s">
        <v>108</v>
      </c>
      <c r="B28" s="14">
        <v>21268</v>
      </c>
      <c r="C28" s="14">
        <v>22000</v>
      </c>
      <c r="D28" s="14">
        <v>23000</v>
      </c>
      <c r="E28" s="222"/>
      <c r="F28" s="222"/>
      <c r="G28" s="222"/>
      <c r="H28" s="222"/>
      <c r="I28" s="222"/>
      <c r="J28" s="222"/>
      <c r="K28" s="222"/>
      <c r="L28" s="222"/>
      <c r="M28" s="222"/>
      <c r="N28" s="222"/>
      <c r="O28" s="222"/>
    </row>
    <row r="29" spans="1:15">
      <c r="A29" s="15" t="s">
        <v>109</v>
      </c>
      <c r="B29" s="14">
        <v>5219</v>
      </c>
      <c r="C29" s="14">
        <v>5219</v>
      </c>
      <c r="D29" s="14">
        <v>5219</v>
      </c>
      <c r="E29" s="222"/>
      <c r="F29" s="222"/>
      <c r="G29" s="222"/>
      <c r="H29" s="222"/>
      <c r="I29" s="222"/>
      <c r="J29" s="222"/>
      <c r="K29" s="222"/>
      <c r="L29" s="222"/>
      <c r="M29" s="222"/>
      <c r="N29" s="222"/>
      <c r="O29" s="222"/>
    </row>
    <row r="30" spans="1:15">
      <c r="A30" s="326" t="s">
        <v>67</v>
      </c>
      <c r="B30" s="242">
        <f>SUM(B26:B29)</f>
        <v>118566</v>
      </c>
      <c r="C30" s="242">
        <f>SUM(C26:C29)</f>
        <v>125719</v>
      </c>
      <c r="D30" s="242">
        <f>SUM(D26:D29)</f>
        <v>129919</v>
      </c>
      <c r="E30" s="222"/>
      <c r="F30" s="222"/>
      <c r="G30" s="222"/>
      <c r="H30" s="222"/>
      <c r="I30" s="222"/>
      <c r="J30" s="222"/>
      <c r="K30" s="222"/>
      <c r="L30" s="222"/>
      <c r="M30" s="222"/>
      <c r="N30" s="222"/>
      <c r="O30" s="222"/>
    </row>
    <row r="31" spans="1:15">
      <c r="A31" s="321" t="s">
        <v>5</v>
      </c>
      <c r="B31" s="72"/>
      <c r="C31" s="72"/>
      <c r="D31" s="72"/>
      <c r="E31" s="222"/>
      <c r="F31" s="222"/>
      <c r="G31" s="222"/>
      <c r="H31" s="222"/>
      <c r="I31" s="222"/>
      <c r="J31" s="222"/>
      <c r="K31" s="222"/>
      <c r="L31" s="222"/>
      <c r="M31" s="222"/>
      <c r="N31" s="222"/>
      <c r="O31" s="222"/>
    </row>
    <row r="32" spans="1:15">
      <c r="A32" s="15" t="s">
        <v>116</v>
      </c>
      <c r="B32" s="14">
        <v>0</v>
      </c>
      <c r="C32" s="14">
        <v>0</v>
      </c>
      <c r="D32" s="14">
        <v>0</v>
      </c>
      <c r="E32" s="222"/>
      <c r="F32" s="222"/>
      <c r="G32" s="222"/>
      <c r="H32" s="222"/>
      <c r="I32" s="222"/>
      <c r="J32" s="222"/>
      <c r="K32" s="222"/>
      <c r="L32" s="222"/>
      <c r="M32" s="222"/>
      <c r="N32" s="222"/>
      <c r="O32" s="222"/>
    </row>
    <row r="33" spans="1:15">
      <c r="A33" s="15" t="s">
        <v>107</v>
      </c>
      <c r="B33" s="14">
        <v>0</v>
      </c>
      <c r="C33" s="14">
        <v>0</v>
      </c>
      <c r="D33" s="14">
        <v>0</v>
      </c>
      <c r="E33" s="222"/>
      <c r="F33" s="222"/>
      <c r="G33" s="222"/>
      <c r="H33" s="222"/>
      <c r="I33" s="222"/>
      <c r="J33" s="222"/>
      <c r="K33" s="222"/>
      <c r="L33" s="222"/>
      <c r="M33" s="222"/>
      <c r="N33" s="222"/>
      <c r="O33" s="222"/>
    </row>
    <row r="34" spans="1:15">
      <c r="A34" s="15" t="s">
        <v>108</v>
      </c>
      <c r="B34" s="14">
        <v>0</v>
      </c>
      <c r="C34" s="14">
        <v>0</v>
      </c>
      <c r="D34" s="14">
        <v>0</v>
      </c>
      <c r="E34" s="222"/>
      <c r="F34" s="222"/>
      <c r="G34" s="222"/>
      <c r="H34" s="222"/>
      <c r="I34" s="222"/>
      <c r="J34" s="222"/>
      <c r="K34" s="222"/>
      <c r="L34" s="222"/>
      <c r="M34" s="222"/>
      <c r="N34" s="222"/>
      <c r="O34" s="222"/>
    </row>
    <row r="35" spans="1:15">
      <c r="A35" s="15" t="s">
        <v>109</v>
      </c>
      <c r="B35" s="14">
        <v>0</v>
      </c>
      <c r="C35" s="14">
        <v>0</v>
      </c>
      <c r="D35" s="14">
        <v>0</v>
      </c>
      <c r="E35" s="222"/>
      <c r="F35" s="222"/>
      <c r="G35" s="222"/>
      <c r="H35" s="222"/>
      <c r="I35" s="222"/>
      <c r="J35" s="222"/>
      <c r="K35" s="222"/>
      <c r="L35" s="222"/>
      <c r="M35" s="222"/>
      <c r="N35" s="222"/>
      <c r="O35" s="222"/>
    </row>
    <row r="36" spans="1:15">
      <c r="A36" s="326" t="s">
        <v>67</v>
      </c>
      <c r="B36" s="242">
        <f>SUM(B32:B35)</f>
        <v>0</v>
      </c>
      <c r="C36" s="242">
        <f>SUM(C32:C35)</f>
        <v>0</v>
      </c>
      <c r="D36" s="242">
        <f>SUM(D32:D35)</f>
        <v>0</v>
      </c>
      <c r="E36" s="222"/>
      <c r="F36" s="222"/>
      <c r="G36" s="222"/>
      <c r="H36" s="222"/>
      <c r="I36" s="222"/>
      <c r="J36" s="222"/>
      <c r="K36" s="222"/>
      <c r="L36" s="222"/>
      <c r="M36" s="222"/>
      <c r="N36" s="222"/>
      <c r="O36" s="222"/>
    </row>
    <row r="37" spans="1:15">
      <c r="A37" s="321" t="s">
        <v>6</v>
      </c>
      <c r="B37" s="72"/>
      <c r="C37" s="72"/>
      <c r="D37" s="72"/>
      <c r="E37" s="222"/>
      <c r="F37" s="222"/>
      <c r="G37" s="222"/>
      <c r="H37" s="222"/>
      <c r="I37" s="222"/>
      <c r="J37" s="222"/>
      <c r="K37" s="222"/>
      <c r="L37" s="222"/>
      <c r="M37" s="222"/>
      <c r="N37" s="222"/>
      <c r="O37" s="222"/>
    </row>
    <row r="38" spans="1:15">
      <c r="A38" s="15" t="s">
        <v>16</v>
      </c>
      <c r="B38" s="14">
        <v>9839</v>
      </c>
      <c r="C38" s="14">
        <v>10500</v>
      </c>
      <c r="D38" s="14">
        <v>10900</v>
      </c>
      <c r="E38" s="222"/>
      <c r="F38" s="222"/>
      <c r="G38" s="222"/>
      <c r="H38" s="222"/>
      <c r="I38" s="222"/>
      <c r="J38" s="222"/>
      <c r="K38" s="222"/>
      <c r="L38" s="222"/>
      <c r="M38" s="222"/>
      <c r="N38" s="222"/>
      <c r="O38" s="222"/>
    </row>
    <row r="39" spans="1:15">
      <c r="A39" s="15" t="s">
        <v>17</v>
      </c>
      <c r="B39" s="14">
        <v>74126</v>
      </c>
      <c r="C39" s="14">
        <v>83950</v>
      </c>
      <c r="D39" s="14">
        <v>88570</v>
      </c>
      <c r="E39" s="222"/>
      <c r="F39" s="222"/>
      <c r="G39" s="222"/>
      <c r="H39" s="222"/>
      <c r="I39" s="222"/>
      <c r="J39" s="222"/>
      <c r="K39" s="222"/>
      <c r="L39" s="222"/>
      <c r="M39" s="222"/>
      <c r="N39" s="222"/>
      <c r="O39" s="222"/>
    </row>
    <row r="40" spans="1:15">
      <c r="A40" s="15" t="s">
        <v>20</v>
      </c>
      <c r="B40" s="14">
        <v>399</v>
      </c>
      <c r="C40" s="14">
        <v>650</v>
      </c>
      <c r="D40" s="14">
        <v>670</v>
      </c>
      <c r="E40" s="222"/>
      <c r="F40" s="222"/>
      <c r="G40" s="222"/>
      <c r="H40" s="222"/>
      <c r="I40" s="222"/>
      <c r="J40" s="222"/>
      <c r="K40" s="222"/>
      <c r="L40" s="222"/>
      <c r="M40" s="222"/>
      <c r="N40" s="222"/>
      <c r="O40" s="222"/>
    </row>
    <row r="41" spans="1:15">
      <c r="A41" s="15" t="s">
        <v>18</v>
      </c>
      <c r="B41" s="14">
        <v>10650</v>
      </c>
      <c r="C41" s="14">
        <v>11000</v>
      </c>
      <c r="D41" s="14">
        <v>11500</v>
      </c>
      <c r="E41" s="222"/>
      <c r="F41" s="222"/>
      <c r="G41" s="222"/>
      <c r="H41" s="222"/>
      <c r="I41" s="222"/>
      <c r="J41" s="222"/>
      <c r="K41" s="222"/>
      <c r="L41" s="222"/>
      <c r="M41" s="222"/>
      <c r="N41" s="222"/>
      <c r="O41" s="222"/>
    </row>
    <row r="42" spans="1:15">
      <c r="A42" s="15" t="s">
        <v>19</v>
      </c>
      <c r="B42" s="14">
        <v>18180</v>
      </c>
      <c r="C42" s="14">
        <v>18900</v>
      </c>
      <c r="D42" s="14">
        <v>19400</v>
      </c>
      <c r="E42" s="222"/>
      <c r="F42" s="222"/>
      <c r="G42" s="222"/>
      <c r="H42" s="222"/>
      <c r="I42" s="222"/>
      <c r="J42" s="222"/>
      <c r="K42" s="222"/>
      <c r="L42" s="222"/>
      <c r="M42" s="222"/>
      <c r="N42" s="222"/>
      <c r="O42" s="222"/>
    </row>
    <row r="43" spans="1:15">
      <c r="A43" s="326" t="s">
        <v>67</v>
      </c>
      <c r="B43" s="242">
        <f>SUM(B38:B42)</f>
        <v>113194</v>
      </c>
      <c r="C43" s="242">
        <f>SUM(C38:C42)</f>
        <v>125000</v>
      </c>
      <c r="D43" s="242">
        <f>SUM(D38:D42)</f>
        <v>131040</v>
      </c>
      <c r="E43" s="222"/>
      <c r="F43" s="222"/>
      <c r="G43" s="222"/>
      <c r="H43" s="222"/>
      <c r="I43" s="222"/>
      <c r="J43" s="222"/>
      <c r="K43" s="222"/>
      <c r="L43" s="222"/>
      <c r="M43" s="222"/>
      <c r="N43" s="222"/>
      <c r="O43" s="222"/>
    </row>
    <row r="44" spans="1:15">
      <c r="A44" s="321" t="s">
        <v>7</v>
      </c>
      <c r="B44" s="72"/>
      <c r="C44" s="72"/>
      <c r="D44" s="72"/>
      <c r="E44" s="222"/>
      <c r="F44" s="222"/>
      <c r="G44" s="222"/>
      <c r="H44" s="222"/>
      <c r="I44" s="222"/>
      <c r="J44" s="222"/>
      <c r="K44" s="222"/>
      <c r="L44" s="222"/>
      <c r="M44" s="222"/>
      <c r="N44" s="222"/>
      <c r="O44" s="222"/>
    </row>
    <row r="45" spans="1:15">
      <c r="A45" s="15" t="s">
        <v>116</v>
      </c>
      <c r="B45" s="14">
        <v>0</v>
      </c>
      <c r="C45" s="14">
        <v>0</v>
      </c>
      <c r="D45" s="14">
        <v>0</v>
      </c>
      <c r="E45" s="222"/>
      <c r="F45" s="222"/>
      <c r="G45" s="222"/>
      <c r="H45" s="222"/>
      <c r="I45" s="222"/>
      <c r="J45" s="222"/>
      <c r="K45" s="222"/>
      <c r="L45" s="222"/>
      <c r="M45" s="222"/>
      <c r="N45" s="222"/>
      <c r="O45" s="222"/>
    </row>
    <row r="46" spans="1:15">
      <c r="A46" s="15" t="s">
        <v>107</v>
      </c>
      <c r="B46" s="14">
        <v>5200</v>
      </c>
      <c r="C46" s="14">
        <v>5700</v>
      </c>
      <c r="D46" s="14">
        <v>6000</v>
      </c>
      <c r="E46" s="222"/>
      <c r="F46" s="222"/>
      <c r="G46" s="222"/>
      <c r="H46" s="222"/>
      <c r="I46" s="222"/>
      <c r="J46" s="222"/>
      <c r="K46" s="222"/>
      <c r="L46" s="222"/>
      <c r="M46" s="222"/>
      <c r="N46" s="222"/>
      <c r="O46" s="222"/>
    </row>
    <row r="47" spans="1:15">
      <c r="A47" s="15" t="s">
        <v>108</v>
      </c>
      <c r="B47" s="14">
        <v>40</v>
      </c>
      <c r="C47" s="14">
        <v>200</v>
      </c>
      <c r="D47" s="14">
        <v>300</v>
      </c>
      <c r="E47" s="222"/>
      <c r="F47" s="222"/>
      <c r="G47" s="222"/>
      <c r="H47" s="222"/>
      <c r="I47" s="222"/>
      <c r="J47" s="222"/>
      <c r="K47" s="222"/>
      <c r="L47" s="222"/>
      <c r="M47" s="222"/>
      <c r="N47" s="222"/>
      <c r="O47" s="222"/>
    </row>
    <row r="48" spans="1:15">
      <c r="A48" s="15" t="s">
        <v>109</v>
      </c>
      <c r="B48" s="14">
        <v>0</v>
      </c>
      <c r="C48" s="14">
        <v>0</v>
      </c>
      <c r="D48" s="14">
        <v>0</v>
      </c>
      <c r="E48" s="222"/>
      <c r="F48" s="222"/>
      <c r="G48" s="222"/>
      <c r="H48" s="222"/>
      <c r="I48" s="222"/>
      <c r="J48" s="222"/>
      <c r="K48" s="222"/>
      <c r="L48" s="222"/>
      <c r="M48" s="222"/>
      <c r="N48" s="222"/>
      <c r="O48" s="222"/>
    </row>
    <row r="49" spans="1:15">
      <c r="A49" s="327" t="s">
        <v>67</v>
      </c>
      <c r="B49" s="354">
        <f>SUM(B45:B48)</f>
        <v>5240</v>
      </c>
      <c r="C49" s="354">
        <f>SUM(C45:C48)</f>
        <v>5900</v>
      </c>
      <c r="D49" s="354">
        <f>SUM(D45:D48)</f>
        <v>6300</v>
      </c>
      <c r="E49" s="222"/>
      <c r="F49" s="222"/>
      <c r="G49" s="222"/>
      <c r="H49" s="222"/>
      <c r="I49" s="222"/>
      <c r="J49" s="222"/>
      <c r="K49" s="222"/>
      <c r="L49" s="222"/>
      <c r="M49" s="222"/>
      <c r="N49" s="222"/>
      <c r="O49" s="222"/>
    </row>
    <row r="50" spans="1:15">
      <c r="A50" s="322" t="s">
        <v>21</v>
      </c>
      <c r="B50" s="324">
        <v>12000</v>
      </c>
      <c r="C50" s="324">
        <v>12000</v>
      </c>
      <c r="D50" s="324">
        <v>12000</v>
      </c>
      <c r="E50" s="222"/>
      <c r="F50" s="222"/>
      <c r="G50" s="222"/>
      <c r="H50" s="222"/>
      <c r="I50" s="222"/>
      <c r="J50" s="222"/>
      <c r="K50" s="222"/>
      <c r="L50" s="222"/>
      <c r="M50" s="222"/>
      <c r="N50" s="222"/>
      <c r="O50" s="222"/>
    </row>
    <row r="51" spans="1:15">
      <c r="A51" s="322" t="s">
        <v>22</v>
      </c>
      <c r="B51" s="324">
        <v>30501</v>
      </c>
      <c r="C51" s="324">
        <v>34100</v>
      </c>
      <c r="D51" s="324">
        <v>36500</v>
      </c>
      <c r="E51" s="222"/>
      <c r="F51" s="222"/>
      <c r="G51" s="222"/>
      <c r="H51" s="222"/>
      <c r="I51" s="222"/>
      <c r="J51" s="222"/>
      <c r="K51" s="222"/>
      <c r="L51" s="222"/>
      <c r="M51" s="222"/>
      <c r="N51" s="222"/>
      <c r="O51" s="222"/>
    </row>
    <row r="52" spans="1:15">
      <c r="A52" s="321" t="s">
        <v>8</v>
      </c>
      <c r="B52" s="72"/>
      <c r="C52" s="72"/>
      <c r="D52" s="72"/>
      <c r="E52" s="222"/>
      <c r="F52" s="222"/>
      <c r="G52" s="222"/>
      <c r="H52" s="222"/>
      <c r="I52" s="222"/>
      <c r="J52" s="222"/>
      <c r="K52" s="222"/>
      <c r="L52" s="222"/>
      <c r="M52" s="222"/>
      <c r="N52" s="222"/>
      <c r="O52" s="222"/>
    </row>
    <row r="53" spans="1:15">
      <c r="A53" s="15" t="s">
        <v>9</v>
      </c>
      <c r="B53" s="14">
        <v>0</v>
      </c>
      <c r="C53" s="14">
        <v>0</v>
      </c>
      <c r="D53" s="14">
        <v>0</v>
      </c>
      <c r="E53" s="222"/>
      <c r="F53" s="222"/>
      <c r="G53" s="222"/>
      <c r="H53" s="222"/>
      <c r="I53" s="222"/>
      <c r="J53" s="222"/>
      <c r="K53" s="222"/>
      <c r="L53" s="222"/>
      <c r="M53" s="222"/>
      <c r="N53" s="222"/>
      <c r="O53" s="222"/>
    </row>
    <row r="54" spans="1:15">
      <c r="A54" s="15" t="s">
        <v>10</v>
      </c>
      <c r="B54" s="14">
        <v>0</v>
      </c>
      <c r="C54" s="14">
        <v>0</v>
      </c>
      <c r="D54" s="14">
        <v>0</v>
      </c>
      <c r="E54" s="222"/>
      <c r="F54" s="222"/>
      <c r="G54" s="222"/>
      <c r="H54" s="222"/>
      <c r="I54" s="222"/>
      <c r="J54" s="222"/>
      <c r="K54" s="222"/>
      <c r="L54" s="222"/>
      <c r="M54" s="222"/>
      <c r="N54" s="222"/>
      <c r="O54" s="222"/>
    </row>
    <row r="55" spans="1:15">
      <c r="A55" s="15" t="s">
        <v>11</v>
      </c>
      <c r="B55" s="14">
        <v>0</v>
      </c>
      <c r="C55" s="14">
        <v>0</v>
      </c>
      <c r="D55" s="14">
        <v>0</v>
      </c>
      <c r="E55" s="222"/>
      <c r="F55" s="222"/>
      <c r="G55" s="222"/>
      <c r="H55" s="222"/>
      <c r="I55" s="222"/>
      <c r="J55" s="222"/>
      <c r="K55" s="222"/>
      <c r="L55" s="222"/>
      <c r="M55" s="222"/>
      <c r="N55" s="222"/>
      <c r="O55" s="222"/>
    </row>
    <row r="56" spans="1:15">
      <c r="A56" s="15" t="s">
        <v>12</v>
      </c>
      <c r="B56" s="14">
        <v>0</v>
      </c>
      <c r="C56" s="14">
        <v>0</v>
      </c>
      <c r="D56" s="14">
        <v>0</v>
      </c>
      <c r="E56" s="222"/>
      <c r="F56" s="222"/>
      <c r="G56" s="222"/>
      <c r="H56" s="222"/>
      <c r="I56" s="222"/>
      <c r="J56" s="222"/>
      <c r="K56" s="222"/>
      <c r="L56" s="222"/>
      <c r="M56" s="222"/>
      <c r="N56" s="222"/>
      <c r="O56" s="222"/>
    </row>
    <row r="57" spans="1:15">
      <c r="A57" s="15" t="s">
        <v>13</v>
      </c>
      <c r="B57" s="14">
        <v>0</v>
      </c>
      <c r="C57" s="14">
        <v>0</v>
      </c>
      <c r="D57" s="14">
        <v>0</v>
      </c>
      <c r="E57" s="373"/>
      <c r="F57" s="373"/>
      <c r="G57" s="373"/>
      <c r="H57" s="373"/>
      <c r="I57" s="373"/>
      <c r="J57" s="373"/>
      <c r="K57" s="373"/>
      <c r="L57" s="373"/>
      <c r="M57" s="222"/>
      <c r="N57" s="222"/>
      <c r="O57" s="222"/>
    </row>
    <row r="58" spans="1:15">
      <c r="A58" s="15" t="s">
        <v>482</v>
      </c>
      <c r="B58" s="14">
        <v>0</v>
      </c>
      <c r="C58" s="14">
        <v>0</v>
      </c>
      <c r="D58" s="14">
        <v>0</v>
      </c>
      <c r="E58" s="373"/>
      <c r="F58" s="373"/>
      <c r="G58" s="373"/>
      <c r="H58" s="373"/>
      <c r="I58" s="373"/>
      <c r="J58" s="373"/>
      <c r="K58" s="373"/>
      <c r="L58" s="373"/>
      <c r="M58" s="222"/>
      <c r="N58" s="222"/>
      <c r="O58" s="222"/>
    </row>
    <row r="59" spans="1:15">
      <c r="A59" s="15" t="s">
        <v>14</v>
      </c>
      <c r="B59" s="14">
        <v>0</v>
      </c>
      <c r="C59" s="14">
        <v>0</v>
      </c>
      <c r="D59" s="14">
        <v>0</v>
      </c>
      <c r="E59" s="373"/>
      <c r="F59" s="373"/>
      <c r="G59" s="373"/>
      <c r="H59" s="373"/>
      <c r="I59" s="373"/>
      <c r="J59" s="373"/>
      <c r="K59" s="373"/>
      <c r="L59" s="373"/>
      <c r="M59" s="222"/>
      <c r="N59" s="222"/>
      <c r="O59" s="222"/>
    </row>
    <row r="60" spans="1:15">
      <c r="A60" s="15" t="s">
        <v>48</v>
      </c>
      <c r="B60" s="14">
        <v>44464</v>
      </c>
      <c r="C60" s="14">
        <v>45300</v>
      </c>
      <c r="D60" s="14">
        <v>45350</v>
      </c>
      <c r="E60" s="222"/>
      <c r="F60" s="222"/>
      <c r="G60" s="222"/>
      <c r="H60" s="222"/>
      <c r="I60" s="222"/>
      <c r="J60" s="222"/>
      <c r="K60" s="222"/>
      <c r="L60" s="222"/>
      <c r="M60" s="222"/>
      <c r="N60" s="222"/>
      <c r="O60" s="222"/>
    </row>
    <row r="61" spans="1:15">
      <c r="A61" s="15" t="s">
        <v>15</v>
      </c>
      <c r="B61" s="14">
        <v>0</v>
      </c>
      <c r="C61" s="14">
        <v>0</v>
      </c>
      <c r="D61" s="14">
        <v>0</v>
      </c>
      <c r="E61" s="373"/>
      <c r="F61" s="222"/>
      <c r="G61" s="222"/>
      <c r="H61" s="222"/>
      <c r="I61" s="222"/>
      <c r="J61" s="222"/>
      <c r="K61" s="222"/>
      <c r="L61" s="222"/>
      <c r="M61" s="222"/>
      <c r="N61" s="222"/>
      <c r="O61" s="222"/>
    </row>
    <row r="62" spans="1:15">
      <c r="A62" s="15" t="s">
        <v>369</v>
      </c>
      <c r="B62" s="14">
        <v>3481</v>
      </c>
      <c r="C62" s="14">
        <v>2493</v>
      </c>
      <c r="D62" s="14">
        <v>1426</v>
      </c>
      <c r="E62" s="222"/>
      <c r="F62" s="222"/>
      <c r="G62" s="222"/>
      <c r="H62" s="222"/>
      <c r="I62" s="222"/>
      <c r="J62" s="222"/>
      <c r="K62" s="222"/>
      <c r="L62" s="222"/>
      <c r="M62" s="222"/>
      <c r="N62" s="222"/>
      <c r="O62" s="222"/>
    </row>
    <row r="63" spans="1:15">
      <c r="A63" s="326" t="s">
        <v>67</v>
      </c>
      <c r="B63" s="242">
        <f>SUM(B53:B62)</f>
        <v>47945</v>
      </c>
      <c r="C63" s="242">
        <f>SUM(C53:C62)</f>
        <v>47793</v>
      </c>
      <c r="D63" s="242">
        <f>SUM(D53:D62)</f>
        <v>46776</v>
      </c>
      <c r="E63" s="222"/>
      <c r="F63" s="222"/>
      <c r="G63" s="222"/>
      <c r="H63" s="222"/>
      <c r="I63" s="222"/>
      <c r="J63" s="222"/>
      <c r="K63" s="222"/>
      <c r="L63" s="222"/>
      <c r="M63" s="222"/>
      <c r="N63" s="222"/>
      <c r="O63" s="222"/>
    </row>
    <row r="64" spans="1:15">
      <c r="A64" s="21"/>
      <c r="B64" s="72"/>
      <c r="C64" s="72"/>
      <c r="D64" s="72"/>
      <c r="E64" s="222"/>
      <c r="F64" s="222"/>
      <c r="G64" s="222"/>
      <c r="H64" s="222"/>
      <c r="I64" s="222"/>
      <c r="J64" s="222"/>
      <c r="K64" s="222"/>
      <c r="L64" s="222"/>
      <c r="M64" s="222"/>
      <c r="N64" s="222"/>
      <c r="O64" s="222"/>
    </row>
    <row r="65" spans="1:15" ht="16.5" thickBot="1">
      <c r="A65" s="83" t="s">
        <v>117</v>
      </c>
      <c r="B65" s="243">
        <f>B12+B18+B24+B30+B36+B43+B49+B50+B51+B63</f>
        <v>599339</v>
      </c>
      <c r="C65" s="243">
        <f>C12+C18+C24+C30+C36+C43+C49+C50+C51+C63</f>
        <v>655357</v>
      </c>
      <c r="D65" s="243">
        <f>D12+D18+D24+D30+D36+D43+D49+D50+D51+D63</f>
        <v>823434</v>
      </c>
      <c r="E65" s="222"/>
      <c r="F65" s="222"/>
      <c r="G65" s="222"/>
      <c r="H65" s="222"/>
      <c r="I65" s="222"/>
      <c r="J65" s="222"/>
      <c r="K65" s="222"/>
      <c r="L65" s="222"/>
      <c r="M65" s="222"/>
      <c r="N65" s="222"/>
      <c r="O65" s="222"/>
    </row>
    <row r="66" spans="1:15" ht="16.5" thickTop="1">
      <c r="A66" s="21"/>
      <c r="B66" s="72"/>
      <c r="C66" s="72"/>
      <c r="D66" s="72"/>
      <c r="E66" s="222"/>
      <c r="F66" s="222"/>
      <c r="G66" s="222"/>
      <c r="H66" s="222"/>
      <c r="I66" s="222"/>
      <c r="J66" s="222"/>
      <c r="K66" s="222"/>
      <c r="L66" s="222"/>
      <c r="M66" s="222"/>
      <c r="N66" s="222"/>
      <c r="O66" s="222"/>
    </row>
    <row r="67" spans="1:15">
      <c r="A67" s="21"/>
      <c r="B67" s="99" t="s">
        <v>577</v>
      </c>
      <c r="C67" s="72"/>
      <c r="D67" s="72"/>
      <c r="E67" s="222"/>
      <c r="F67" s="222"/>
      <c r="G67" s="222"/>
      <c r="H67" s="222"/>
      <c r="I67" s="222"/>
      <c r="J67" s="222"/>
      <c r="K67" s="222"/>
      <c r="L67" s="222"/>
      <c r="M67" s="222"/>
      <c r="N67" s="222"/>
      <c r="O67" s="222"/>
    </row>
  </sheetData>
  <phoneticPr fontId="0" type="noConversion"/>
  <pageMargins left="0.5" right="0.5" top="1" bottom="0.5" header="0.5" footer="0.5"/>
  <pageSetup scale="70" orientation="portrait" blackAndWhite="1" horizontalDpi="300" verticalDpi="300" r:id="rId1"/>
  <headerFooter alignWithMargins="0">
    <oddHeader>&amp;RState of Kansas
City</oddHeader>
    <oddFooter>&amp;Lrevised 8/06/07</oddFooter>
  </headerFooter>
</worksheet>
</file>

<file path=xl/worksheets/sheet13.xml><?xml version="1.0" encoding="utf-8"?>
<worksheet xmlns="http://schemas.openxmlformats.org/spreadsheetml/2006/main" xmlns:r="http://schemas.openxmlformats.org/officeDocument/2006/relationships">
  <sheetPr>
    <tabColor theme="7" tint="0.39997558519241921"/>
    <pageSetUpPr fitToPage="1"/>
  </sheetPr>
  <dimension ref="A1:AC87"/>
  <sheetViews>
    <sheetView zoomScaleNormal="100" workbookViewId="0">
      <selection activeCell="G46" sqref="G46"/>
    </sheetView>
  </sheetViews>
  <sheetFormatPr defaultRowHeight="15.75"/>
  <cols>
    <col min="1" max="1" width="28.77734375" style="7" customWidth="1"/>
    <col min="2" max="2" width="9.5546875" style="7" customWidth="1"/>
    <col min="3" max="5" width="15.77734375" style="7" customWidth="1"/>
    <col min="6" max="8" width="8.88671875" style="7"/>
    <col min="9" max="9" width="9.88671875" style="7" bestFit="1" customWidth="1"/>
    <col min="10" max="16384" width="8.88671875" style="7"/>
  </cols>
  <sheetData>
    <row r="1" spans="1:29">
      <c r="A1" s="72" t="str">
        <f>(inputPrYr!D2)</f>
        <v>CITY OF BLUE RAPIDS</v>
      </c>
      <c r="B1" s="72"/>
      <c r="C1" s="21"/>
      <c r="D1" s="21"/>
      <c r="E1" s="136">
        <f>inputPrYr!C5</f>
        <v>2013</v>
      </c>
    </row>
    <row r="2" spans="1:29">
      <c r="A2" s="21"/>
      <c r="B2" s="21"/>
      <c r="C2" s="21"/>
      <c r="D2" s="21"/>
      <c r="E2" s="24"/>
    </row>
    <row r="3" spans="1:29">
      <c r="A3" s="90" t="s">
        <v>173</v>
      </c>
      <c r="B3" s="90"/>
      <c r="C3" s="94"/>
      <c r="D3" s="94"/>
      <c r="E3" s="95"/>
    </row>
    <row r="4" spans="1:29">
      <c r="A4" s="21"/>
      <c r="B4" s="21"/>
      <c r="C4" s="96"/>
      <c r="D4" s="96"/>
      <c r="E4" s="96"/>
    </row>
    <row r="5" spans="1:29">
      <c r="A5" s="25" t="s">
        <v>96</v>
      </c>
      <c r="B5" s="25"/>
      <c r="C5" s="93" t="s">
        <v>120</v>
      </c>
      <c r="D5" s="33" t="s">
        <v>256</v>
      </c>
      <c r="E5" s="33" t="s">
        <v>257</v>
      </c>
    </row>
    <row r="6" spans="1:29">
      <c r="A6" s="325" t="str">
        <f>inputPrYr!B19</f>
        <v>Library</v>
      </c>
      <c r="B6" s="135"/>
      <c r="C6" s="142">
        <f>E1-2</f>
        <v>2011</v>
      </c>
      <c r="D6" s="142">
        <f>E1-1</f>
        <v>2012</v>
      </c>
      <c r="E6" s="142">
        <f>E1</f>
        <v>2013</v>
      </c>
      <c r="F6" s="341"/>
      <c r="G6" s="341"/>
      <c r="H6" s="341"/>
      <c r="I6" s="341"/>
      <c r="J6" s="341"/>
      <c r="K6" s="341"/>
      <c r="L6" s="341"/>
      <c r="M6" s="341"/>
      <c r="N6" s="341"/>
      <c r="O6" s="341"/>
      <c r="P6" s="341"/>
      <c r="Q6" s="341"/>
      <c r="R6" s="341"/>
      <c r="S6" s="341"/>
      <c r="T6" s="341"/>
      <c r="U6" s="341"/>
      <c r="V6" s="341"/>
      <c r="W6" s="341"/>
      <c r="X6" s="341"/>
      <c r="Y6" s="341"/>
      <c r="Z6" s="341"/>
      <c r="AA6" s="341"/>
      <c r="AB6" s="341"/>
      <c r="AC6" s="341"/>
    </row>
    <row r="7" spans="1:29">
      <c r="A7" s="275" t="s">
        <v>230</v>
      </c>
      <c r="B7" s="281"/>
      <c r="C7" s="277">
        <v>0</v>
      </c>
      <c r="D7" s="85">
        <f>C25</f>
        <v>0</v>
      </c>
      <c r="E7" s="85">
        <f>D25</f>
        <v>244</v>
      </c>
      <c r="F7" s="341"/>
      <c r="G7" s="341"/>
      <c r="H7" s="341"/>
      <c r="I7" s="341"/>
      <c r="J7" s="341"/>
      <c r="K7" s="341"/>
      <c r="L7" s="341"/>
      <c r="M7" s="341"/>
      <c r="N7" s="341"/>
      <c r="O7" s="341"/>
      <c r="P7" s="341"/>
      <c r="Q7" s="341"/>
      <c r="R7" s="341"/>
      <c r="S7" s="341"/>
      <c r="T7" s="341"/>
      <c r="U7" s="341"/>
      <c r="V7" s="341"/>
      <c r="W7" s="341"/>
      <c r="X7" s="341"/>
      <c r="Y7" s="341"/>
      <c r="Z7" s="341"/>
      <c r="AA7" s="341"/>
      <c r="AB7" s="341"/>
      <c r="AC7" s="341"/>
    </row>
    <row r="8" spans="1:29">
      <c r="A8" s="280" t="s">
        <v>232</v>
      </c>
      <c r="B8" s="281"/>
      <c r="C8" s="269"/>
      <c r="D8" s="40"/>
      <c r="E8" s="40"/>
      <c r="F8" s="341"/>
      <c r="G8" s="341"/>
      <c r="H8" s="341"/>
      <c r="I8" s="341"/>
      <c r="J8" s="341"/>
      <c r="K8" s="341"/>
      <c r="L8" s="341"/>
      <c r="M8" s="341"/>
      <c r="N8" s="341"/>
      <c r="O8" s="341"/>
      <c r="P8" s="341"/>
      <c r="Q8" s="341"/>
      <c r="R8" s="341"/>
      <c r="S8" s="341"/>
      <c r="T8" s="341"/>
      <c r="U8" s="341"/>
      <c r="V8" s="341"/>
      <c r="W8" s="341"/>
      <c r="X8" s="341"/>
      <c r="Y8" s="341"/>
      <c r="Z8" s="341"/>
      <c r="AA8" s="341"/>
      <c r="AB8" s="341"/>
      <c r="AC8" s="341"/>
    </row>
    <row r="9" spans="1:29">
      <c r="A9" s="37" t="s">
        <v>97</v>
      </c>
      <c r="B9" s="281"/>
      <c r="C9" s="277">
        <v>8549</v>
      </c>
      <c r="D9" s="374">
        <v>9144</v>
      </c>
      <c r="E9" s="97" t="s">
        <v>84</v>
      </c>
      <c r="F9" s="341"/>
      <c r="G9" s="341"/>
      <c r="H9" s="341"/>
      <c r="I9" s="341"/>
      <c r="J9" s="341"/>
      <c r="K9" s="341"/>
      <c r="L9" s="341"/>
      <c r="M9" s="341"/>
      <c r="N9" s="341"/>
      <c r="O9" s="341"/>
      <c r="P9" s="341"/>
      <c r="Q9" s="341"/>
      <c r="R9" s="341"/>
      <c r="S9" s="341"/>
      <c r="T9" s="341"/>
      <c r="U9" s="341"/>
      <c r="V9" s="341"/>
      <c r="W9" s="341"/>
      <c r="X9" s="341"/>
      <c r="Y9" s="341"/>
      <c r="Z9" s="341"/>
      <c r="AA9" s="341"/>
      <c r="AB9" s="341"/>
      <c r="AC9" s="341"/>
    </row>
    <row r="10" spans="1:29">
      <c r="A10" s="37" t="s">
        <v>98</v>
      </c>
      <c r="B10" s="281"/>
      <c r="C10" s="277">
        <v>453</v>
      </c>
      <c r="D10" s="9">
        <v>0</v>
      </c>
      <c r="E10" s="9">
        <v>0</v>
      </c>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row>
    <row r="11" spans="1:29">
      <c r="A11" s="37" t="s">
        <v>99</v>
      </c>
      <c r="B11" s="281"/>
      <c r="C11" s="277">
        <v>1710</v>
      </c>
      <c r="D11" s="9">
        <v>1973</v>
      </c>
      <c r="E11" s="85">
        <f>mvalloc!C9</f>
        <v>1803</v>
      </c>
      <c r="F11" s="355"/>
      <c r="G11" s="335"/>
      <c r="H11" s="341"/>
      <c r="I11" s="341"/>
      <c r="J11" s="341"/>
      <c r="K11" s="341"/>
      <c r="L11" s="341"/>
      <c r="M11" s="341"/>
      <c r="N11" s="341"/>
      <c r="O11" s="341"/>
      <c r="P11" s="341"/>
      <c r="Q11" s="341"/>
      <c r="R11" s="341"/>
      <c r="S11" s="341"/>
      <c r="T11" s="341"/>
      <c r="U11" s="341"/>
      <c r="V11" s="341"/>
      <c r="W11" s="341"/>
      <c r="X11" s="341"/>
      <c r="Y11" s="341"/>
      <c r="Z11" s="341"/>
      <c r="AA11" s="341"/>
      <c r="AB11" s="341"/>
      <c r="AC11" s="341"/>
    </row>
    <row r="12" spans="1:29">
      <c r="A12" s="37" t="s">
        <v>100</v>
      </c>
      <c r="B12" s="281"/>
      <c r="C12" s="277">
        <v>53</v>
      </c>
      <c r="D12" s="9">
        <v>56</v>
      </c>
      <c r="E12" s="85">
        <f>mvalloc!D9</f>
        <v>50</v>
      </c>
      <c r="F12" s="341"/>
      <c r="G12" s="335"/>
      <c r="H12" s="341"/>
      <c r="I12" s="341"/>
      <c r="J12" s="341"/>
      <c r="K12" s="341"/>
      <c r="L12" s="341"/>
      <c r="M12" s="341"/>
      <c r="N12" s="341"/>
      <c r="O12" s="341"/>
      <c r="P12" s="341"/>
      <c r="Q12" s="341"/>
      <c r="R12" s="341"/>
      <c r="S12" s="341"/>
      <c r="T12" s="341"/>
      <c r="U12" s="341"/>
      <c r="V12" s="341"/>
      <c r="W12" s="341"/>
      <c r="X12" s="341"/>
      <c r="Y12" s="341"/>
      <c r="Z12" s="341"/>
      <c r="AA12" s="341"/>
      <c r="AB12" s="341"/>
      <c r="AC12" s="341"/>
    </row>
    <row r="13" spans="1:29">
      <c r="A13" s="285" t="s">
        <v>207</v>
      </c>
      <c r="B13" s="281"/>
      <c r="C13" s="277">
        <v>28</v>
      </c>
      <c r="D13" s="9">
        <v>27</v>
      </c>
      <c r="E13" s="85">
        <f>mvalloc!E9</f>
        <v>28</v>
      </c>
      <c r="F13" s="341"/>
      <c r="G13" s="335"/>
      <c r="H13" s="341"/>
      <c r="I13" s="341"/>
      <c r="J13" s="341"/>
      <c r="K13" s="341"/>
      <c r="L13" s="341"/>
      <c r="M13" s="341"/>
      <c r="N13" s="341"/>
      <c r="O13" s="341"/>
      <c r="P13" s="341"/>
      <c r="Q13" s="341"/>
      <c r="R13" s="341"/>
      <c r="S13" s="341"/>
      <c r="T13" s="341"/>
      <c r="U13" s="341"/>
      <c r="V13" s="341"/>
      <c r="W13" s="341"/>
      <c r="X13" s="341"/>
      <c r="Y13" s="341"/>
      <c r="Z13" s="341"/>
      <c r="AA13" s="341"/>
      <c r="AB13" s="341"/>
      <c r="AC13" s="341"/>
    </row>
    <row r="14" spans="1:29">
      <c r="A14" s="286" t="s">
        <v>264</v>
      </c>
      <c r="B14" s="281"/>
      <c r="C14" s="277">
        <v>0</v>
      </c>
      <c r="D14" s="9">
        <v>0</v>
      </c>
      <c r="E14" s="85">
        <f>mvalloc!F9</f>
        <v>0</v>
      </c>
      <c r="F14" s="341"/>
      <c r="G14" s="335"/>
      <c r="H14" s="341"/>
      <c r="I14" s="341"/>
      <c r="J14" s="341"/>
      <c r="K14" s="341"/>
      <c r="L14" s="341"/>
      <c r="M14" s="341"/>
      <c r="N14" s="341"/>
      <c r="O14" s="341"/>
      <c r="P14" s="341"/>
      <c r="Q14" s="341"/>
      <c r="R14" s="341"/>
      <c r="S14" s="341"/>
      <c r="T14" s="341"/>
      <c r="U14" s="341"/>
      <c r="V14" s="341"/>
      <c r="W14" s="341"/>
      <c r="X14" s="341"/>
      <c r="Y14" s="341"/>
      <c r="Z14" s="341"/>
      <c r="AA14" s="341"/>
      <c r="AB14" s="341"/>
      <c r="AC14" s="341"/>
    </row>
    <row r="15" spans="1:29">
      <c r="A15" s="285" t="s">
        <v>370</v>
      </c>
      <c r="B15" s="281"/>
      <c r="C15" s="277">
        <v>0</v>
      </c>
      <c r="D15" s="277">
        <v>0</v>
      </c>
      <c r="E15" s="277">
        <v>0</v>
      </c>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row>
    <row r="16" spans="1:29">
      <c r="A16" s="275" t="s">
        <v>372</v>
      </c>
      <c r="B16" s="281"/>
      <c r="C16" s="310" t="str">
        <f>IF(C17*0.1&lt;C15,"Exceed 10% Rule","")</f>
        <v/>
      </c>
      <c r="D16" s="310" t="str">
        <f>IF(D17*0.1&lt;D15,"Exceed 10% Rule","")</f>
        <v/>
      </c>
      <c r="E16" s="310" t="str">
        <f>IF(E17*0.1&lt;E15,"Exceed 10% Rule","")</f>
        <v/>
      </c>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row>
    <row r="17" spans="1:29">
      <c r="A17" s="144" t="s">
        <v>103</v>
      </c>
      <c r="B17" s="281"/>
      <c r="C17" s="278">
        <f>SUM(C9:C15)</f>
        <v>10793</v>
      </c>
      <c r="D17" s="245">
        <f>SUM(D9:D15)</f>
        <v>11200</v>
      </c>
      <c r="E17" s="245">
        <f>SUM(E9:E15)</f>
        <v>1881</v>
      </c>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row>
    <row r="18" spans="1:29">
      <c r="A18" s="144" t="s">
        <v>104</v>
      </c>
      <c r="B18" s="281"/>
      <c r="C18" s="279">
        <f>C7+C17</f>
        <v>10793</v>
      </c>
      <c r="D18" s="244">
        <f>D7+D17</f>
        <v>11200</v>
      </c>
      <c r="E18" s="244">
        <f>E7+E17</f>
        <v>2125</v>
      </c>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row>
    <row r="19" spans="1:29">
      <c r="A19" s="37" t="s">
        <v>106</v>
      </c>
      <c r="B19" s="281"/>
      <c r="C19" s="38"/>
      <c r="D19" s="42"/>
      <c r="E19" s="42"/>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row>
    <row r="20" spans="1:29">
      <c r="A20" s="266" t="s">
        <v>23</v>
      </c>
      <c r="B20" s="282"/>
      <c r="C20" s="277">
        <v>10647</v>
      </c>
      <c r="D20" s="9">
        <v>10850</v>
      </c>
      <c r="E20" s="9">
        <v>18985</v>
      </c>
      <c r="F20" s="410"/>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row>
    <row r="21" spans="1:29">
      <c r="A21" s="266" t="s">
        <v>369</v>
      </c>
      <c r="B21" s="282"/>
      <c r="C21" s="277">
        <v>146</v>
      </c>
      <c r="D21" s="277">
        <v>106</v>
      </c>
      <c r="E21" s="277">
        <v>109</v>
      </c>
      <c r="F21" s="410"/>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row>
    <row r="22" spans="1:29">
      <c r="A22" s="283" t="s">
        <v>370</v>
      </c>
      <c r="B22" s="281"/>
      <c r="C22" s="277">
        <v>0</v>
      </c>
      <c r="D22" s="277">
        <v>0</v>
      </c>
      <c r="E22" s="277">
        <v>0</v>
      </c>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row>
    <row r="23" spans="1:29">
      <c r="A23" s="283" t="s">
        <v>371</v>
      </c>
      <c r="B23" s="281"/>
      <c r="C23" s="310" t="str">
        <f>IF(C24*0.1&lt;C22,"Exceed 10% Rule","")</f>
        <v/>
      </c>
      <c r="D23" s="310" t="str">
        <f>IF(D24*0.1&lt;D22,"Exceed 10% Rule","")</f>
        <v/>
      </c>
      <c r="E23" s="310" t="str">
        <f>IF(E24*0.1&lt;E22,"Exceed 10% Rule","")</f>
        <v/>
      </c>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row>
    <row r="24" spans="1:29">
      <c r="A24" s="144" t="s">
        <v>110</v>
      </c>
      <c r="B24" s="281"/>
      <c r="C24" s="278">
        <f>SUM(C20:C22)</f>
        <v>10793</v>
      </c>
      <c r="D24" s="245">
        <f>SUM(D20:D22)</f>
        <v>10956</v>
      </c>
      <c r="E24" s="245">
        <f>SUM(E20:E22)</f>
        <v>19094</v>
      </c>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row>
    <row r="25" spans="1:29">
      <c r="A25" s="37" t="s">
        <v>231</v>
      </c>
      <c r="B25" s="281"/>
      <c r="C25" s="279">
        <f>C18-C24</f>
        <v>0</v>
      </c>
      <c r="D25" s="244">
        <f>D18-D24</f>
        <v>244</v>
      </c>
      <c r="E25" s="97" t="s">
        <v>84</v>
      </c>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row>
    <row r="26" spans="1:29">
      <c r="A26" s="23" t="str">
        <f>CONCATENATE("",E1-2," Budget Authority Limited Amount:")</f>
        <v>2011 Budget Authority Limited Amount:</v>
      </c>
      <c r="B26" s="297">
        <f>inputOth!B61</f>
        <v>10900</v>
      </c>
      <c r="C26" s="21"/>
      <c r="D26" s="24" t="s">
        <v>111</v>
      </c>
      <c r="E26" s="9"/>
      <c r="F26" s="41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row>
    <row r="27" spans="1:29">
      <c r="A27" s="23" t="str">
        <f>CONCATENATE("Violation of Budget Law for ",E1-2,":")</f>
        <v>Violation of Budget Law for 2011:</v>
      </c>
      <c r="B27" s="298" t="str">
        <f>IF(C24&gt;B26,"Yes","")</f>
        <v/>
      </c>
      <c r="C27" s="21"/>
      <c r="D27" s="24" t="s">
        <v>359</v>
      </c>
      <c r="E27" s="85">
        <f>E24+E26</f>
        <v>19094</v>
      </c>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row>
    <row r="28" spans="1:29">
      <c r="A28" s="23" t="str">
        <f>CONCATENATE("Possible Cash Violation for ",E1-2,":")</f>
        <v>Possible Cash Violation for 2011:</v>
      </c>
      <c r="B28" s="298" t="str">
        <f>IF(C25&lt;0,"Yes","")</f>
        <v/>
      </c>
      <c r="C28" s="21"/>
      <c r="D28" s="24" t="s">
        <v>112</v>
      </c>
      <c r="E28" s="244">
        <f>IF(E27-E18&gt;0,E27-E18,0)</f>
        <v>16969</v>
      </c>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row>
    <row r="29" spans="1:29">
      <c r="A29" s="457" t="s">
        <v>298</v>
      </c>
      <c r="B29" s="457"/>
      <c r="C29" s="458"/>
      <c r="D29" s="209">
        <f>(inputOth!E46)</f>
        <v>0</v>
      </c>
      <c r="E29" s="85">
        <f>ROUND(IF(D29&gt;0,(E28*D29),0),0)</f>
        <v>0</v>
      </c>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row>
    <row r="30" spans="1:29">
      <c r="A30" s="24"/>
      <c r="B30" s="24"/>
      <c r="C30" s="455" t="str">
        <f>CONCATENATE("Amount of  ",E1-1," Ad Valorem Tax")</f>
        <v>Amount of  2012 Ad Valorem Tax</v>
      </c>
      <c r="D30" s="463"/>
      <c r="E30" s="244">
        <f>E28+E29</f>
        <v>16969</v>
      </c>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row>
    <row r="31" spans="1:29">
      <c r="A31" s="21"/>
      <c r="B31" s="21"/>
      <c r="C31" s="455"/>
      <c r="D31" s="464"/>
      <c r="E31" s="104"/>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row>
    <row r="32" spans="1:29">
      <c r="A32" s="25" t="s">
        <v>96</v>
      </c>
      <c r="B32" s="25"/>
      <c r="C32" s="96"/>
      <c r="D32" s="96"/>
      <c r="E32" s="96"/>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row>
    <row r="33" spans="1:29">
      <c r="A33" s="21"/>
      <c r="B33" s="21"/>
      <c r="C33" s="93" t="s">
        <v>120</v>
      </c>
      <c r="D33" s="33" t="s">
        <v>256</v>
      </c>
      <c r="E33" s="33" t="s">
        <v>257</v>
      </c>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row>
    <row r="34" spans="1:29">
      <c r="A34" s="325" t="s">
        <v>260</v>
      </c>
      <c r="B34" s="135"/>
      <c r="C34" s="142">
        <f>E1-2</f>
        <v>2011</v>
      </c>
      <c r="D34" s="142">
        <f>E1-1</f>
        <v>2012</v>
      </c>
      <c r="E34" s="142">
        <f>E1</f>
        <v>2013</v>
      </c>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row>
    <row r="35" spans="1:29">
      <c r="A35" s="275" t="s">
        <v>230</v>
      </c>
      <c r="B35" s="281"/>
      <c r="C35" s="277">
        <v>0</v>
      </c>
      <c r="D35" s="85">
        <f>C60</f>
        <v>26855</v>
      </c>
      <c r="E35" s="85">
        <f>D60</f>
        <v>11523</v>
      </c>
      <c r="F35" s="410"/>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row>
    <row r="36" spans="1:29">
      <c r="A36" s="280" t="s">
        <v>232</v>
      </c>
      <c r="B36" s="281"/>
      <c r="C36" s="269"/>
      <c r="D36" s="40"/>
      <c r="E36" s="40"/>
      <c r="F36" s="410"/>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row>
    <row r="37" spans="1:29">
      <c r="A37" s="37" t="s">
        <v>97</v>
      </c>
      <c r="B37" s="281"/>
      <c r="C37" s="277">
        <v>0</v>
      </c>
      <c r="D37" s="328">
        <v>0</v>
      </c>
      <c r="E37" s="97" t="s">
        <v>84</v>
      </c>
      <c r="F37" s="410"/>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row>
    <row r="38" spans="1:29">
      <c r="A38" s="37" t="s">
        <v>98</v>
      </c>
      <c r="B38" s="281"/>
      <c r="C38" s="277">
        <v>0</v>
      </c>
      <c r="D38" s="9">
        <v>0</v>
      </c>
      <c r="E38" s="9">
        <v>0</v>
      </c>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row>
    <row r="39" spans="1:29">
      <c r="A39" s="37" t="s">
        <v>99</v>
      </c>
      <c r="B39" s="281"/>
      <c r="C39" s="277">
        <v>0</v>
      </c>
      <c r="D39" s="9">
        <v>0</v>
      </c>
      <c r="E39" s="85" t="str">
        <f>mvalloc!C8</f>
        <v xml:space="preserve">  </v>
      </c>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row>
    <row r="40" spans="1:29">
      <c r="A40" s="37" t="s">
        <v>100</v>
      </c>
      <c r="B40" s="281"/>
      <c r="C40" s="277">
        <v>0</v>
      </c>
      <c r="D40" s="9">
        <v>0</v>
      </c>
      <c r="E40" s="85" t="str">
        <f>mvalloc!D8</f>
        <v xml:space="preserve"> </v>
      </c>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row>
    <row r="41" spans="1:29">
      <c r="A41" s="285" t="s">
        <v>207</v>
      </c>
      <c r="B41" s="281"/>
      <c r="C41" s="277">
        <v>0</v>
      </c>
      <c r="D41" s="9">
        <v>0</v>
      </c>
      <c r="E41" s="85" t="str">
        <f>mvalloc!E8</f>
        <v xml:space="preserve"> </v>
      </c>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row>
    <row r="42" spans="1:29">
      <c r="A42" s="286" t="s">
        <v>264</v>
      </c>
      <c r="B42" s="281"/>
      <c r="C42" s="277">
        <v>0</v>
      </c>
      <c r="D42" s="9">
        <v>0</v>
      </c>
      <c r="E42" s="85" t="str">
        <f>mvalloc!F8</f>
        <v xml:space="preserve"> </v>
      </c>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row>
    <row r="43" spans="1:29">
      <c r="A43" s="276" t="s">
        <v>467</v>
      </c>
      <c r="B43" s="282"/>
      <c r="C43" s="277">
        <v>26855</v>
      </c>
      <c r="D43" s="9">
        <v>0</v>
      </c>
      <c r="E43" s="9">
        <v>0</v>
      </c>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row>
    <row r="44" spans="1:29">
      <c r="A44" s="285" t="s">
        <v>370</v>
      </c>
      <c r="B44" s="281"/>
      <c r="C44" s="277">
        <v>0</v>
      </c>
      <c r="D44" s="277">
        <v>0</v>
      </c>
      <c r="E44" s="277">
        <v>0</v>
      </c>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row>
    <row r="45" spans="1:29">
      <c r="A45" s="275" t="s">
        <v>372</v>
      </c>
      <c r="B45" s="281"/>
      <c r="C45" s="310" t="str">
        <f>IF(C46*0.1&lt;C44,"Exceed 10% Rule","")</f>
        <v/>
      </c>
      <c r="D45" s="310" t="str">
        <f>IF(D46*0.1&lt;D44,"Exceed 10% Rule","")</f>
        <v/>
      </c>
      <c r="E45" s="310" t="str">
        <f>IF(E46*0.1&lt;E44,"Exceed 10% Rule","")</f>
        <v/>
      </c>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row>
    <row r="46" spans="1:29">
      <c r="A46" s="144" t="s">
        <v>103</v>
      </c>
      <c r="B46" s="281"/>
      <c r="C46" s="278">
        <f>SUM(C37:C44)</f>
        <v>26855</v>
      </c>
      <c r="D46" s="245">
        <f>SUM(D37:D44)</f>
        <v>0</v>
      </c>
      <c r="E46" s="245">
        <f>SUM(E37:E44)</f>
        <v>0</v>
      </c>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row>
    <row r="47" spans="1:29">
      <c r="A47" s="144" t="s">
        <v>104</v>
      </c>
      <c r="B47" s="281"/>
      <c r="C47" s="278">
        <f>C35+C46</f>
        <v>26855</v>
      </c>
      <c r="D47" s="245">
        <f>D35+D46</f>
        <v>26855</v>
      </c>
      <c r="E47" s="245">
        <f>E35+E46</f>
        <v>11523</v>
      </c>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row>
    <row r="48" spans="1:29">
      <c r="A48" s="37" t="s">
        <v>106</v>
      </c>
      <c r="B48" s="281"/>
      <c r="C48" s="38"/>
      <c r="D48" s="42"/>
      <c r="E48" s="42"/>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row>
    <row r="49" spans="1:29">
      <c r="A49" s="266" t="s">
        <v>580</v>
      </c>
      <c r="B49" s="282"/>
      <c r="C49" s="277">
        <v>0</v>
      </c>
      <c r="D49" s="9">
        <v>2000</v>
      </c>
      <c r="E49" s="9">
        <v>7000</v>
      </c>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row>
    <row r="50" spans="1:29">
      <c r="A50" s="266" t="s">
        <v>513</v>
      </c>
      <c r="B50" s="282"/>
      <c r="C50" s="277">
        <v>0</v>
      </c>
      <c r="D50" s="9">
        <v>13328</v>
      </c>
      <c r="E50" s="9">
        <v>8245</v>
      </c>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row>
    <row r="51" spans="1:29">
      <c r="A51" s="266" t="s">
        <v>514</v>
      </c>
      <c r="B51" s="282"/>
      <c r="C51" s="277">
        <v>0</v>
      </c>
      <c r="D51" s="9">
        <v>4</v>
      </c>
      <c r="E51" s="9">
        <v>2</v>
      </c>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row>
    <row r="52" spans="1:29">
      <c r="A52" s="266" t="s">
        <v>581</v>
      </c>
      <c r="B52" s="282"/>
      <c r="C52" s="277">
        <v>0</v>
      </c>
      <c r="D52" s="9">
        <v>0</v>
      </c>
      <c r="E52" s="9">
        <v>4220</v>
      </c>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row>
    <row r="53" spans="1:29">
      <c r="A53" s="266" t="s">
        <v>515</v>
      </c>
      <c r="B53" s="282"/>
      <c r="C53" s="277">
        <v>0</v>
      </c>
      <c r="D53" s="9">
        <v>0</v>
      </c>
      <c r="E53" s="9">
        <v>2026</v>
      </c>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row>
    <row r="54" spans="1:29">
      <c r="A54" s="266" t="s">
        <v>516</v>
      </c>
      <c r="B54" s="282"/>
      <c r="C54" s="277">
        <v>0</v>
      </c>
      <c r="D54" s="9">
        <v>0</v>
      </c>
      <c r="E54" s="9">
        <v>2</v>
      </c>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row>
    <row r="55" spans="1:29">
      <c r="A55" s="266" t="s">
        <v>469</v>
      </c>
      <c r="B55" s="282"/>
      <c r="C55" s="277">
        <v>0</v>
      </c>
      <c r="D55" s="9">
        <v>0</v>
      </c>
      <c r="E55" s="9">
        <v>7474</v>
      </c>
      <c r="F55" s="355"/>
      <c r="G55" s="355"/>
      <c r="H55" s="355"/>
      <c r="I55" s="355"/>
      <c r="J55" s="355"/>
      <c r="K55" s="355"/>
      <c r="L55" s="355"/>
      <c r="M55" s="355"/>
      <c r="N55" s="341"/>
      <c r="O55" s="341"/>
      <c r="P55" s="341"/>
      <c r="Q55" s="341"/>
      <c r="R55" s="341"/>
      <c r="S55" s="341"/>
      <c r="T55" s="341"/>
      <c r="U55" s="341"/>
      <c r="V55" s="341"/>
      <c r="W55" s="341"/>
      <c r="X55" s="341"/>
      <c r="Y55" s="341"/>
      <c r="Z55" s="341"/>
      <c r="AA55" s="341"/>
      <c r="AB55" s="341"/>
      <c r="AC55" s="341"/>
    </row>
    <row r="56" spans="1:29">
      <c r="A56" s="266" t="s">
        <v>259</v>
      </c>
      <c r="B56" s="282"/>
      <c r="C56" s="277">
        <v>0</v>
      </c>
      <c r="D56" s="277">
        <v>0</v>
      </c>
      <c r="E56" s="277">
        <v>106</v>
      </c>
      <c r="F56" s="355"/>
      <c r="G56" s="355"/>
      <c r="H56" s="355"/>
      <c r="I56" s="355"/>
      <c r="J56" s="355"/>
      <c r="K56" s="355"/>
      <c r="L56" s="355"/>
      <c r="M56" s="355"/>
      <c r="N56" s="341"/>
      <c r="O56" s="341"/>
      <c r="P56" s="341"/>
      <c r="Q56" s="341"/>
      <c r="R56" s="341"/>
      <c r="S56" s="341"/>
      <c r="T56" s="341"/>
      <c r="U56" s="341"/>
      <c r="V56" s="341"/>
      <c r="W56" s="341"/>
      <c r="X56" s="341"/>
      <c r="Y56" s="341"/>
      <c r="Z56" s="341"/>
      <c r="AA56" s="341"/>
      <c r="AB56" s="341"/>
      <c r="AC56" s="341"/>
    </row>
    <row r="57" spans="1:29">
      <c r="A57" s="283" t="s">
        <v>370</v>
      </c>
      <c r="B57" s="281"/>
      <c r="C57" s="277">
        <v>0</v>
      </c>
      <c r="D57" s="277">
        <v>0</v>
      </c>
      <c r="E57" s="277">
        <v>0</v>
      </c>
      <c r="F57" s="355"/>
      <c r="G57" s="355"/>
      <c r="H57" s="355"/>
      <c r="I57" s="355"/>
      <c r="J57" s="355"/>
      <c r="K57" s="355"/>
      <c r="L57" s="355"/>
      <c r="M57" s="355"/>
      <c r="N57" s="341"/>
      <c r="O57" s="341"/>
      <c r="P57" s="341"/>
      <c r="Q57" s="341"/>
      <c r="R57" s="341"/>
      <c r="S57" s="341"/>
      <c r="T57" s="341"/>
      <c r="U57" s="341"/>
      <c r="V57" s="341"/>
      <c r="W57" s="341"/>
      <c r="X57" s="341"/>
      <c r="Y57" s="341"/>
      <c r="Z57" s="341"/>
      <c r="AA57" s="341"/>
      <c r="AB57" s="341"/>
      <c r="AC57" s="341"/>
    </row>
    <row r="58" spans="1:29">
      <c r="A58" s="283" t="s">
        <v>371</v>
      </c>
      <c r="B58" s="281"/>
      <c r="C58" s="310" t="str">
        <f>IF(C59*0.1&lt;C57,"Exceed 10% Rule","")</f>
        <v/>
      </c>
      <c r="D58" s="310" t="str">
        <f>IF(D59*0.1&lt;D57,"Exceed 10% Rule","")</f>
        <v/>
      </c>
      <c r="E58" s="310" t="str">
        <f>IF(E59*0.1&lt;E57,"Exceed 10% Rule","")</f>
        <v/>
      </c>
      <c r="F58" s="355"/>
      <c r="G58" s="355"/>
      <c r="H58" s="355"/>
      <c r="I58" s="355"/>
      <c r="J58" s="355"/>
      <c r="K58" s="355"/>
      <c r="L58" s="355"/>
      <c r="M58" s="355"/>
      <c r="N58" s="341"/>
      <c r="O58" s="341"/>
      <c r="P58" s="341"/>
      <c r="Q58" s="341"/>
      <c r="R58" s="341"/>
      <c r="S58" s="341"/>
      <c r="T58" s="341"/>
      <c r="U58" s="341"/>
      <c r="V58" s="341"/>
      <c r="W58" s="341"/>
      <c r="X58" s="341"/>
      <c r="Y58" s="341"/>
      <c r="Z58" s="341"/>
      <c r="AA58" s="341"/>
      <c r="AB58" s="341"/>
      <c r="AC58" s="341"/>
    </row>
    <row r="59" spans="1:29">
      <c r="A59" s="144" t="s">
        <v>110</v>
      </c>
      <c r="B59" s="281"/>
      <c r="C59" s="278">
        <f>SUM(C49:C57)</f>
        <v>0</v>
      </c>
      <c r="D59" s="245">
        <f>SUM(D49:D57)</f>
        <v>15332</v>
      </c>
      <c r="E59" s="245">
        <f>SUM(E49:E57)</f>
        <v>29075</v>
      </c>
      <c r="F59" s="355"/>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row>
    <row r="60" spans="1:29">
      <c r="A60" s="37" t="s">
        <v>231</v>
      </c>
      <c r="B60" s="281"/>
      <c r="C60" s="279">
        <f>C47-C59</f>
        <v>26855</v>
      </c>
      <c r="D60" s="244">
        <f>D47-D59</f>
        <v>11523</v>
      </c>
      <c r="E60" s="97" t="s">
        <v>84</v>
      </c>
      <c r="F60" s="355"/>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row>
    <row r="61" spans="1:29">
      <c r="A61" s="23" t="str">
        <f>CONCATENATE("",E1-2," Budget Authority Limited Amount:")</f>
        <v>2011 Budget Authority Limited Amount:</v>
      </c>
      <c r="B61" s="297">
        <f>inputOth!B60</f>
        <v>0</v>
      </c>
      <c r="C61" s="65"/>
      <c r="D61" s="24" t="s">
        <v>111</v>
      </c>
      <c r="E61" s="9"/>
      <c r="F61" s="41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row>
    <row r="62" spans="1:29">
      <c r="A62" s="23" t="str">
        <f>CONCATENATE("Violation of Budget Law for ",E1-2,":")</f>
        <v>Violation of Budget Law for 2011:</v>
      </c>
      <c r="B62" s="298" t="str">
        <f>IF(C59&gt;B61,"Yes","")</f>
        <v/>
      </c>
      <c r="C62" s="65"/>
      <c r="D62" s="24" t="s">
        <v>359</v>
      </c>
      <c r="E62" s="85">
        <f>E59+E61</f>
        <v>29075</v>
      </c>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row>
    <row r="63" spans="1:29">
      <c r="A63" s="23" t="str">
        <f>CONCATENATE("Possible Cash Violation for ",E1-2,":")</f>
        <v>Possible Cash Violation for 2011:</v>
      </c>
      <c r="B63" s="298" t="str">
        <f>IF(C60&lt;0,"Yes","")</f>
        <v/>
      </c>
      <c r="C63" s="21"/>
      <c r="D63" s="24" t="s">
        <v>112</v>
      </c>
      <c r="E63" s="244">
        <f>IF(E62-E47&gt;0,E62-E47,0)</f>
        <v>17552</v>
      </c>
      <c r="F63" s="341"/>
      <c r="G63" s="341"/>
      <c r="H63" s="412"/>
      <c r="I63" s="412"/>
      <c r="J63" s="341"/>
      <c r="K63" s="341"/>
      <c r="L63" s="341"/>
      <c r="M63" s="341"/>
      <c r="N63" s="341"/>
      <c r="O63" s="341"/>
      <c r="P63" s="341"/>
      <c r="Q63" s="341"/>
      <c r="R63" s="341"/>
      <c r="S63" s="341"/>
      <c r="T63" s="341"/>
      <c r="U63" s="341"/>
      <c r="V63" s="341"/>
      <c r="W63" s="341"/>
      <c r="X63" s="341"/>
      <c r="Y63" s="341"/>
      <c r="Z63" s="341"/>
      <c r="AA63" s="341"/>
      <c r="AB63" s="341"/>
      <c r="AC63" s="341"/>
    </row>
    <row r="64" spans="1:29">
      <c r="A64" s="457" t="s">
        <v>298</v>
      </c>
      <c r="B64" s="457"/>
      <c r="C64" s="458"/>
      <c r="D64" s="211">
        <f>(inputOth!E46)</f>
        <v>0</v>
      </c>
      <c r="E64" s="85">
        <f>ROUND(IF(D64&gt;0,(E63*D64),0),0)</f>
        <v>0</v>
      </c>
      <c r="F64" s="341"/>
      <c r="G64" s="341"/>
      <c r="H64" s="412"/>
      <c r="I64" s="412"/>
      <c r="J64" s="341"/>
      <c r="K64" s="341"/>
      <c r="L64" s="341"/>
      <c r="M64" s="341"/>
      <c r="N64" s="341"/>
      <c r="O64" s="341"/>
      <c r="P64" s="341"/>
      <c r="Q64" s="341"/>
      <c r="R64" s="341"/>
      <c r="S64" s="341"/>
      <c r="T64" s="341"/>
      <c r="U64" s="341"/>
      <c r="V64" s="341"/>
      <c r="W64" s="341"/>
      <c r="X64" s="341"/>
      <c r="Y64" s="341"/>
      <c r="Z64" s="341"/>
      <c r="AA64" s="341"/>
      <c r="AB64" s="341"/>
      <c r="AC64" s="341"/>
    </row>
    <row r="65" spans="1:29" ht="16.5" thickBot="1">
      <c r="A65" s="21"/>
      <c r="B65" s="21"/>
      <c r="C65" s="455" t="str">
        <f>CONCATENATE("Amount of  ",E1-1," Ad Valorem Tax")</f>
        <v>Amount of  2012 Ad Valorem Tax</v>
      </c>
      <c r="D65" s="463"/>
      <c r="E65" s="246">
        <f>E63+E64</f>
        <v>17552</v>
      </c>
      <c r="F65" s="341"/>
      <c r="G65" s="341"/>
      <c r="H65" s="412"/>
      <c r="I65" s="412"/>
      <c r="J65" s="341"/>
      <c r="K65" s="341"/>
      <c r="L65" s="341"/>
      <c r="M65" s="341"/>
      <c r="N65" s="341"/>
      <c r="O65" s="341"/>
      <c r="P65" s="341"/>
      <c r="Q65" s="341"/>
      <c r="R65" s="341"/>
      <c r="S65" s="341"/>
      <c r="T65" s="341"/>
      <c r="U65" s="341"/>
      <c r="V65" s="341"/>
      <c r="W65" s="341"/>
      <c r="X65" s="341"/>
      <c r="Y65" s="341"/>
      <c r="Z65" s="341"/>
      <c r="AA65" s="341"/>
      <c r="AB65" s="341"/>
      <c r="AC65" s="341"/>
    </row>
    <row r="66" spans="1:29" ht="16.5" thickTop="1">
      <c r="A66" s="21"/>
      <c r="B66" s="21"/>
      <c r="C66" s="356"/>
      <c r="D66" s="357"/>
      <c r="E66" s="359"/>
      <c r="F66" s="341"/>
      <c r="G66" s="341"/>
      <c r="H66" s="412"/>
      <c r="I66" s="412"/>
      <c r="J66" s="341"/>
      <c r="K66" s="341"/>
      <c r="L66" s="341"/>
      <c r="M66" s="341"/>
      <c r="N66" s="341"/>
      <c r="O66" s="341"/>
      <c r="P66" s="341"/>
      <c r="Q66" s="341"/>
      <c r="R66" s="341"/>
      <c r="S66" s="341"/>
      <c r="T66" s="341"/>
      <c r="U66" s="341"/>
      <c r="V66" s="341"/>
      <c r="W66" s="341"/>
      <c r="X66" s="341"/>
      <c r="Y66" s="341"/>
      <c r="Z66" s="341"/>
      <c r="AA66" s="341"/>
      <c r="AB66" s="341"/>
      <c r="AC66" s="341"/>
    </row>
    <row r="67" spans="1:29">
      <c r="A67" s="21"/>
      <c r="B67" s="21"/>
      <c r="C67" s="356"/>
      <c r="D67" s="357"/>
      <c r="E67" s="359"/>
      <c r="F67" s="341"/>
      <c r="G67" s="341"/>
      <c r="H67" s="412"/>
      <c r="I67" s="412"/>
      <c r="J67" s="341"/>
      <c r="K67" s="341"/>
      <c r="L67" s="341"/>
      <c r="M67" s="341"/>
      <c r="N67" s="341"/>
      <c r="O67" s="341"/>
      <c r="P67" s="341"/>
      <c r="Q67" s="341"/>
      <c r="R67" s="341"/>
      <c r="S67" s="341"/>
      <c r="T67" s="341"/>
      <c r="U67" s="341"/>
      <c r="V67" s="341"/>
      <c r="W67" s="341"/>
      <c r="X67" s="341"/>
      <c r="Y67" s="341"/>
      <c r="Z67" s="341"/>
      <c r="AA67" s="341"/>
      <c r="AB67" s="341"/>
      <c r="AC67" s="341"/>
    </row>
    <row r="68" spans="1:29">
      <c r="A68" s="24"/>
      <c r="B68" s="24" t="s">
        <v>114</v>
      </c>
      <c r="C68" s="16">
        <v>9</v>
      </c>
      <c r="D68" s="21"/>
      <c r="E68" s="21"/>
      <c r="F68" s="341"/>
      <c r="G68" s="341"/>
      <c r="H68" s="412"/>
      <c r="I68" s="412"/>
      <c r="J68" s="413"/>
      <c r="K68" s="341"/>
      <c r="L68" s="341"/>
      <c r="M68" s="341"/>
      <c r="N68" s="341"/>
      <c r="O68" s="341"/>
      <c r="P68" s="341"/>
      <c r="Q68" s="341"/>
      <c r="R68" s="341"/>
      <c r="S68" s="341"/>
      <c r="T68" s="341"/>
      <c r="U68" s="341"/>
      <c r="V68" s="341"/>
      <c r="W68" s="341"/>
      <c r="X68" s="341"/>
      <c r="Y68" s="341"/>
      <c r="Z68" s="341"/>
      <c r="AA68" s="341"/>
      <c r="AB68" s="341"/>
      <c r="AC68" s="341"/>
    </row>
    <row r="69" spans="1:29">
      <c r="A69" s="2"/>
      <c r="B69" s="2"/>
      <c r="F69" s="341"/>
      <c r="G69" s="341"/>
      <c r="H69" s="412"/>
      <c r="I69" s="412"/>
      <c r="J69" s="341"/>
      <c r="K69" s="341"/>
      <c r="L69" s="341"/>
      <c r="M69" s="341"/>
      <c r="N69" s="341"/>
      <c r="O69" s="341"/>
      <c r="P69" s="341"/>
      <c r="Q69" s="341"/>
      <c r="R69" s="341"/>
      <c r="S69" s="341"/>
      <c r="T69" s="341"/>
      <c r="U69" s="341"/>
      <c r="V69" s="341"/>
      <c r="W69" s="341"/>
      <c r="X69" s="341"/>
      <c r="Y69" s="341"/>
      <c r="Z69" s="341"/>
      <c r="AA69" s="341"/>
      <c r="AB69" s="341"/>
      <c r="AC69" s="341"/>
    </row>
    <row r="70" spans="1:29">
      <c r="F70" s="341"/>
      <c r="G70" s="341"/>
      <c r="H70" s="412"/>
      <c r="I70" s="412"/>
      <c r="J70" s="414"/>
      <c r="K70" s="341"/>
      <c r="L70" s="341"/>
      <c r="M70" s="341"/>
      <c r="N70" s="341"/>
      <c r="O70" s="341"/>
      <c r="P70" s="341"/>
      <c r="Q70" s="341"/>
      <c r="R70" s="341"/>
      <c r="S70" s="341"/>
      <c r="T70" s="341"/>
      <c r="U70" s="341"/>
      <c r="V70" s="341"/>
      <c r="W70" s="341"/>
      <c r="X70" s="341"/>
      <c r="Y70" s="341"/>
      <c r="Z70" s="341"/>
      <c r="AA70" s="341"/>
      <c r="AB70" s="341"/>
      <c r="AC70" s="341"/>
    </row>
    <row r="71" spans="1:29">
      <c r="F71" s="341"/>
      <c r="G71" s="341"/>
      <c r="H71" s="412"/>
      <c r="I71" s="412"/>
      <c r="J71" s="412"/>
      <c r="K71" s="341"/>
      <c r="L71" s="341"/>
      <c r="M71" s="341"/>
      <c r="N71" s="341"/>
      <c r="O71" s="341"/>
      <c r="P71" s="341"/>
      <c r="Q71" s="341"/>
      <c r="R71" s="341"/>
      <c r="S71" s="341"/>
      <c r="T71" s="341"/>
      <c r="U71" s="341"/>
      <c r="V71" s="341"/>
      <c r="W71" s="341"/>
      <c r="X71" s="341"/>
      <c r="Y71" s="341"/>
      <c r="Z71" s="341"/>
      <c r="AA71" s="341"/>
      <c r="AB71" s="341"/>
      <c r="AC71" s="341"/>
    </row>
    <row r="72" spans="1:29">
      <c r="F72" s="341"/>
      <c r="G72" s="410"/>
      <c r="H72" s="414"/>
      <c r="I72" s="414"/>
      <c r="J72" s="412"/>
      <c r="K72" s="341"/>
      <c r="L72" s="341"/>
      <c r="M72" s="341"/>
      <c r="N72" s="341"/>
      <c r="O72" s="341"/>
      <c r="P72" s="341"/>
      <c r="Q72" s="341"/>
      <c r="R72" s="341"/>
      <c r="S72" s="341"/>
      <c r="T72" s="341"/>
      <c r="U72" s="341"/>
      <c r="V72" s="341"/>
      <c r="W72" s="341"/>
      <c r="X72" s="341"/>
      <c r="Y72" s="341"/>
      <c r="Z72" s="341"/>
      <c r="AA72" s="341"/>
      <c r="AB72" s="341"/>
      <c r="AC72" s="341"/>
    </row>
    <row r="73" spans="1:29">
      <c r="F73" s="341"/>
      <c r="G73" s="341"/>
      <c r="H73" s="412"/>
      <c r="I73" s="412"/>
      <c r="J73" s="412"/>
      <c r="K73" s="341"/>
      <c r="L73" s="341"/>
      <c r="M73" s="341"/>
      <c r="N73" s="341"/>
      <c r="O73" s="341"/>
      <c r="P73" s="341"/>
      <c r="Q73" s="341"/>
      <c r="R73" s="341"/>
      <c r="S73" s="341"/>
      <c r="T73" s="341"/>
      <c r="U73" s="341"/>
      <c r="V73" s="341"/>
      <c r="W73" s="341"/>
      <c r="X73" s="341"/>
      <c r="Y73" s="341"/>
      <c r="Z73" s="341"/>
      <c r="AA73" s="341"/>
      <c r="AB73" s="341"/>
      <c r="AC73" s="341"/>
    </row>
    <row r="74" spans="1:29">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row>
    <row r="75" spans="1:29">
      <c r="F75" s="341"/>
      <c r="G75" s="341"/>
      <c r="H75" s="412"/>
      <c r="I75" s="412"/>
      <c r="J75" s="412"/>
      <c r="K75" s="341"/>
      <c r="L75" s="415"/>
      <c r="M75" s="341"/>
      <c r="N75" s="341"/>
      <c r="O75" s="341"/>
      <c r="P75" s="341"/>
      <c r="Q75" s="341"/>
      <c r="R75" s="341"/>
      <c r="S75" s="341"/>
      <c r="T75" s="341"/>
      <c r="U75" s="341"/>
      <c r="V75" s="341"/>
      <c r="W75" s="341"/>
      <c r="X75" s="341"/>
      <c r="Y75" s="341"/>
      <c r="Z75" s="341"/>
      <c r="AA75" s="341"/>
      <c r="AB75" s="341"/>
      <c r="AC75" s="341"/>
    </row>
    <row r="76" spans="1:29">
      <c r="F76" s="341"/>
      <c r="G76" s="341"/>
      <c r="H76" s="412"/>
      <c r="I76" s="412"/>
      <c r="J76" s="412"/>
      <c r="K76" s="341"/>
      <c r="L76" s="341"/>
      <c r="M76" s="341"/>
      <c r="N76" s="341"/>
      <c r="O76" s="341"/>
      <c r="P76" s="341"/>
      <c r="Q76" s="341"/>
      <c r="R76" s="341"/>
      <c r="S76" s="341"/>
      <c r="T76" s="341"/>
      <c r="U76" s="341"/>
      <c r="V76" s="341"/>
      <c r="W76" s="341"/>
      <c r="X76" s="341"/>
      <c r="Y76" s="341"/>
      <c r="Z76" s="341"/>
      <c r="AA76" s="341"/>
      <c r="AB76" s="341"/>
      <c r="AC76" s="341"/>
    </row>
    <row r="77" spans="1:29">
      <c r="F77" s="341"/>
      <c r="G77" s="341"/>
      <c r="H77" s="412"/>
      <c r="I77" s="412"/>
      <c r="J77" s="412"/>
      <c r="K77" s="341"/>
      <c r="L77" s="341"/>
      <c r="M77" s="341"/>
      <c r="N77" s="341"/>
      <c r="O77" s="341"/>
      <c r="P77" s="341"/>
      <c r="Q77" s="341"/>
      <c r="R77" s="341"/>
      <c r="S77" s="341"/>
      <c r="T77" s="341"/>
      <c r="U77" s="341"/>
      <c r="V77" s="341"/>
      <c r="W77" s="341"/>
      <c r="X77" s="341"/>
      <c r="Y77" s="341"/>
      <c r="Z77" s="341"/>
      <c r="AA77" s="341"/>
      <c r="AB77" s="341"/>
      <c r="AC77" s="341"/>
    </row>
    <row r="78" spans="1:29">
      <c r="F78" s="341"/>
      <c r="G78" s="341"/>
      <c r="H78" s="412"/>
      <c r="I78" s="412"/>
      <c r="J78" s="412"/>
      <c r="K78" s="341"/>
      <c r="L78" s="341"/>
      <c r="M78" s="341"/>
      <c r="N78" s="341"/>
      <c r="O78" s="341"/>
      <c r="P78" s="341"/>
      <c r="Q78" s="341"/>
      <c r="R78" s="341"/>
      <c r="S78" s="341"/>
      <c r="T78" s="341"/>
      <c r="U78" s="341"/>
      <c r="V78" s="341"/>
      <c r="W78" s="341"/>
      <c r="X78" s="341"/>
      <c r="Y78" s="341"/>
      <c r="Z78" s="341"/>
      <c r="AA78" s="341"/>
      <c r="AB78" s="341"/>
      <c r="AC78" s="341"/>
    </row>
    <row r="79" spans="1:29">
      <c r="F79" s="341"/>
      <c r="G79" s="341"/>
      <c r="H79" s="412"/>
      <c r="I79" s="412"/>
      <c r="J79" s="412"/>
      <c r="K79" s="341"/>
      <c r="L79" s="341"/>
      <c r="M79" s="341"/>
      <c r="N79" s="341"/>
      <c r="O79" s="341"/>
      <c r="P79" s="341"/>
      <c r="Q79" s="341"/>
      <c r="R79" s="341"/>
      <c r="S79" s="341"/>
      <c r="T79" s="341"/>
      <c r="U79" s="341"/>
      <c r="V79" s="341"/>
      <c r="W79" s="341"/>
      <c r="X79" s="341"/>
      <c r="Y79" s="341"/>
      <c r="Z79" s="341"/>
      <c r="AA79" s="341"/>
      <c r="AB79" s="341"/>
      <c r="AC79" s="341"/>
    </row>
    <row r="80" spans="1:29">
      <c r="F80" s="341"/>
      <c r="G80" s="341"/>
      <c r="H80" s="412"/>
      <c r="I80" s="412"/>
      <c r="J80" s="412"/>
      <c r="K80" s="341"/>
      <c r="L80" s="341"/>
      <c r="M80" s="341"/>
      <c r="N80" s="341"/>
      <c r="O80" s="341"/>
      <c r="P80" s="341"/>
      <c r="Q80" s="341"/>
      <c r="R80" s="341"/>
      <c r="S80" s="341"/>
      <c r="T80" s="341"/>
      <c r="U80" s="341"/>
      <c r="V80" s="341"/>
      <c r="W80" s="341"/>
      <c r="X80" s="341"/>
      <c r="Y80" s="341"/>
      <c r="Z80" s="341"/>
      <c r="AA80" s="341"/>
      <c r="AB80" s="341"/>
      <c r="AC80" s="341"/>
    </row>
    <row r="81" spans="6:29">
      <c r="F81" s="341"/>
      <c r="G81" s="341"/>
      <c r="H81" s="412"/>
      <c r="I81" s="412"/>
      <c r="J81" s="412"/>
      <c r="K81" s="341"/>
      <c r="L81" s="341"/>
      <c r="M81" s="341"/>
      <c r="N81" s="341"/>
      <c r="O81" s="341"/>
      <c r="P81" s="341"/>
      <c r="Q81" s="341"/>
      <c r="R81" s="341"/>
      <c r="S81" s="341"/>
      <c r="T81" s="341"/>
      <c r="U81" s="341"/>
      <c r="V81" s="341"/>
      <c r="W81" s="341"/>
      <c r="X81" s="341"/>
      <c r="Y81" s="341"/>
      <c r="Z81" s="341"/>
      <c r="AA81" s="341"/>
      <c r="AB81" s="341"/>
      <c r="AC81" s="341"/>
    </row>
    <row r="82" spans="6:29">
      <c r="F82" s="341"/>
      <c r="G82" s="341"/>
      <c r="H82" s="412"/>
      <c r="I82" s="412"/>
      <c r="J82" s="412"/>
      <c r="K82" s="341"/>
      <c r="L82" s="341"/>
      <c r="M82" s="341"/>
      <c r="N82" s="341"/>
      <c r="O82" s="341"/>
      <c r="P82" s="341"/>
      <c r="Q82" s="341"/>
      <c r="R82" s="341"/>
      <c r="S82" s="341"/>
      <c r="T82" s="341"/>
      <c r="U82" s="341"/>
      <c r="V82" s="341"/>
      <c r="W82" s="341"/>
      <c r="X82" s="341"/>
      <c r="Y82" s="341"/>
      <c r="Z82" s="341"/>
      <c r="AA82" s="341"/>
      <c r="AB82" s="341"/>
      <c r="AC82" s="341"/>
    </row>
    <row r="83" spans="6:29">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row>
    <row r="84" spans="6:29">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row>
    <row r="85" spans="6:29">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row>
    <row r="86" spans="6:29">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row>
    <row r="87" spans="6:29">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row>
  </sheetData>
  <mergeCells count="5">
    <mergeCell ref="C65:D65"/>
    <mergeCell ref="A29:C29"/>
    <mergeCell ref="A64:C64"/>
    <mergeCell ref="C31:D31"/>
    <mergeCell ref="C30:D30"/>
  </mergeCells>
  <phoneticPr fontId="0" type="noConversion"/>
  <conditionalFormatting sqref="C57">
    <cfRule type="cellIs" dxfId="67" priority="1" stopIfTrue="1" operator="greaterThan">
      <formula>$C$59*0.1</formula>
    </cfRule>
  </conditionalFormatting>
  <conditionalFormatting sqref="D57">
    <cfRule type="cellIs" dxfId="66" priority="2" stopIfTrue="1" operator="greaterThan">
      <formula>$D$59*0.1</formula>
    </cfRule>
  </conditionalFormatting>
  <conditionalFormatting sqref="E57">
    <cfRule type="cellIs" dxfId="65" priority="3" stopIfTrue="1" operator="greaterThan">
      <formula>$E$59*0.1</formula>
    </cfRule>
  </conditionalFormatting>
  <conditionalFormatting sqref="E61">
    <cfRule type="cellIs" dxfId="64" priority="4" stopIfTrue="1" operator="greaterThan">
      <formula>$E$59/0.95-$E$59</formula>
    </cfRule>
  </conditionalFormatting>
  <conditionalFormatting sqref="C44">
    <cfRule type="cellIs" dxfId="63" priority="5" stopIfTrue="1" operator="greaterThan">
      <formula>$C$46*0.1</formula>
    </cfRule>
  </conditionalFormatting>
  <conditionalFormatting sqref="D44">
    <cfRule type="cellIs" dxfId="62" priority="6" stopIfTrue="1" operator="greaterThan">
      <formula>$D$46*0.1</formula>
    </cfRule>
  </conditionalFormatting>
  <conditionalFormatting sqref="E44">
    <cfRule type="cellIs" dxfId="61" priority="7" stopIfTrue="1" operator="greaterThan">
      <formula>$E$46*0.1</formula>
    </cfRule>
  </conditionalFormatting>
  <conditionalFormatting sqref="C22">
    <cfRule type="cellIs" dxfId="60" priority="8" stopIfTrue="1" operator="greaterThan">
      <formula>$C$24*0.1</formula>
    </cfRule>
  </conditionalFormatting>
  <conditionalFormatting sqref="D22">
    <cfRule type="cellIs" dxfId="59" priority="9" stopIfTrue="1" operator="greaterThan">
      <formula>$D$24*0.1</formula>
    </cfRule>
  </conditionalFormatting>
  <conditionalFormatting sqref="E22">
    <cfRule type="cellIs" dxfId="58" priority="10" stopIfTrue="1" operator="greaterThan">
      <formula>$E$24*0.1</formula>
    </cfRule>
  </conditionalFormatting>
  <conditionalFormatting sqref="E26">
    <cfRule type="cellIs" dxfId="57" priority="11" stopIfTrue="1" operator="greaterThan">
      <formula>$E$24/0.95-$E$24</formula>
    </cfRule>
  </conditionalFormatting>
  <conditionalFormatting sqref="C15">
    <cfRule type="cellIs" dxfId="56" priority="12" stopIfTrue="1" operator="greaterThan">
      <formula>$C$17*0.1</formula>
    </cfRule>
  </conditionalFormatting>
  <conditionalFormatting sqref="D15">
    <cfRule type="cellIs" dxfId="55" priority="13" stopIfTrue="1" operator="greaterThan">
      <formula>$D$17*0.1</formula>
    </cfRule>
  </conditionalFormatting>
  <conditionalFormatting sqref="E15">
    <cfRule type="cellIs" dxfId="54" priority="14" stopIfTrue="1" operator="greaterThan">
      <formula>$E$17*0.1</formula>
    </cfRule>
  </conditionalFormatting>
  <pageMargins left="0.5" right="0.5" top="1" bottom="0.5" header="0.5" footer="0.5"/>
  <pageSetup scale="71" orientation="portrait" blackAndWhite="1" r:id="rId1"/>
  <headerFooter alignWithMargins="0">
    <oddHeader>&amp;RState of Kansas
City</oddHeader>
    <oddFooter>&amp;Lrevised 8/06/07</oddFooter>
  </headerFooter>
</worksheet>
</file>

<file path=xl/worksheets/sheet14.xml><?xml version="1.0" encoding="utf-8"?>
<worksheet xmlns="http://schemas.openxmlformats.org/spreadsheetml/2006/main" xmlns:r="http://schemas.openxmlformats.org/officeDocument/2006/relationships">
  <sheetPr>
    <tabColor theme="7" tint="0.39997558519241921"/>
    <pageSetUpPr fitToPage="1"/>
  </sheetPr>
  <dimension ref="A1:AH151"/>
  <sheetViews>
    <sheetView topLeftCell="A7" zoomScaleNormal="100" workbookViewId="0">
      <selection activeCell="A17" sqref="A17"/>
    </sheetView>
  </sheetViews>
  <sheetFormatPr defaultRowHeight="15.75"/>
  <cols>
    <col min="1" max="1" width="28.77734375" style="7" customWidth="1"/>
    <col min="2" max="2" width="9.5546875" style="7" customWidth="1"/>
    <col min="3" max="5" width="15.77734375" style="7" customWidth="1"/>
    <col min="6" max="16384" width="8.88671875" style="7"/>
  </cols>
  <sheetData>
    <row r="1" spans="1:34">
      <c r="A1" s="72" t="str">
        <f>(inputPrYr!D2)</f>
        <v>CITY OF BLUE RAPIDS</v>
      </c>
      <c r="B1" s="72"/>
      <c r="C1" s="21"/>
      <c r="D1" s="21"/>
      <c r="E1" s="136">
        <f>inputPrYr!C5</f>
        <v>2013</v>
      </c>
    </row>
    <row r="2" spans="1:34">
      <c r="A2" s="21"/>
      <c r="B2" s="21"/>
      <c r="C2" s="21"/>
      <c r="D2" s="21"/>
      <c r="E2" s="24"/>
    </row>
    <row r="3" spans="1:34">
      <c r="A3" s="90" t="s">
        <v>174</v>
      </c>
      <c r="B3" s="90"/>
      <c r="C3" s="96"/>
      <c r="D3" s="96"/>
      <c r="E3" s="96"/>
    </row>
    <row r="4" spans="1:34">
      <c r="A4" s="25" t="s">
        <v>96</v>
      </c>
      <c r="B4" s="25"/>
      <c r="C4" s="93" t="s">
        <v>120</v>
      </c>
      <c r="D4" s="33" t="s">
        <v>256</v>
      </c>
      <c r="E4" s="33" t="s">
        <v>257</v>
      </c>
    </row>
    <row r="5" spans="1:34">
      <c r="A5" s="325" t="str">
        <f>(inputPrYr!B24)</f>
        <v>Special Highway</v>
      </c>
      <c r="B5" s="135"/>
      <c r="C5" s="142">
        <f>E1-2</f>
        <v>2011</v>
      </c>
      <c r="D5" s="142">
        <f>E1-1</f>
        <v>2012</v>
      </c>
      <c r="E5" s="142">
        <f>E1</f>
        <v>2013</v>
      </c>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row>
    <row r="6" spans="1:34">
      <c r="A6" s="275" t="s">
        <v>230</v>
      </c>
      <c r="B6" s="281"/>
      <c r="C6" s="277">
        <v>0</v>
      </c>
      <c r="D6" s="85">
        <f>C23</f>
        <v>0</v>
      </c>
      <c r="E6" s="85">
        <f>D23</f>
        <v>0</v>
      </c>
      <c r="F6" s="410"/>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row>
    <row r="7" spans="1:34">
      <c r="A7" s="280" t="s">
        <v>232</v>
      </c>
      <c r="B7" s="281"/>
      <c r="C7" s="269"/>
      <c r="D7" s="40"/>
      <c r="E7" s="40"/>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row>
    <row r="8" spans="1:34">
      <c r="A8" s="283" t="s">
        <v>210</v>
      </c>
      <c r="B8" s="281"/>
      <c r="C8" s="277">
        <v>26514</v>
      </c>
      <c r="D8" s="140">
        <f>inputOth!E51</f>
        <v>26320</v>
      </c>
      <c r="E8" s="85">
        <f>inputOth!E49</f>
        <v>26520</v>
      </c>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row>
    <row r="9" spans="1:34">
      <c r="A9" s="284" t="s">
        <v>449</v>
      </c>
      <c r="B9" s="281"/>
      <c r="C9" s="277">
        <v>0</v>
      </c>
      <c r="D9" s="140">
        <v>0</v>
      </c>
      <c r="E9" s="140">
        <f>inputOth!E50</f>
        <v>0</v>
      </c>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row>
    <row r="10" spans="1:34">
      <c r="A10" s="266" t="s">
        <v>24</v>
      </c>
      <c r="B10" s="282"/>
      <c r="C10" s="277">
        <v>0</v>
      </c>
      <c r="D10" s="9">
        <v>800</v>
      </c>
      <c r="E10" s="9">
        <v>950</v>
      </c>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row>
    <row r="11" spans="1:34">
      <c r="A11" s="285" t="s">
        <v>370</v>
      </c>
      <c r="B11" s="281"/>
      <c r="C11" s="277">
        <v>0</v>
      </c>
      <c r="D11" s="277">
        <v>0</v>
      </c>
      <c r="E11" s="277">
        <v>0</v>
      </c>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row>
    <row r="12" spans="1:34">
      <c r="A12" s="275" t="s">
        <v>372</v>
      </c>
      <c r="B12" s="281"/>
      <c r="C12" s="310" t="str">
        <f>IF(C13*0.1&lt;C11,"Exceed 10% Rule","")</f>
        <v/>
      </c>
      <c r="D12" s="310" t="str">
        <f>IF(D13*0.1&lt;D11,"Exceed 10% Rule","")</f>
        <v/>
      </c>
      <c r="E12" s="310" t="str">
        <f>IF(E13*0.1&lt;E11,"Exceed 10% Rule","")</f>
        <v/>
      </c>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row>
    <row r="13" spans="1:34">
      <c r="A13" s="144" t="s">
        <v>103</v>
      </c>
      <c r="B13" s="281"/>
      <c r="C13" s="278">
        <f>SUM(C8:C11)</f>
        <v>26514</v>
      </c>
      <c r="D13" s="245">
        <f>SUM(D8:D11)</f>
        <v>27120</v>
      </c>
      <c r="E13" s="245">
        <f>SUM(E8:E11)</f>
        <v>27470</v>
      </c>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row>
    <row r="14" spans="1:34">
      <c r="A14" s="144" t="s">
        <v>104</v>
      </c>
      <c r="B14" s="281"/>
      <c r="C14" s="278">
        <f>C6+C13</f>
        <v>26514</v>
      </c>
      <c r="D14" s="245">
        <f>D6+D13</f>
        <v>27120</v>
      </c>
      <c r="E14" s="245">
        <f>E6+E13</f>
        <v>27470</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row>
    <row r="15" spans="1:34">
      <c r="A15" s="37" t="s">
        <v>106</v>
      </c>
      <c r="B15" s="281"/>
      <c r="C15" s="117"/>
      <c r="D15" s="85"/>
      <c r="E15" s="85"/>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row>
    <row r="16" spans="1:34">
      <c r="A16" s="266" t="s">
        <v>27</v>
      </c>
      <c r="B16" s="282"/>
      <c r="C16" s="277">
        <v>0</v>
      </c>
      <c r="D16" s="9">
        <v>0</v>
      </c>
      <c r="E16" s="9">
        <v>0</v>
      </c>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row>
    <row r="17" spans="1:34">
      <c r="A17" s="266" t="s">
        <v>29</v>
      </c>
      <c r="B17" s="282"/>
      <c r="C17" s="277">
        <v>0</v>
      </c>
      <c r="D17" s="9">
        <v>0</v>
      </c>
      <c r="E17" s="9">
        <v>0</v>
      </c>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row>
    <row r="18" spans="1:34">
      <c r="A18" s="266" t="s">
        <v>26</v>
      </c>
      <c r="B18" s="282"/>
      <c r="C18" s="277">
        <v>0</v>
      </c>
      <c r="D18" s="9">
        <v>0</v>
      </c>
      <c r="E18" s="9">
        <v>0</v>
      </c>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row>
    <row r="19" spans="1:34">
      <c r="A19" s="266" t="s">
        <v>25</v>
      </c>
      <c r="B19" s="282"/>
      <c r="C19" s="277">
        <v>26514</v>
      </c>
      <c r="D19" s="9">
        <v>27120</v>
      </c>
      <c r="E19" s="9">
        <v>27470</v>
      </c>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row>
    <row r="20" spans="1:34">
      <c r="A20" s="283" t="s">
        <v>370</v>
      </c>
      <c r="B20" s="281"/>
      <c r="C20" s="277">
        <v>0</v>
      </c>
      <c r="D20" s="277">
        <v>0</v>
      </c>
      <c r="E20" s="277">
        <v>0</v>
      </c>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row>
    <row r="21" spans="1:34">
      <c r="A21" s="283" t="s">
        <v>371</v>
      </c>
      <c r="B21" s="281"/>
      <c r="C21" s="310" t="str">
        <f>IF(C22*0.1&lt;C20,"Exceed 10% Rule","")</f>
        <v/>
      </c>
      <c r="D21" s="310" t="str">
        <f>IF(D22*0.1&lt;D20,"Exceed 10% Rule","")</f>
        <v/>
      </c>
      <c r="E21" s="310" t="str">
        <f>IF(E22*0.1&lt;E20,"Exceed 10% Rule","")</f>
        <v/>
      </c>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row>
    <row r="22" spans="1:34">
      <c r="A22" s="144" t="s">
        <v>110</v>
      </c>
      <c r="B22" s="281"/>
      <c r="C22" s="278">
        <f>SUM(C16:C20)</f>
        <v>26514</v>
      </c>
      <c r="D22" s="245">
        <f>SUM(D16:D20)</f>
        <v>27120</v>
      </c>
      <c r="E22" s="245">
        <f>SUM(E16:E20)</f>
        <v>27470</v>
      </c>
      <c r="F22" s="355"/>
      <c r="G22" s="355"/>
      <c r="H22" s="355"/>
      <c r="I22" s="355"/>
      <c r="J22" s="355"/>
      <c r="K22" s="355"/>
      <c r="L22" s="355"/>
      <c r="M22" s="355"/>
      <c r="N22" s="341"/>
      <c r="O22" s="341"/>
      <c r="P22" s="341"/>
      <c r="Q22" s="341"/>
      <c r="R22" s="341"/>
      <c r="S22" s="341"/>
      <c r="T22" s="341"/>
      <c r="U22" s="341"/>
      <c r="V22" s="341"/>
      <c r="W22" s="341"/>
      <c r="X22" s="341"/>
      <c r="Y22" s="341"/>
      <c r="Z22" s="341"/>
      <c r="AA22" s="341"/>
      <c r="AB22" s="341"/>
      <c r="AC22" s="341"/>
      <c r="AD22" s="341"/>
      <c r="AE22" s="341"/>
      <c r="AF22" s="341"/>
      <c r="AG22" s="341"/>
      <c r="AH22" s="341"/>
    </row>
    <row r="23" spans="1:34">
      <c r="A23" s="37" t="s">
        <v>231</v>
      </c>
      <c r="B23" s="281"/>
      <c r="C23" s="279">
        <f>C14-C22</f>
        <v>0</v>
      </c>
      <c r="D23" s="244">
        <f>D14-D22</f>
        <v>0</v>
      </c>
      <c r="E23" s="244">
        <f>E14-E22</f>
        <v>0</v>
      </c>
      <c r="F23" s="355"/>
      <c r="G23" s="355"/>
      <c r="H23" s="355"/>
      <c r="I23" s="355"/>
      <c r="J23" s="355"/>
      <c r="K23" s="355"/>
      <c r="L23" s="355"/>
      <c r="M23" s="355"/>
      <c r="N23" s="341"/>
      <c r="O23" s="341"/>
      <c r="P23" s="341"/>
      <c r="Q23" s="341"/>
      <c r="R23" s="341"/>
      <c r="S23" s="341"/>
      <c r="T23" s="341"/>
      <c r="U23" s="341"/>
      <c r="V23" s="341"/>
      <c r="W23" s="341"/>
      <c r="X23" s="341"/>
      <c r="Y23" s="341"/>
      <c r="Z23" s="341"/>
      <c r="AA23" s="341"/>
      <c r="AB23" s="341"/>
      <c r="AC23" s="341"/>
      <c r="AD23" s="341"/>
      <c r="AE23" s="341"/>
      <c r="AF23" s="341"/>
      <c r="AG23" s="341"/>
      <c r="AH23" s="341"/>
    </row>
    <row r="24" spans="1:34">
      <c r="A24" s="23" t="str">
        <f>CONCATENATE("",E1-2," Budget Authority Limited Amount:")</f>
        <v>2011 Budget Authority Limited Amount:</v>
      </c>
      <c r="B24" s="297">
        <f>inputOth!B62</f>
        <v>32123</v>
      </c>
      <c r="C24" s="65"/>
      <c r="D24" s="65"/>
      <c r="E24" s="65"/>
      <c r="F24" s="355"/>
      <c r="G24" s="355"/>
      <c r="H24" s="355"/>
      <c r="I24" s="355"/>
      <c r="J24" s="355"/>
      <c r="K24" s="355"/>
      <c r="L24" s="355"/>
      <c r="M24" s="355"/>
      <c r="N24" s="341"/>
      <c r="O24" s="341"/>
      <c r="P24" s="341"/>
      <c r="Q24" s="341"/>
      <c r="R24" s="341"/>
      <c r="S24" s="341"/>
      <c r="T24" s="341"/>
      <c r="U24" s="341"/>
      <c r="V24" s="341"/>
      <c r="W24" s="341"/>
      <c r="X24" s="341"/>
      <c r="Y24" s="341"/>
      <c r="Z24" s="341"/>
      <c r="AA24" s="341"/>
      <c r="AB24" s="341"/>
      <c r="AC24" s="341"/>
      <c r="AD24" s="341"/>
      <c r="AE24" s="341"/>
      <c r="AF24" s="341"/>
      <c r="AG24" s="341"/>
      <c r="AH24" s="341"/>
    </row>
    <row r="25" spans="1:34">
      <c r="A25" s="23" t="str">
        <f>CONCATENATE("Violation of Budget Law for ",E1-2,":")</f>
        <v>Violation of Budget Law for 2011:</v>
      </c>
      <c r="B25" s="298" t="str">
        <f>IF(C22&gt;B24,"Yes","")</f>
        <v/>
      </c>
      <c r="C25" s="65"/>
      <c r="D25" s="65"/>
      <c r="E25" s="65"/>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row>
    <row r="26" spans="1:34">
      <c r="A26" s="23" t="str">
        <f>CONCATENATE("Possible Cash Violation for ",E1-2,":")</f>
        <v>Possible Cash Violation for 2011:</v>
      </c>
      <c r="B26" s="298" t="str">
        <f>IF(C23&lt;0,"Yes","")</f>
        <v/>
      </c>
      <c r="C26" s="65"/>
      <c r="D26" s="65"/>
      <c r="E26" s="65"/>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row>
    <row r="27" spans="1:34">
      <c r="A27" s="21"/>
      <c r="B27" s="21"/>
      <c r="C27" s="65"/>
      <c r="D27" s="65"/>
      <c r="E27" s="65"/>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row>
    <row r="28" spans="1:34">
      <c r="A28" s="25" t="s">
        <v>96</v>
      </c>
      <c r="B28" s="25"/>
      <c r="C28" s="100"/>
      <c r="D28" s="100"/>
      <c r="E28" s="100"/>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row>
    <row r="29" spans="1:34">
      <c r="A29" s="21"/>
      <c r="B29" s="21"/>
      <c r="C29" s="93" t="s">
        <v>120</v>
      </c>
      <c r="D29" s="33" t="s">
        <v>256</v>
      </c>
      <c r="E29" s="33" t="s">
        <v>257</v>
      </c>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row>
    <row r="30" spans="1:34">
      <c r="A30" s="325" t="str">
        <f>(inputPrYr!B25)</f>
        <v>Water/Sewer/Refuse</v>
      </c>
      <c r="B30" s="135"/>
      <c r="C30" s="142">
        <f>C5</f>
        <v>2011</v>
      </c>
      <c r="D30" s="142">
        <f>D5</f>
        <v>2012</v>
      </c>
      <c r="E30" s="142">
        <f>E5</f>
        <v>2013</v>
      </c>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row>
    <row r="31" spans="1:34">
      <c r="A31" s="275" t="s">
        <v>230</v>
      </c>
      <c r="B31" s="281"/>
      <c r="C31" s="277">
        <v>237491</v>
      </c>
      <c r="D31" s="85">
        <f>C62</f>
        <v>201744</v>
      </c>
      <c r="E31" s="85">
        <f>D62</f>
        <v>182158</v>
      </c>
      <c r="F31" s="410"/>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row>
    <row r="32" spans="1:34">
      <c r="A32" s="280" t="s">
        <v>232</v>
      </c>
      <c r="B32" s="281"/>
      <c r="C32" s="269"/>
      <c r="D32" s="40"/>
      <c r="E32" s="40"/>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row>
    <row r="33" spans="1:34">
      <c r="A33" s="266" t="s">
        <v>31</v>
      </c>
      <c r="B33" s="282"/>
      <c r="C33" s="277">
        <v>6847</v>
      </c>
      <c r="D33" s="9">
        <v>7100</v>
      </c>
      <c r="E33" s="9">
        <v>7200</v>
      </c>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row>
    <row r="34" spans="1:34">
      <c r="A34" s="266" t="s">
        <v>32</v>
      </c>
      <c r="B34" s="282"/>
      <c r="C34" s="277">
        <v>154110</v>
      </c>
      <c r="D34" s="9">
        <v>175000</v>
      </c>
      <c r="E34" s="9">
        <v>175300</v>
      </c>
      <c r="F34" s="355"/>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row>
    <row r="35" spans="1:34">
      <c r="A35" s="266" t="s">
        <v>33</v>
      </c>
      <c r="B35" s="282"/>
      <c r="C35" s="277">
        <v>30875</v>
      </c>
      <c r="D35" s="9">
        <v>31500</v>
      </c>
      <c r="E35" s="9">
        <v>57000</v>
      </c>
      <c r="F35" s="355"/>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row>
    <row r="36" spans="1:34">
      <c r="A36" s="266" t="s">
        <v>34</v>
      </c>
      <c r="B36" s="282"/>
      <c r="C36" s="277">
        <v>72632</v>
      </c>
      <c r="D36" s="9">
        <v>74000</v>
      </c>
      <c r="E36" s="9">
        <v>74200</v>
      </c>
      <c r="F36" s="355"/>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row>
    <row r="37" spans="1:34">
      <c r="A37" s="266" t="s">
        <v>35</v>
      </c>
      <c r="B37" s="282"/>
      <c r="C37" s="277">
        <v>6230</v>
      </c>
      <c r="D37" s="9">
        <v>6300</v>
      </c>
      <c r="E37" s="9">
        <v>6400</v>
      </c>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row>
    <row r="38" spans="1:34">
      <c r="A38" s="266" t="s">
        <v>444</v>
      </c>
      <c r="B38" s="282"/>
      <c r="C38" s="277">
        <v>247</v>
      </c>
      <c r="D38" s="9">
        <v>500</v>
      </c>
      <c r="E38" s="9">
        <v>500</v>
      </c>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row>
    <row r="39" spans="1:34">
      <c r="A39" s="266" t="s">
        <v>36</v>
      </c>
      <c r="B39" s="282"/>
      <c r="C39" s="277">
        <v>0</v>
      </c>
      <c r="D39" s="9">
        <v>0</v>
      </c>
      <c r="E39" s="9">
        <v>0</v>
      </c>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row>
    <row r="40" spans="1:34">
      <c r="A40" s="266" t="s">
        <v>440</v>
      </c>
      <c r="B40" s="282"/>
      <c r="C40" s="277">
        <v>415</v>
      </c>
      <c r="D40" s="9">
        <v>0</v>
      </c>
      <c r="E40" s="9">
        <v>0</v>
      </c>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row>
    <row r="41" spans="1:34">
      <c r="A41" s="266" t="s">
        <v>102</v>
      </c>
      <c r="B41" s="282"/>
      <c r="C41" s="277">
        <v>1440</v>
      </c>
      <c r="D41" s="9">
        <v>2100</v>
      </c>
      <c r="E41" s="9">
        <v>2200</v>
      </c>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row>
    <row r="42" spans="1:34">
      <c r="A42" s="266" t="s">
        <v>510</v>
      </c>
      <c r="B42" s="282"/>
      <c r="C42" s="277">
        <v>0</v>
      </c>
      <c r="D42" s="277">
        <v>75000</v>
      </c>
      <c r="E42" s="277">
        <v>0</v>
      </c>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row>
    <row r="43" spans="1:34">
      <c r="A43" s="285" t="s">
        <v>370</v>
      </c>
      <c r="B43" s="281"/>
      <c r="C43" s="277">
        <v>0</v>
      </c>
      <c r="D43" s="277">
        <v>2000</v>
      </c>
      <c r="E43" s="277">
        <v>3500</v>
      </c>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row>
    <row r="44" spans="1:34">
      <c r="A44" s="275" t="s">
        <v>372</v>
      </c>
      <c r="B44" s="281"/>
      <c r="C44" s="310" t="str">
        <f>IF(C45*0.1&lt;C43,"Exceed 10% Rule","")</f>
        <v/>
      </c>
      <c r="D44" s="310" t="str">
        <f>IF(D45*0.1&lt;D43,"Exceed 10% Rule","")</f>
        <v/>
      </c>
      <c r="E44" s="310" t="str">
        <f>IF(E45*0.1&lt;E43,"Exceed 10% Rule","")</f>
        <v/>
      </c>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row>
    <row r="45" spans="1:34">
      <c r="A45" s="144" t="s">
        <v>103</v>
      </c>
      <c r="B45" s="281"/>
      <c r="C45" s="278">
        <f>SUM(C33:C43)</f>
        <v>272796</v>
      </c>
      <c r="D45" s="245">
        <f>SUM(D33:D43)</f>
        <v>373500</v>
      </c>
      <c r="E45" s="245">
        <f>SUM(E33:E43)</f>
        <v>326300</v>
      </c>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row>
    <row r="46" spans="1:34">
      <c r="A46" s="144" t="s">
        <v>104</v>
      </c>
      <c r="B46" s="281"/>
      <c r="C46" s="278">
        <f>C31+C45</f>
        <v>510287</v>
      </c>
      <c r="D46" s="245">
        <f>D31+D45</f>
        <v>575244</v>
      </c>
      <c r="E46" s="245">
        <f>E31+E45</f>
        <v>508458</v>
      </c>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row>
    <row r="47" spans="1:34">
      <c r="A47" s="37" t="s">
        <v>106</v>
      </c>
      <c r="B47" s="281"/>
      <c r="C47" s="117"/>
      <c r="D47" s="85"/>
      <c r="E47" s="85"/>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row>
    <row r="48" spans="1:34">
      <c r="A48" s="266" t="s">
        <v>38</v>
      </c>
      <c r="B48" s="282"/>
      <c r="C48" s="277">
        <v>0</v>
      </c>
      <c r="D48" s="9">
        <v>0</v>
      </c>
      <c r="E48" s="9">
        <v>0</v>
      </c>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row>
    <row r="49" spans="1:34">
      <c r="A49" s="266" t="s">
        <v>39</v>
      </c>
      <c r="B49" s="282"/>
      <c r="C49" s="277">
        <v>62520</v>
      </c>
      <c r="D49" s="9">
        <v>35000</v>
      </c>
      <c r="E49" s="9">
        <v>38500</v>
      </c>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row>
    <row r="50" spans="1:34">
      <c r="A50" s="266" t="s">
        <v>40</v>
      </c>
      <c r="B50" s="282"/>
      <c r="C50" s="277">
        <v>9712</v>
      </c>
      <c r="D50" s="9">
        <v>10500</v>
      </c>
      <c r="E50" s="9">
        <v>11500</v>
      </c>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row>
    <row r="51" spans="1:34">
      <c r="A51" s="266" t="s">
        <v>41</v>
      </c>
      <c r="B51" s="282"/>
      <c r="C51" s="277">
        <v>12978</v>
      </c>
      <c r="D51" s="9">
        <v>13900</v>
      </c>
      <c r="E51" s="9">
        <v>14300</v>
      </c>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row>
    <row r="52" spans="1:34">
      <c r="A52" s="266" t="s">
        <v>472</v>
      </c>
      <c r="B52" s="282"/>
      <c r="C52" s="277">
        <v>5133</v>
      </c>
      <c r="D52" s="9">
        <v>5300</v>
      </c>
      <c r="E52" s="9">
        <v>5300</v>
      </c>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row>
    <row r="53" spans="1:34">
      <c r="A53" s="266" t="s">
        <v>42</v>
      </c>
      <c r="B53" s="282"/>
      <c r="C53" s="277">
        <v>0</v>
      </c>
      <c r="D53" s="9">
        <v>0</v>
      </c>
      <c r="E53" s="9">
        <v>185472</v>
      </c>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row>
    <row r="54" spans="1:34">
      <c r="A54" s="266" t="s">
        <v>43</v>
      </c>
      <c r="B54" s="282"/>
      <c r="C54" s="277">
        <v>73200</v>
      </c>
      <c r="D54" s="9">
        <v>73200</v>
      </c>
      <c r="E54" s="9">
        <v>73200</v>
      </c>
      <c r="F54" s="355"/>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row>
    <row r="55" spans="1:34">
      <c r="A55" s="266" t="s">
        <v>473</v>
      </c>
      <c r="B55" s="282"/>
      <c r="C55" s="277">
        <v>5000</v>
      </c>
      <c r="D55" s="9">
        <v>5000</v>
      </c>
      <c r="E55" s="9">
        <v>5000</v>
      </c>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row>
    <row r="56" spans="1:34">
      <c r="A56" s="266" t="s">
        <v>37</v>
      </c>
      <c r="B56" s="282"/>
      <c r="C56" s="277">
        <v>140000</v>
      </c>
      <c r="D56" s="9">
        <v>160000</v>
      </c>
      <c r="E56" s="9">
        <v>160000</v>
      </c>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row>
    <row r="57" spans="1:34">
      <c r="A57" s="266" t="s">
        <v>511</v>
      </c>
      <c r="B57" s="282"/>
      <c r="C57" s="277">
        <v>0</v>
      </c>
      <c r="D57" s="277">
        <v>75000</v>
      </c>
      <c r="E57" s="277">
        <v>0</v>
      </c>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row>
    <row r="58" spans="1:34">
      <c r="A58" s="266" t="s">
        <v>452</v>
      </c>
      <c r="B58" s="282"/>
      <c r="C58" s="277">
        <v>0</v>
      </c>
      <c r="D58" s="277">
        <v>15186</v>
      </c>
      <c r="E58" s="277">
        <v>15186</v>
      </c>
      <c r="F58" s="410"/>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row>
    <row r="59" spans="1:34">
      <c r="A59" s="283" t="s">
        <v>370</v>
      </c>
      <c r="B59" s="281"/>
      <c r="C59" s="277">
        <v>0</v>
      </c>
      <c r="D59" s="277">
        <v>0</v>
      </c>
      <c r="E59" s="277">
        <v>0</v>
      </c>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row>
    <row r="60" spans="1:34">
      <c r="A60" s="283" t="s">
        <v>371</v>
      </c>
      <c r="B60" s="281"/>
      <c r="C60" s="310" t="str">
        <f>IF(C61*0.1&lt;C59,"Exceed 10% Rule","")</f>
        <v/>
      </c>
      <c r="D60" s="310" t="str">
        <f>IF(D61*0.1&lt;D59,"Exceed 10% Rule","")</f>
        <v/>
      </c>
      <c r="E60" s="310" t="str">
        <f>IF(E61*0.1&lt;E59,"Exceed 10% Rule","")</f>
        <v/>
      </c>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row>
    <row r="61" spans="1:34">
      <c r="A61" s="144" t="s">
        <v>110</v>
      </c>
      <c r="B61" s="281"/>
      <c r="C61" s="278">
        <f>SUM(C48:C59)</f>
        <v>308543</v>
      </c>
      <c r="D61" s="245">
        <f>SUM(D48:D59)</f>
        <v>393086</v>
      </c>
      <c r="E61" s="245">
        <f>SUM(E48:E59)</f>
        <v>508458</v>
      </c>
      <c r="F61" s="355"/>
      <c r="G61" s="355"/>
      <c r="H61" s="355"/>
      <c r="I61" s="355"/>
      <c r="J61" s="355"/>
      <c r="K61" s="355"/>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row>
    <row r="62" spans="1:34">
      <c r="A62" s="37" t="s">
        <v>231</v>
      </c>
      <c r="B62" s="281"/>
      <c r="C62" s="279">
        <f>C46-C61</f>
        <v>201744</v>
      </c>
      <c r="D62" s="244">
        <f>D46-D61</f>
        <v>182158</v>
      </c>
      <c r="E62" s="244">
        <f>E46-E61</f>
        <v>0</v>
      </c>
      <c r="F62" s="355"/>
      <c r="G62" s="355"/>
      <c r="H62" s="355"/>
      <c r="I62" s="355"/>
      <c r="J62" s="355"/>
      <c r="K62" s="355"/>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row>
    <row r="63" spans="1:34">
      <c r="A63" s="23" t="str">
        <f>CONCATENATE("",E1-2," Budget Authority Limited Amount:")</f>
        <v>2011 Budget Authority Limited Amount:</v>
      </c>
      <c r="B63" s="297">
        <f>inputOth!B63</f>
        <v>439919</v>
      </c>
      <c r="C63" s="21"/>
      <c r="D63" s="21"/>
      <c r="E63" s="21"/>
      <c r="F63" s="355"/>
      <c r="G63" s="355"/>
      <c r="H63" s="355"/>
      <c r="I63" s="355"/>
      <c r="J63" s="355"/>
      <c r="K63" s="355"/>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row>
    <row r="64" spans="1:34">
      <c r="A64" s="23" t="str">
        <f>CONCATENATE("Violation of Budget Law for ",E1-2,":")</f>
        <v>Violation of Budget Law for 2011:</v>
      </c>
      <c r="B64" s="298" t="str">
        <f>IF(C61&gt;B63,"Yes","")</f>
        <v/>
      </c>
      <c r="C64" s="21"/>
      <c r="D64" s="21"/>
      <c r="E64" s="2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row>
    <row r="65" spans="1:34">
      <c r="A65" s="23" t="str">
        <f>CONCATENATE("Possible Cash Violation for ",E1-2,":")</f>
        <v>Possible Cash Violation for 2011:</v>
      </c>
      <c r="B65" s="298" t="str">
        <f>IF(C62&lt;0,"Yes","")</f>
        <v/>
      </c>
      <c r="C65" s="21"/>
      <c r="D65" s="21"/>
      <c r="E65" s="21"/>
      <c r="F65" s="416"/>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row>
    <row r="66" spans="1:34">
      <c r="A66" s="21"/>
      <c r="B66" s="21"/>
      <c r="C66" s="21"/>
      <c r="D66" s="21"/>
      <c r="E66" s="21"/>
      <c r="F66" s="416"/>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row>
    <row r="67" spans="1:34">
      <c r="A67" s="24"/>
      <c r="B67" s="24" t="s">
        <v>114</v>
      </c>
      <c r="C67" s="16">
        <v>10</v>
      </c>
      <c r="D67" s="21"/>
      <c r="E67" s="21"/>
      <c r="F67" s="416"/>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row>
    <row r="68" spans="1:34">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row>
    <row r="69" spans="1:34">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row>
    <row r="70" spans="1:34">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row>
    <row r="71" spans="1:34">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row>
    <row r="72" spans="1:34">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row>
    <row r="73" spans="1:34">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row>
    <row r="74" spans="1:34">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row>
    <row r="75" spans="1:34">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row>
    <row r="76" spans="1:34">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row>
    <row r="77" spans="1:34">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row>
    <row r="78" spans="1:34">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row>
    <row r="79" spans="1:34">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row>
    <row r="80" spans="1:34">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row>
    <row r="81" spans="6:34">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row>
    <row r="82" spans="6:34">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row>
    <row r="83" spans="6:34">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row>
    <row r="84" spans="6:34">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row>
    <row r="85" spans="6:34">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row>
    <row r="86" spans="6:34">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row>
    <row r="87" spans="6:34">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row>
    <row r="88" spans="6:34">
      <c r="F88" s="341"/>
      <c r="G88" s="341"/>
      <c r="H88" s="341"/>
      <c r="I88" s="341"/>
      <c r="J88" s="341"/>
      <c r="K88" s="341"/>
      <c r="L88" s="341"/>
      <c r="M88" s="341"/>
      <c r="N88" s="341"/>
      <c r="O88" s="341"/>
      <c r="P88" s="341"/>
      <c r="Q88" s="341"/>
      <c r="R88" s="341"/>
      <c r="S88" s="341"/>
      <c r="T88" s="341"/>
      <c r="U88" s="341"/>
      <c r="V88" s="341"/>
      <c r="W88" s="341"/>
      <c r="X88" s="341"/>
      <c r="Y88" s="341"/>
      <c r="Z88" s="341"/>
      <c r="AA88" s="341"/>
      <c r="AB88" s="341"/>
      <c r="AC88" s="341"/>
      <c r="AD88" s="341"/>
      <c r="AE88" s="341"/>
      <c r="AF88" s="341"/>
      <c r="AG88" s="341"/>
      <c r="AH88" s="341"/>
    </row>
    <row r="89" spans="6:34">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row>
    <row r="90" spans="6:34">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row>
    <row r="91" spans="6:34">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row>
    <row r="92" spans="6:34">
      <c r="F92" s="34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c r="AG92" s="341"/>
      <c r="AH92" s="341"/>
    </row>
    <row r="93" spans="6:34">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c r="AG93" s="341"/>
      <c r="AH93" s="341"/>
    </row>
    <row r="94" spans="6:34">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row>
    <row r="95" spans="6:34">
      <c r="F95" s="341"/>
      <c r="G95" s="341"/>
      <c r="H95" s="341"/>
      <c r="I95" s="341"/>
      <c r="J95" s="341"/>
      <c r="K95" s="341"/>
      <c r="L95" s="341"/>
      <c r="M95" s="341"/>
      <c r="N95" s="341"/>
      <c r="O95" s="341"/>
      <c r="P95" s="341"/>
      <c r="Q95" s="341"/>
      <c r="R95" s="341"/>
      <c r="S95" s="341"/>
      <c r="T95" s="341"/>
      <c r="U95" s="341"/>
      <c r="V95" s="341"/>
      <c r="W95" s="341"/>
      <c r="X95" s="341"/>
      <c r="Y95" s="341"/>
      <c r="Z95" s="341"/>
      <c r="AA95" s="341"/>
      <c r="AB95" s="341"/>
      <c r="AC95" s="341"/>
      <c r="AD95" s="341"/>
      <c r="AE95" s="341"/>
      <c r="AF95" s="341"/>
      <c r="AG95" s="341"/>
      <c r="AH95" s="341"/>
    </row>
    <row r="96" spans="6:34">
      <c r="F96" s="341"/>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341"/>
      <c r="AG96" s="341"/>
      <c r="AH96" s="341"/>
    </row>
    <row r="97" spans="6:34">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row>
    <row r="98" spans="6:34">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row>
    <row r="99" spans="6:34">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row>
    <row r="100" spans="6:34">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row>
    <row r="101" spans="6:34">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row>
    <row r="102" spans="6:34">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1"/>
    </row>
    <row r="103" spans="6:34">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row>
    <row r="104" spans="6:34">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row>
    <row r="105" spans="6:34">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row>
    <row r="106" spans="6:34">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row>
    <row r="107" spans="6:34">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row>
    <row r="108" spans="6:34">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row>
    <row r="109" spans="6:34">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row>
    <row r="110" spans="6:34">
      <c r="F110" s="341"/>
      <c r="G110" s="341"/>
      <c r="H110" s="341"/>
      <c r="I110" s="341"/>
      <c r="J110" s="341"/>
      <c r="K110" s="341"/>
      <c r="L110" s="341"/>
      <c r="M110" s="341"/>
      <c r="N110" s="341"/>
      <c r="O110" s="341"/>
      <c r="P110" s="341"/>
      <c r="Q110" s="341"/>
      <c r="R110" s="341"/>
      <c r="S110" s="341"/>
      <c r="T110" s="341"/>
      <c r="U110" s="341"/>
      <c r="V110" s="341"/>
      <c r="W110" s="341"/>
      <c r="X110" s="341"/>
      <c r="Y110" s="341"/>
      <c r="Z110" s="341"/>
      <c r="AA110" s="341"/>
      <c r="AB110" s="341"/>
      <c r="AC110" s="341"/>
      <c r="AD110" s="341"/>
      <c r="AE110" s="341"/>
      <c r="AF110" s="341"/>
      <c r="AG110" s="341"/>
      <c r="AH110" s="341"/>
    </row>
    <row r="111" spans="6:34">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row>
    <row r="112" spans="6:34">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41"/>
      <c r="AH112" s="341"/>
    </row>
    <row r="113" spans="6:34">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row>
    <row r="114" spans="6:34">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row>
    <row r="115" spans="6:34">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1"/>
      <c r="AD115" s="341"/>
      <c r="AE115" s="341"/>
      <c r="AF115" s="341"/>
      <c r="AG115" s="341"/>
      <c r="AH115" s="341"/>
    </row>
    <row r="116" spans="6:34">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1"/>
      <c r="AD116" s="341"/>
      <c r="AE116" s="341"/>
      <c r="AF116" s="341"/>
      <c r="AG116" s="341"/>
      <c r="AH116" s="341"/>
    </row>
    <row r="117" spans="6:34">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1"/>
      <c r="AD117" s="341"/>
      <c r="AE117" s="341"/>
      <c r="AF117" s="341"/>
      <c r="AG117" s="341"/>
      <c r="AH117" s="341"/>
    </row>
    <row r="118" spans="6:34">
      <c r="F118" s="341"/>
      <c r="G118" s="341"/>
      <c r="H118" s="341"/>
      <c r="I118" s="341"/>
      <c r="J118" s="341"/>
      <c r="K118" s="341"/>
      <c r="L118" s="341"/>
      <c r="M118" s="341"/>
      <c r="N118" s="341"/>
      <c r="O118" s="341"/>
      <c r="P118" s="341"/>
      <c r="Q118" s="341"/>
      <c r="R118" s="341"/>
      <c r="S118" s="341"/>
      <c r="T118" s="341"/>
      <c r="U118" s="341"/>
      <c r="V118" s="341"/>
      <c r="W118" s="341"/>
      <c r="X118" s="341"/>
      <c r="Y118" s="341"/>
      <c r="Z118" s="341"/>
      <c r="AA118" s="341"/>
      <c r="AB118" s="341"/>
      <c r="AC118" s="341"/>
      <c r="AD118" s="341"/>
      <c r="AE118" s="341"/>
      <c r="AF118" s="341"/>
      <c r="AG118" s="341"/>
      <c r="AH118" s="341"/>
    </row>
    <row r="119" spans="6:34">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1"/>
      <c r="AD119" s="341"/>
      <c r="AE119" s="341"/>
      <c r="AF119" s="341"/>
      <c r="AG119" s="341"/>
      <c r="AH119" s="341"/>
    </row>
    <row r="120" spans="6:34">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row>
    <row r="121" spans="6:34">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row>
    <row r="122" spans="6:34">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row>
    <row r="123" spans="6:34">
      <c r="F123" s="341"/>
      <c r="G123" s="341"/>
      <c r="H123" s="341"/>
      <c r="I123" s="341"/>
      <c r="J123" s="34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row>
    <row r="124" spans="6:34">
      <c r="F124" s="341"/>
      <c r="G124" s="341"/>
      <c r="H124" s="341"/>
      <c r="I124" s="341"/>
      <c r="J124" s="34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row>
    <row r="125" spans="6:34">
      <c r="F125" s="341"/>
      <c r="G125" s="341"/>
      <c r="H125" s="341"/>
      <c r="I125" s="341"/>
      <c r="J125" s="34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41"/>
      <c r="AH125" s="341"/>
    </row>
    <row r="126" spans="6:34">
      <c r="F126" s="341"/>
      <c r="G126" s="341"/>
      <c r="H126" s="341"/>
      <c r="I126" s="341"/>
      <c r="J126" s="341"/>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row>
    <row r="127" spans="6:34">
      <c r="F127" s="341"/>
      <c r="G127" s="341"/>
      <c r="H127" s="341"/>
      <c r="I127" s="341"/>
      <c r="J127" s="34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c r="AH127" s="341"/>
    </row>
    <row r="128" spans="6:34">
      <c r="F128" s="341"/>
      <c r="G128" s="341"/>
      <c r="H128" s="341"/>
      <c r="I128" s="341"/>
      <c r="J128" s="34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row>
    <row r="129" spans="6:34">
      <c r="F129" s="341"/>
      <c r="G129" s="341"/>
      <c r="H129" s="341"/>
      <c r="I129" s="341"/>
      <c r="J129" s="34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row>
    <row r="130" spans="6:34">
      <c r="F130" s="341"/>
      <c r="G130" s="341"/>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row>
    <row r="131" spans="6:34">
      <c r="F131" s="341"/>
      <c r="G131" s="341"/>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row>
    <row r="132" spans="6:34">
      <c r="F132" s="341"/>
      <c r="G132" s="341"/>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row>
    <row r="133" spans="6:34">
      <c r="F133" s="341"/>
      <c r="G133" s="341"/>
      <c r="H133" s="341"/>
      <c r="I133" s="341"/>
      <c r="J133" s="34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row>
    <row r="134" spans="6:34">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row>
    <row r="135" spans="6:34">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row>
    <row r="136" spans="6:34">
      <c r="F136" s="341"/>
      <c r="G136" s="341"/>
      <c r="H136" s="341"/>
      <c r="I136" s="341"/>
      <c r="J136" s="34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341"/>
    </row>
    <row r="137" spans="6:34">
      <c r="F137" s="341"/>
      <c r="G137" s="341"/>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row>
    <row r="138" spans="6:34">
      <c r="F138" s="341"/>
      <c r="G138" s="341"/>
      <c r="H138" s="341"/>
      <c r="I138" s="341"/>
      <c r="J138" s="34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row>
    <row r="139" spans="6:34">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1"/>
      <c r="AE139" s="341"/>
      <c r="AF139" s="341"/>
      <c r="AG139" s="341"/>
      <c r="AH139" s="341"/>
    </row>
    <row r="140" spans="6:34">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row>
    <row r="141" spans="6:34">
      <c r="F141" s="341"/>
      <c r="G141" s="341"/>
      <c r="H141" s="341"/>
      <c r="I141" s="341"/>
      <c r="J141" s="341"/>
      <c r="K141" s="341"/>
      <c r="L141" s="341"/>
      <c r="M141" s="341"/>
      <c r="N141" s="341"/>
      <c r="O141" s="341"/>
      <c r="P141" s="341"/>
      <c r="Q141" s="341"/>
      <c r="R141" s="341"/>
      <c r="S141" s="341"/>
      <c r="T141" s="341"/>
      <c r="U141" s="341"/>
      <c r="V141" s="341"/>
      <c r="W141" s="341"/>
      <c r="X141" s="341"/>
      <c r="Y141" s="341"/>
      <c r="Z141" s="341"/>
      <c r="AA141" s="341"/>
      <c r="AB141" s="341"/>
      <c r="AC141" s="341"/>
      <c r="AD141" s="341"/>
      <c r="AE141" s="341"/>
      <c r="AF141" s="341"/>
      <c r="AG141" s="341"/>
      <c r="AH141" s="341"/>
    </row>
    <row r="142" spans="6:34">
      <c r="F142" s="341"/>
      <c r="G142" s="341"/>
      <c r="H142" s="341"/>
      <c r="I142" s="341"/>
      <c r="J142" s="341"/>
      <c r="K142" s="341"/>
      <c r="L142" s="341"/>
      <c r="M142" s="341"/>
      <c r="N142" s="341"/>
      <c r="O142" s="341"/>
      <c r="P142" s="341"/>
      <c r="Q142" s="341"/>
      <c r="R142" s="341"/>
      <c r="S142" s="341"/>
      <c r="T142" s="341"/>
      <c r="U142" s="341"/>
      <c r="V142" s="341"/>
      <c r="W142" s="341"/>
      <c r="X142" s="341"/>
      <c r="Y142" s="341"/>
      <c r="Z142" s="341"/>
      <c r="AA142" s="341"/>
      <c r="AB142" s="341"/>
      <c r="AC142" s="341"/>
      <c r="AD142" s="341"/>
      <c r="AE142" s="341"/>
      <c r="AF142" s="341"/>
      <c r="AG142" s="341"/>
      <c r="AH142" s="341"/>
    </row>
    <row r="143" spans="6:34">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341"/>
      <c r="AG143" s="341"/>
      <c r="AH143" s="341"/>
    </row>
    <row r="144" spans="6:34">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341"/>
    </row>
    <row r="145" spans="6:34">
      <c r="F145" s="341"/>
      <c r="G145" s="341"/>
      <c r="H145" s="341"/>
      <c r="I145" s="341"/>
      <c r="J145" s="341"/>
      <c r="K145" s="341"/>
      <c r="L145" s="341"/>
      <c r="M145" s="341"/>
      <c r="N145" s="341"/>
      <c r="O145" s="341"/>
      <c r="P145" s="341"/>
      <c r="Q145" s="341"/>
      <c r="R145" s="341"/>
      <c r="S145" s="341"/>
      <c r="T145" s="341"/>
      <c r="U145" s="341"/>
      <c r="V145" s="341"/>
      <c r="W145" s="341"/>
      <c r="X145" s="341"/>
      <c r="Y145" s="341"/>
      <c r="Z145" s="341"/>
      <c r="AA145" s="341"/>
      <c r="AB145" s="341"/>
      <c r="AC145" s="341"/>
      <c r="AD145" s="341"/>
      <c r="AE145" s="341"/>
      <c r="AF145" s="341"/>
      <c r="AG145" s="341"/>
      <c r="AH145" s="341"/>
    </row>
    <row r="146" spans="6:34">
      <c r="F146" s="341"/>
      <c r="G146" s="341"/>
      <c r="H146" s="341"/>
      <c r="I146" s="341"/>
      <c r="J146" s="34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row>
    <row r="147" spans="6:34">
      <c r="F147" s="341"/>
      <c r="G147" s="341"/>
      <c r="H147" s="341"/>
      <c r="I147" s="341"/>
      <c r="J147" s="341"/>
      <c r="K147" s="341"/>
      <c r="L147" s="341"/>
      <c r="M147" s="341"/>
      <c r="N147" s="341"/>
      <c r="O147" s="341"/>
      <c r="P147" s="341"/>
      <c r="Q147" s="341"/>
      <c r="R147" s="341"/>
      <c r="S147" s="341"/>
      <c r="T147" s="341"/>
      <c r="U147" s="341"/>
      <c r="V147" s="341"/>
      <c r="W147" s="341"/>
      <c r="X147" s="341"/>
      <c r="Y147" s="341"/>
      <c r="Z147" s="341"/>
      <c r="AA147" s="341"/>
      <c r="AB147" s="341"/>
      <c r="AC147" s="341"/>
      <c r="AD147" s="341"/>
      <c r="AE147" s="341"/>
      <c r="AF147" s="341"/>
      <c r="AG147" s="341"/>
      <c r="AH147" s="341"/>
    </row>
    <row r="148" spans="6:34">
      <c r="F148" s="341"/>
      <c r="G148" s="341"/>
      <c r="H148" s="341"/>
      <c r="I148" s="341"/>
      <c r="J148" s="341"/>
      <c r="K148" s="341"/>
      <c r="L148" s="341"/>
      <c r="M148" s="341"/>
      <c r="N148" s="341"/>
      <c r="O148" s="341"/>
      <c r="P148" s="341"/>
      <c r="Q148" s="341"/>
      <c r="R148" s="341"/>
      <c r="S148" s="341"/>
      <c r="T148" s="341"/>
      <c r="U148" s="341"/>
      <c r="V148" s="341"/>
      <c r="W148" s="341"/>
      <c r="X148" s="341"/>
      <c r="Y148" s="341"/>
      <c r="Z148" s="341"/>
      <c r="AA148" s="341"/>
      <c r="AB148" s="341"/>
      <c r="AC148" s="341"/>
      <c r="AD148" s="341"/>
      <c r="AE148" s="341"/>
      <c r="AF148" s="341"/>
      <c r="AG148" s="341"/>
      <c r="AH148" s="341"/>
    </row>
    <row r="149" spans="6:34">
      <c r="F149" s="341"/>
      <c r="G149" s="341"/>
      <c r="H149" s="341"/>
      <c r="I149" s="341"/>
      <c r="J149" s="341"/>
      <c r="K149" s="341"/>
      <c r="L149" s="341"/>
      <c r="M149" s="341"/>
      <c r="N149" s="341"/>
      <c r="O149" s="341"/>
      <c r="P149" s="341"/>
      <c r="Q149" s="341"/>
      <c r="R149" s="341"/>
      <c r="S149" s="341"/>
      <c r="T149" s="341"/>
      <c r="U149" s="341"/>
      <c r="V149" s="341"/>
      <c r="W149" s="341"/>
      <c r="X149" s="341"/>
      <c r="Y149" s="341"/>
      <c r="Z149" s="341"/>
      <c r="AA149" s="341"/>
      <c r="AB149" s="341"/>
      <c r="AC149" s="341"/>
      <c r="AD149" s="341"/>
      <c r="AE149" s="341"/>
      <c r="AF149" s="341"/>
      <c r="AG149" s="341"/>
      <c r="AH149" s="341"/>
    </row>
    <row r="150" spans="6:34">
      <c r="F150" s="341"/>
      <c r="G150" s="341"/>
      <c r="H150" s="341"/>
      <c r="I150" s="341"/>
      <c r="J150" s="341"/>
      <c r="K150" s="341"/>
      <c r="L150" s="341"/>
      <c r="M150" s="341"/>
      <c r="N150" s="341"/>
      <c r="O150" s="341"/>
      <c r="P150" s="341"/>
      <c r="Q150" s="341"/>
      <c r="R150" s="341"/>
      <c r="S150" s="341"/>
      <c r="T150" s="341"/>
      <c r="U150" s="341"/>
      <c r="V150" s="341"/>
      <c r="W150" s="341"/>
      <c r="X150" s="341"/>
      <c r="Y150" s="341"/>
      <c r="Z150" s="341"/>
      <c r="AA150" s="341"/>
      <c r="AB150" s="341"/>
      <c r="AC150" s="341"/>
      <c r="AD150" s="341"/>
      <c r="AE150" s="341"/>
      <c r="AF150" s="341"/>
      <c r="AG150" s="341"/>
      <c r="AH150" s="341"/>
    </row>
    <row r="151" spans="6:34">
      <c r="F151" s="341"/>
      <c r="G151" s="341"/>
      <c r="H151" s="341"/>
      <c r="I151" s="341"/>
      <c r="J151" s="341"/>
      <c r="K151" s="341"/>
      <c r="L151" s="341"/>
      <c r="M151" s="341"/>
      <c r="N151" s="341"/>
      <c r="O151" s="341"/>
      <c r="P151" s="341"/>
      <c r="Q151" s="341"/>
      <c r="R151" s="341"/>
      <c r="S151" s="341"/>
      <c r="T151" s="341"/>
      <c r="U151" s="341"/>
      <c r="V151" s="341"/>
      <c r="W151" s="341"/>
      <c r="X151" s="341"/>
      <c r="Y151" s="341"/>
      <c r="Z151" s="341"/>
      <c r="AA151" s="341"/>
      <c r="AB151" s="341"/>
      <c r="AC151" s="341"/>
      <c r="AD151" s="341"/>
      <c r="AE151" s="341"/>
      <c r="AF151" s="341"/>
      <c r="AG151" s="341"/>
      <c r="AH151" s="341"/>
    </row>
  </sheetData>
  <phoneticPr fontId="0" type="noConversion"/>
  <conditionalFormatting sqref="C43">
    <cfRule type="cellIs" dxfId="53" priority="1" stopIfTrue="1" operator="greaterThan">
      <formula>$C$45*0.1</formula>
    </cfRule>
  </conditionalFormatting>
  <conditionalFormatting sqref="D43">
    <cfRule type="cellIs" dxfId="52" priority="2" stopIfTrue="1" operator="greaterThan">
      <formula>$D$45*0.1</formula>
    </cfRule>
  </conditionalFormatting>
  <conditionalFormatting sqref="E43">
    <cfRule type="cellIs" dxfId="51" priority="3" stopIfTrue="1" operator="greaterThan">
      <formula>$E$45*0.1</formula>
    </cfRule>
  </conditionalFormatting>
  <conditionalFormatting sqref="C59">
    <cfRule type="cellIs" dxfId="50" priority="4" stopIfTrue="1" operator="greaterThan">
      <formula>$C$61*0.1</formula>
    </cfRule>
  </conditionalFormatting>
  <conditionalFormatting sqref="D59">
    <cfRule type="cellIs" dxfId="49" priority="5" stopIfTrue="1" operator="greaterThan">
      <formula>$D$61*0.1</formula>
    </cfRule>
  </conditionalFormatting>
  <conditionalFormatting sqref="E59">
    <cfRule type="cellIs" dxfId="48" priority="6" stopIfTrue="1" operator="greaterThan">
      <formula>$E$61*0.1</formula>
    </cfRule>
  </conditionalFormatting>
  <conditionalFormatting sqref="C20">
    <cfRule type="cellIs" dxfId="47" priority="7" stopIfTrue="1" operator="greaterThan">
      <formula>$C$22*0.1</formula>
    </cfRule>
  </conditionalFormatting>
  <conditionalFormatting sqref="D20">
    <cfRule type="cellIs" dxfId="46" priority="8" stopIfTrue="1" operator="greaterThan">
      <formula>$D$22*0.1</formula>
    </cfRule>
  </conditionalFormatting>
  <conditionalFormatting sqref="E20">
    <cfRule type="cellIs" dxfId="45" priority="9" stopIfTrue="1" operator="greaterThan">
      <formula>$E$22*0.1</formula>
    </cfRule>
  </conditionalFormatting>
  <conditionalFormatting sqref="C11">
    <cfRule type="cellIs" dxfId="44" priority="10" stopIfTrue="1" operator="greaterThan">
      <formula>$C$13*0.1</formula>
    </cfRule>
  </conditionalFormatting>
  <conditionalFormatting sqref="D11">
    <cfRule type="cellIs" dxfId="43" priority="11" stopIfTrue="1" operator="greaterThan">
      <formula>$D$13*0.1</formula>
    </cfRule>
  </conditionalFormatting>
  <conditionalFormatting sqref="E11">
    <cfRule type="cellIs" dxfId="42" priority="12" stopIfTrue="1" operator="greaterThan">
      <formula>$E$13*0.1</formula>
    </cfRule>
  </conditionalFormatting>
  <pageMargins left="0.5" right="0.5" top="1" bottom="0.5" header="0.5" footer="0.5"/>
  <pageSetup scale="68" orientation="portrait" blackAndWhite="1" horizontalDpi="120" verticalDpi="144" r:id="rId1"/>
  <headerFooter alignWithMargins="0">
    <oddHeader>&amp;RState of Kansas
City</oddHeader>
    <oddFooter>&amp;Lrevised 8/06/07</oddFooter>
  </headerFooter>
</worksheet>
</file>

<file path=xl/worksheets/sheet15.xml><?xml version="1.0" encoding="utf-8"?>
<worksheet xmlns="http://schemas.openxmlformats.org/spreadsheetml/2006/main" xmlns:r="http://schemas.openxmlformats.org/officeDocument/2006/relationships">
  <sheetPr>
    <tabColor theme="7" tint="0.39997558519241921"/>
    <pageSetUpPr fitToPage="1"/>
  </sheetPr>
  <dimension ref="A1:N171"/>
  <sheetViews>
    <sheetView topLeftCell="A31" zoomScaleNormal="100" workbookViewId="0">
      <selection activeCell="G14" sqref="G14"/>
    </sheetView>
  </sheetViews>
  <sheetFormatPr defaultRowHeight="15.75"/>
  <cols>
    <col min="1" max="1" width="28.77734375" style="7" customWidth="1"/>
    <col min="2" max="2" width="9.5546875" style="7" customWidth="1"/>
    <col min="3" max="5" width="15.77734375" style="7" customWidth="1"/>
    <col min="6" max="16384" width="8.88671875" style="7"/>
  </cols>
  <sheetData>
    <row r="1" spans="1:14">
      <c r="A1" s="72" t="str">
        <f>(inputPrYr!D2)</f>
        <v>CITY OF BLUE RAPIDS</v>
      </c>
      <c r="B1" s="72"/>
      <c r="C1" s="21"/>
      <c r="D1" s="21"/>
      <c r="E1" s="136">
        <f>inputPrYr!C5</f>
        <v>2013</v>
      </c>
    </row>
    <row r="2" spans="1:14">
      <c r="A2" s="21"/>
      <c r="B2" s="21"/>
      <c r="C2" s="21"/>
      <c r="D2" s="21"/>
      <c r="E2" s="24"/>
    </row>
    <row r="3" spans="1:14">
      <c r="A3" s="90" t="s">
        <v>174</v>
      </c>
      <c r="B3" s="90"/>
      <c r="C3" s="96"/>
      <c r="D3" s="96"/>
      <c r="E3" s="96"/>
      <c r="F3" s="341"/>
      <c r="G3" s="341"/>
      <c r="H3" s="341"/>
      <c r="I3" s="341"/>
      <c r="J3" s="341"/>
      <c r="K3" s="341"/>
      <c r="L3" s="341"/>
      <c r="M3" s="341"/>
      <c r="N3" s="341"/>
    </row>
    <row r="4" spans="1:14">
      <c r="A4" s="25" t="s">
        <v>96</v>
      </c>
      <c r="B4" s="25"/>
      <c r="C4" s="93" t="s">
        <v>274</v>
      </c>
      <c r="D4" s="33" t="s">
        <v>256</v>
      </c>
      <c r="E4" s="33" t="s">
        <v>257</v>
      </c>
      <c r="F4" s="341"/>
      <c r="G4" s="341"/>
      <c r="H4" s="341"/>
      <c r="I4" s="341"/>
      <c r="J4" s="341"/>
      <c r="K4" s="341"/>
      <c r="L4" s="341"/>
      <c r="M4" s="341"/>
      <c r="N4" s="341"/>
    </row>
    <row r="5" spans="1:14">
      <c r="A5" s="325" t="str">
        <f>(inputPrYr!B26)</f>
        <v>Capital Improvement</v>
      </c>
      <c r="B5" s="135"/>
      <c r="C5" s="142">
        <f>E1-2</f>
        <v>2011</v>
      </c>
      <c r="D5" s="142">
        <f>E1-1</f>
        <v>2012</v>
      </c>
      <c r="E5" s="142">
        <f>E1</f>
        <v>2013</v>
      </c>
      <c r="F5" s="341"/>
      <c r="G5" s="341"/>
      <c r="H5" s="341"/>
      <c r="I5" s="341"/>
      <c r="J5" s="341"/>
      <c r="K5" s="341"/>
      <c r="L5" s="341"/>
      <c r="M5" s="341"/>
      <c r="N5" s="341"/>
    </row>
    <row r="6" spans="1:14">
      <c r="A6" s="275" t="s">
        <v>230</v>
      </c>
      <c r="B6" s="281"/>
      <c r="C6" s="277">
        <v>115349</v>
      </c>
      <c r="D6" s="85">
        <f>C20</f>
        <v>116523</v>
      </c>
      <c r="E6" s="85">
        <f>D20</f>
        <v>101773</v>
      </c>
      <c r="F6" s="410"/>
      <c r="G6" s="341"/>
      <c r="H6" s="341"/>
      <c r="I6" s="341"/>
      <c r="J6" s="341"/>
      <c r="K6" s="341"/>
      <c r="L6" s="341"/>
      <c r="M6" s="341"/>
      <c r="N6" s="341"/>
    </row>
    <row r="7" spans="1:14">
      <c r="A7" s="280" t="s">
        <v>232</v>
      </c>
      <c r="B7" s="281"/>
      <c r="C7" s="269"/>
      <c r="D7" s="40"/>
      <c r="E7" s="40"/>
      <c r="F7" s="341"/>
      <c r="G7" s="341"/>
      <c r="H7" s="341"/>
      <c r="I7" s="341"/>
      <c r="J7" s="341"/>
      <c r="K7" s="341"/>
      <c r="L7" s="341"/>
      <c r="M7" s="341"/>
      <c r="N7" s="341"/>
    </row>
    <row r="8" spans="1:14">
      <c r="A8" s="266" t="s">
        <v>102</v>
      </c>
      <c r="B8" s="282"/>
      <c r="C8" s="277">
        <v>1174</v>
      </c>
      <c r="D8" s="9">
        <v>1250</v>
      </c>
      <c r="E8" s="9">
        <v>1250</v>
      </c>
      <c r="F8" s="341"/>
      <c r="G8" s="341"/>
      <c r="H8" s="341"/>
      <c r="I8" s="341"/>
      <c r="J8" s="341"/>
      <c r="K8" s="341"/>
      <c r="L8" s="341"/>
      <c r="M8" s="341"/>
      <c r="N8" s="341"/>
    </row>
    <row r="9" spans="1:14">
      <c r="A9" s="266" t="s">
        <v>28</v>
      </c>
      <c r="B9" s="282"/>
      <c r="C9" s="277">
        <v>0</v>
      </c>
      <c r="D9" s="9">
        <v>0</v>
      </c>
      <c r="E9" s="9">
        <v>0</v>
      </c>
      <c r="F9" s="341"/>
      <c r="G9" s="341"/>
      <c r="H9" s="341"/>
      <c r="I9" s="341"/>
      <c r="J9" s="341"/>
      <c r="K9" s="341"/>
      <c r="L9" s="341"/>
      <c r="M9" s="341"/>
      <c r="N9" s="341"/>
    </row>
    <row r="10" spans="1:14">
      <c r="A10" s="285" t="s">
        <v>370</v>
      </c>
      <c r="B10" s="281"/>
      <c r="C10" s="277">
        <v>0</v>
      </c>
      <c r="D10" s="277">
        <v>0</v>
      </c>
      <c r="E10" s="277">
        <v>0</v>
      </c>
      <c r="F10" s="341"/>
      <c r="G10" s="341"/>
      <c r="H10" s="341"/>
      <c r="I10" s="341"/>
      <c r="J10" s="341"/>
      <c r="K10" s="341"/>
      <c r="L10" s="341"/>
      <c r="M10" s="341"/>
      <c r="N10" s="341"/>
    </row>
    <row r="11" spans="1:14">
      <c r="A11" s="275" t="s">
        <v>372</v>
      </c>
      <c r="B11" s="281"/>
      <c r="C11" s="310" t="str">
        <f>IF(C12*0.1&lt;C10,"Exceed 10% Rule","")</f>
        <v/>
      </c>
      <c r="D11" s="310" t="str">
        <f>IF(D12*0.1&lt;D10,"Exceed 10% Rule","")</f>
        <v/>
      </c>
      <c r="E11" s="310" t="str">
        <f>IF(E12*0.1&lt;E10,"Exceed 10% Rule","")</f>
        <v/>
      </c>
      <c r="F11" s="341"/>
      <c r="G11" s="341"/>
      <c r="H11" s="341"/>
      <c r="I11" s="341"/>
      <c r="J11" s="341"/>
      <c r="K11" s="341"/>
      <c r="L11" s="341"/>
      <c r="M11" s="341"/>
      <c r="N11" s="341"/>
    </row>
    <row r="12" spans="1:14">
      <c r="A12" s="144" t="s">
        <v>103</v>
      </c>
      <c r="B12" s="281"/>
      <c r="C12" s="278">
        <f>SUM(C8:C10)</f>
        <v>1174</v>
      </c>
      <c r="D12" s="245">
        <f>SUM(D8:D10)</f>
        <v>1250</v>
      </c>
      <c r="E12" s="245">
        <f>SUM(E8:E10)</f>
        <v>1250</v>
      </c>
      <c r="F12" s="341"/>
      <c r="G12" s="341"/>
      <c r="H12" s="341"/>
      <c r="I12" s="341"/>
      <c r="J12" s="341"/>
      <c r="K12" s="341"/>
      <c r="L12" s="341"/>
      <c r="M12" s="341"/>
      <c r="N12" s="341"/>
    </row>
    <row r="13" spans="1:14">
      <c r="A13" s="144" t="s">
        <v>104</v>
      </c>
      <c r="B13" s="281"/>
      <c r="C13" s="278">
        <f>C6+C12</f>
        <v>116523</v>
      </c>
      <c r="D13" s="245">
        <f>D6+D12</f>
        <v>117773</v>
      </c>
      <c r="E13" s="245">
        <f>E6+E12</f>
        <v>103023</v>
      </c>
      <c r="F13" s="341"/>
      <c r="G13" s="341"/>
      <c r="H13" s="341"/>
      <c r="I13" s="341"/>
      <c r="J13" s="341"/>
      <c r="K13" s="341"/>
      <c r="L13" s="341"/>
      <c r="M13" s="341"/>
      <c r="N13" s="341"/>
    </row>
    <row r="14" spans="1:14">
      <c r="A14" s="37" t="s">
        <v>106</v>
      </c>
      <c r="B14" s="281"/>
      <c r="C14" s="117"/>
      <c r="D14" s="85"/>
      <c r="E14" s="85"/>
      <c r="F14" s="341"/>
      <c r="G14" s="341"/>
      <c r="H14" s="341"/>
      <c r="I14" s="341"/>
      <c r="J14" s="341"/>
      <c r="K14" s="341"/>
      <c r="L14" s="341"/>
      <c r="M14" s="341"/>
      <c r="N14" s="341"/>
    </row>
    <row r="15" spans="1:14">
      <c r="A15" s="266" t="s">
        <v>26</v>
      </c>
      <c r="B15" s="282"/>
      <c r="C15" s="277">
        <v>0</v>
      </c>
      <c r="D15" s="9">
        <v>2000</v>
      </c>
      <c r="E15" s="9">
        <v>2000</v>
      </c>
      <c r="F15" s="410"/>
      <c r="G15" s="341"/>
      <c r="H15" s="341"/>
      <c r="I15" s="341"/>
      <c r="J15" s="341"/>
      <c r="K15" s="341"/>
      <c r="L15" s="341"/>
      <c r="M15" s="341"/>
      <c r="N15" s="341"/>
    </row>
    <row r="16" spans="1:14">
      <c r="A16" s="266" t="s">
        <v>44</v>
      </c>
      <c r="B16" s="282"/>
      <c r="C16" s="277">
        <v>0</v>
      </c>
      <c r="D16" s="9">
        <v>14000</v>
      </c>
      <c r="E16" s="9">
        <v>101023</v>
      </c>
      <c r="F16" s="410"/>
      <c r="G16" s="341"/>
      <c r="H16" s="341"/>
      <c r="I16" s="341"/>
      <c r="J16" s="341"/>
      <c r="K16" s="341"/>
      <c r="L16" s="341"/>
      <c r="M16" s="341"/>
      <c r="N16" s="341"/>
    </row>
    <row r="17" spans="1:14">
      <c r="A17" s="283" t="s">
        <v>370</v>
      </c>
      <c r="B17" s="281"/>
      <c r="C17" s="277">
        <v>0</v>
      </c>
      <c r="D17" s="277">
        <v>0</v>
      </c>
      <c r="E17" s="277">
        <v>0</v>
      </c>
      <c r="F17" s="341"/>
      <c r="G17" s="341"/>
      <c r="H17" s="341"/>
      <c r="I17" s="341"/>
      <c r="J17" s="341"/>
      <c r="K17" s="341"/>
      <c r="L17" s="341"/>
      <c r="M17" s="341"/>
      <c r="N17" s="341"/>
    </row>
    <row r="18" spans="1:14">
      <c r="A18" s="283" t="s">
        <v>371</v>
      </c>
      <c r="B18" s="281"/>
      <c r="C18" s="310" t="str">
        <f>IF(C19*0.1&lt;C17,"Exceed 10% Rule","")</f>
        <v/>
      </c>
      <c r="D18" s="310" t="str">
        <f>IF(D19*0.1&lt;D17,"Exceed 10% Rule","")</f>
        <v/>
      </c>
      <c r="E18" s="310" t="str">
        <f>IF(E19*0.1&lt;E17,"Exceed 10% Rule","")</f>
        <v/>
      </c>
      <c r="F18" s="341"/>
      <c r="G18" s="341"/>
      <c r="H18" s="341"/>
      <c r="I18" s="341"/>
      <c r="J18" s="341"/>
      <c r="K18" s="341"/>
      <c r="L18" s="341"/>
      <c r="M18" s="341"/>
      <c r="N18" s="341"/>
    </row>
    <row r="19" spans="1:14">
      <c r="A19" s="144" t="s">
        <v>110</v>
      </c>
      <c r="B19" s="281"/>
      <c r="C19" s="278">
        <f>SUM(C15:C17)</f>
        <v>0</v>
      </c>
      <c r="D19" s="245">
        <f>SUM(D15:D17)</f>
        <v>16000</v>
      </c>
      <c r="E19" s="245">
        <f>SUM(E15:E17)</f>
        <v>103023</v>
      </c>
      <c r="F19" s="341"/>
      <c r="G19" s="341"/>
      <c r="H19" s="341"/>
      <c r="I19" s="341"/>
      <c r="J19" s="341"/>
      <c r="K19" s="341"/>
      <c r="L19" s="341"/>
      <c r="M19" s="341"/>
      <c r="N19" s="341"/>
    </row>
    <row r="20" spans="1:14">
      <c r="A20" s="37" t="s">
        <v>231</v>
      </c>
      <c r="B20" s="281"/>
      <c r="C20" s="279">
        <f>C13-C19</f>
        <v>116523</v>
      </c>
      <c r="D20" s="244">
        <f>D13-D19</f>
        <v>101773</v>
      </c>
      <c r="E20" s="244">
        <f>E13-E19</f>
        <v>0</v>
      </c>
      <c r="F20" s="341"/>
      <c r="G20" s="341"/>
      <c r="H20" s="341"/>
      <c r="I20" s="341"/>
      <c r="J20" s="341"/>
      <c r="K20" s="341"/>
      <c r="L20" s="341"/>
      <c r="M20" s="341"/>
      <c r="N20" s="341"/>
    </row>
    <row r="21" spans="1:14">
      <c r="A21" s="23" t="str">
        <f>CONCATENATE("",E1-2," Budget Authority Limited Amount:")</f>
        <v>2011 Budget Authority Limited Amount:</v>
      </c>
      <c r="B21" s="297">
        <f>inputOth!B64</f>
        <v>137239</v>
      </c>
      <c r="C21" s="65"/>
      <c r="D21" s="65"/>
      <c r="E21" s="65"/>
      <c r="F21" s="341"/>
      <c r="G21" s="341"/>
      <c r="H21" s="341"/>
      <c r="I21" s="341"/>
      <c r="J21" s="341"/>
      <c r="K21" s="341"/>
      <c r="L21" s="341"/>
      <c r="M21" s="341"/>
      <c r="N21" s="341"/>
    </row>
    <row r="22" spans="1:14">
      <c r="A22" s="23" t="str">
        <f>CONCATENATE("Violation of Budget Law for ",E1-2,":")</f>
        <v>Violation of Budget Law for 2011:</v>
      </c>
      <c r="B22" s="298" t="str">
        <f>IF(C19&gt;B21,"Yes","")</f>
        <v/>
      </c>
      <c r="C22" s="334"/>
      <c r="D22" s="65"/>
      <c r="E22" s="65"/>
      <c r="F22" s="341"/>
      <c r="G22" s="341"/>
      <c r="H22" s="341"/>
      <c r="I22" s="341"/>
      <c r="J22" s="341"/>
      <c r="K22" s="341"/>
      <c r="L22" s="341"/>
      <c r="M22" s="341"/>
      <c r="N22" s="341"/>
    </row>
    <row r="23" spans="1:14">
      <c r="A23" s="23" t="str">
        <f>CONCATENATE("Possible Cash Violation for ",E1-2,":")</f>
        <v>Possible Cash Violation for 2011:</v>
      </c>
      <c r="B23" s="298" t="str">
        <f>IF(C20&lt;0,"Yes","")</f>
        <v/>
      </c>
      <c r="C23" s="334"/>
      <c r="D23" s="65"/>
      <c r="E23" s="65"/>
      <c r="F23" s="341"/>
      <c r="G23" s="341"/>
      <c r="H23" s="341"/>
      <c r="I23" s="341"/>
      <c r="J23" s="341"/>
      <c r="K23" s="341"/>
      <c r="L23" s="341"/>
      <c r="M23" s="341"/>
      <c r="N23" s="341"/>
    </row>
    <row r="24" spans="1:14">
      <c r="A24" s="21"/>
      <c r="B24" s="21"/>
      <c r="C24" s="147"/>
      <c r="D24" s="65"/>
      <c r="E24" s="65"/>
      <c r="F24" s="341"/>
      <c r="G24" s="341"/>
      <c r="H24" s="341"/>
      <c r="I24" s="341"/>
      <c r="J24" s="341"/>
      <c r="K24" s="341"/>
      <c r="L24" s="341"/>
      <c r="M24" s="341"/>
      <c r="N24" s="341"/>
    </row>
    <row r="25" spans="1:14">
      <c r="A25" s="25" t="s">
        <v>96</v>
      </c>
      <c r="B25" s="25"/>
      <c r="C25" s="100"/>
      <c r="D25" s="100"/>
      <c r="E25" s="100"/>
      <c r="F25" s="341"/>
      <c r="G25" s="341"/>
      <c r="H25" s="341"/>
      <c r="I25" s="341"/>
      <c r="J25" s="341"/>
      <c r="K25" s="341"/>
      <c r="L25" s="341"/>
      <c r="M25" s="341"/>
      <c r="N25" s="341"/>
    </row>
    <row r="26" spans="1:14">
      <c r="A26" s="21"/>
      <c r="B26" s="21"/>
      <c r="C26" s="93" t="s">
        <v>120</v>
      </c>
      <c r="D26" s="33" t="s">
        <v>256</v>
      </c>
      <c r="E26" s="33" t="s">
        <v>257</v>
      </c>
      <c r="F26" s="341"/>
      <c r="G26" s="341"/>
      <c r="H26" s="341"/>
      <c r="I26" s="341"/>
      <c r="J26" s="341"/>
      <c r="K26" s="341"/>
      <c r="L26" s="341"/>
      <c r="M26" s="341"/>
      <c r="N26" s="341"/>
    </row>
    <row r="27" spans="1:14">
      <c r="A27" s="325" t="str">
        <f>(inputPrYr!B27)</f>
        <v>Utility System Reserve</v>
      </c>
      <c r="B27" s="135"/>
      <c r="C27" s="142">
        <f>C5</f>
        <v>2011</v>
      </c>
      <c r="D27" s="142">
        <f>D5</f>
        <v>2012</v>
      </c>
      <c r="E27" s="142">
        <f>E5</f>
        <v>2013</v>
      </c>
      <c r="F27" s="341"/>
      <c r="G27" s="341"/>
      <c r="H27" s="341"/>
      <c r="I27" s="341"/>
      <c r="J27" s="341"/>
      <c r="K27" s="341"/>
      <c r="L27" s="341"/>
      <c r="M27" s="341"/>
      <c r="N27" s="341"/>
    </row>
    <row r="28" spans="1:14">
      <c r="A28" s="275" t="s">
        <v>230</v>
      </c>
      <c r="B28" s="281"/>
      <c r="C28" s="277">
        <v>156066</v>
      </c>
      <c r="D28" s="85">
        <f>C45</f>
        <v>168737</v>
      </c>
      <c r="E28" s="85">
        <f>D45</f>
        <v>106587</v>
      </c>
      <c r="F28" s="410"/>
      <c r="G28" s="341"/>
      <c r="H28" s="341"/>
      <c r="I28" s="341"/>
      <c r="J28" s="341"/>
      <c r="K28" s="341"/>
      <c r="L28" s="341"/>
      <c r="M28" s="341"/>
      <c r="N28" s="341"/>
    </row>
    <row r="29" spans="1:14">
      <c r="A29" s="280" t="s">
        <v>232</v>
      </c>
      <c r="B29" s="281"/>
      <c r="C29" s="269"/>
      <c r="D29" s="40"/>
      <c r="E29" s="40"/>
      <c r="F29" s="341"/>
      <c r="G29" s="341"/>
      <c r="H29" s="341"/>
      <c r="I29" s="341"/>
      <c r="J29" s="341"/>
      <c r="K29" s="341"/>
      <c r="L29" s="341"/>
      <c r="M29" s="341"/>
      <c r="N29" s="341"/>
    </row>
    <row r="30" spans="1:14">
      <c r="A30" s="266" t="s">
        <v>30</v>
      </c>
      <c r="B30" s="282"/>
      <c r="C30" s="277">
        <v>5133</v>
      </c>
      <c r="D30" s="9">
        <v>5300</v>
      </c>
      <c r="E30" s="9">
        <v>5300</v>
      </c>
      <c r="F30" s="341"/>
      <c r="G30" s="341"/>
      <c r="H30" s="341"/>
      <c r="I30" s="341"/>
      <c r="J30" s="341"/>
      <c r="K30" s="341"/>
      <c r="L30" s="341"/>
      <c r="M30" s="341"/>
      <c r="N30" s="341"/>
    </row>
    <row r="31" spans="1:14">
      <c r="A31" s="266" t="s">
        <v>102</v>
      </c>
      <c r="B31" s="282"/>
      <c r="C31" s="277">
        <v>2513</v>
      </c>
      <c r="D31" s="9">
        <v>2550</v>
      </c>
      <c r="E31" s="9">
        <v>2700</v>
      </c>
      <c r="F31" s="341"/>
      <c r="G31" s="341"/>
      <c r="H31" s="341"/>
      <c r="I31" s="341"/>
      <c r="J31" s="341"/>
      <c r="K31" s="341"/>
      <c r="L31" s="341"/>
      <c r="M31" s="341"/>
      <c r="N31" s="341"/>
    </row>
    <row r="32" spans="1:14">
      <c r="A32" s="266" t="s">
        <v>445</v>
      </c>
      <c r="B32" s="282"/>
      <c r="C32" s="277">
        <v>5000</v>
      </c>
      <c r="D32" s="9">
        <v>5000</v>
      </c>
      <c r="E32" s="9">
        <v>5000</v>
      </c>
      <c r="F32" s="341"/>
      <c r="G32" s="341"/>
      <c r="H32" s="341"/>
      <c r="I32" s="341"/>
      <c r="J32" s="341"/>
      <c r="K32" s="341"/>
      <c r="L32" s="341"/>
      <c r="M32" s="341"/>
      <c r="N32" s="341"/>
    </row>
    <row r="33" spans="1:14">
      <c r="A33" s="266" t="s">
        <v>497</v>
      </c>
      <c r="B33" s="282"/>
      <c r="C33" s="277">
        <v>25</v>
      </c>
      <c r="D33" s="9">
        <v>0</v>
      </c>
      <c r="E33" s="9">
        <v>0</v>
      </c>
      <c r="F33" s="341"/>
      <c r="G33" s="341"/>
      <c r="H33" s="341"/>
      <c r="I33" s="341"/>
      <c r="J33" s="341"/>
      <c r="K33" s="341"/>
      <c r="L33" s="341"/>
      <c r="M33" s="341"/>
      <c r="N33" s="341"/>
    </row>
    <row r="34" spans="1:14">
      <c r="A34" s="285" t="s">
        <v>370</v>
      </c>
      <c r="B34" s="281"/>
      <c r="C34" s="277">
        <v>0</v>
      </c>
      <c r="D34" s="277">
        <v>0</v>
      </c>
      <c r="E34" s="277">
        <v>0</v>
      </c>
      <c r="F34" s="341"/>
      <c r="G34" s="341"/>
      <c r="H34" s="341"/>
      <c r="I34" s="341"/>
      <c r="J34" s="341"/>
      <c r="K34" s="341"/>
      <c r="L34" s="341"/>
      <c r="M34" s="341"/>
      <c r="N34" s="341"/>
    </row>
    <row r="35" spans="1:14">
      <c r="A35" s="275" t="s">
        <v>372</v>
      </c>
      <c r="B35" s="281"/>
      <c r="C35" s="310" t="str">
        <f>IF(C36*0.1&lt;C34,"Exceed 10% Rule","")</f>
        <v/>
      </c>
      <c r="D35" s="310" t="str">
        <f>IF(D36*0.1&lt;D34,"Exceed 10% Rule","")</f>
        <v/>
      </c>
      <c r="E35" s="310" t="str">
        <f>IF(E36*0.1&lt;E34,"Exceed 10% Rule","")</f>
        <v/>
      </c>
      <c r="F35" s="341"/>
      <c r="G35" s="341"/>
      <c r="H35" s="341"/>
      <c r="I35" s="341"/>
      <c r="J35" s="341"/>
      <c r="K35" s="341"/>
      <c r="L35" s="341"/>
      <c r="M35" s="341"/>
      <c r="N35" s="341"/>
    </row>
    <row r="36" spans="1:14">
      <c r="A36" s="144" t="s">
        <v>103</v>
      </c>
      <c r="B36" s="281"/>
      <c r="C36" s="278">
        <f>SUM(C30:C34)</f>
        <v>12671</v>
      </c>
      <c r="D36" s="245">
        <f>SUM(D30:D34)</f>
        <v>12850</v>
      </c>
      <c r="E36" s="245">
        <f>SUM(E30:E34)</f>
        <v>13000</v>
      </c>
      <c r="F36" s="341"/>
      <c r="G36" s="341"/>
      <c r="H36" s="341"/>
      <c r="I36" s="341"/>
      <c r="J36" s="341"/>
      <c r="K36" s="341"/>
      <c r="L36" s="341"/>
      <c r="M36" s="341"/>
      <c r="N36" s="341"/>
    </row>
    <row r="37" spans="1:14">
      <c r="A37" s="144" t="s">
        <v>104</v>
      </c>
      <c r="B37" s="281"/>
      <c r="C37" s="278">
        <f>C28+C36</f>
        <v>168737</v>
      </c>
      <c r="D37" s="245">
        <f>D28+D36</f>
        <v>181587</v>
      </c>
      <c r="E37" s="245">
        <f>E28+E36</f>
        <v>119587</v>
      </c>
      <c r="F37" s="341"/>
      <c r="G37" s="341"/>
      <c r="H37" s="341"/>
      <c r="I37" s="341"/>
      <c r="J37" s="341"/>
      <c r="K37" s="341"/>
      <c r="L37" s="341"/>
      <c r="M37" s="341"/>
      <c r="N37" s="341"/>
    </row>
    <row r="38" spans="1:14">
      <c r="A38" s="37" t="s">
        <v>106</v>
      </c>
      <c r="B38" s="281"/>
      <c r="C38" s="117"/>
      <c r="D38" s="85"/>
      <c r="E38" s="85"/>
      <c r="F38" s="341"/>
      <c r="G38" s="341"/>
      <c r="H38" s="341"/>
      <c r="I38" s="341"/>
      <c r="J38" s="341"/>
      <c r="K38" s="341"/>
      <c r="L38" s="341"/>
      <c r="M38" s="341"/>
      <c r="N38" s="341"/>
    </row>
    <row r="39" spans="1:14">
      <c r="A39" s="266" t="s">
        <v>26</v>
      </c>
      <c r="B39" s="282"/>
      <c r="C39" s="277">
        <v>0</v>
      </c>
      <c r="D39" s="9">
        <v>0</v>
      </c>
      <c r="E39" s="9">
        <v>0</v>
      </c>
      <c r="F39" s="341"/>
      <c r="G39" s="341"/>
      <c r="H39" s="341"/>
      <c r="I39" s="341"/>
      <c r="J39" s="341"/>
      <c r="K39" s="341"/>
      <c r="L39" s="341"/>
      <c r="M39" s="341"/>
      <c r="N39" s="341"/>
    </row>
    <row r="40" spans="1:14">
      <c r="A40" s="266" t="s">
        <v>29</v>
      </c>
      <c r="B40" s="282"/>
      <c r="C40" s="277">
        <v>0</v>
      </c>
      <c r="D40" s="9">
        <v>0</v>
      </c>
      <c r="E40" s="9">
        <v>119587</v>
      </c>
      <c r="F40" s="341"/>
      <c r="G40" s="341"/>
      <c r="H40" s="341"/>
      <c r="I40" s="341"/>
      <c r="J40" s="341"/>
      <c r="K40" s="341"/>
      <c r="L40" s="341"/>
      <c r="M40" s="341"/>
      <c r="N40" s="341"/>
    </row>
    <row r="41" spans="1:14">
      <c r="A41" s="266" t="s">
        <v>509</v>
      </c>
      <c r="B41" s="282"/>
      <c r="C41" s="277">
        <v>0</v>
      </c>
      <c r="D41" s="277">
        <v>75000</v>
      </c>
      <c r="E41" s="277">
        <v>0</v>
      </c>
      <c r="F41" s="341"/>
      <c r="G41" s="341"/>
      <c r="H41" s="341"/>
      <c r="I41" s="341"/>
      <c r="J41" s="341"/>
      <c r="K41" s="341"/>
      <c r="L41" s="341"/>
      <c r="M41" s="341"/>
      <c r="N41" s="341"/>
    </row>
    <row r="42" spans="1:14">
      <c r="A42" s="283" t="s">
        <v>370</v>
      </c>
      <c r="B42" s="281"/>
      <c r="C42" s="277">
        <v>0</v>
      </c>
      <c r="D42" s="277">
        <v>0</v>
      </c>
      <c r="E42" s="277">
        <v>0</v>
      </c>
      <c r="F42" s="355"/>
      <c r="G42" s="355"/>
      <c r="H42" s="355"/>
      <c r="I42" s="355"/>
      <c r="J42" s="355"/>
      <c r="K42" s="355"/>
      <c r="L42" s="355"/>
      <c r="M42" s="341"/>
      <c r="N42" s="341"/>
    </row>
    <row r="43" spans="1:14">
      <c r="A43" s="283" t="s">
        <v>371</v>
      </c>
      <c r="B43" s="281"/>
      <c r="C43" s="310" t="str">
        <f>IF(C44*0.1&lt;C42,"Exceed 10% Rule","")</f>
        <v/>
      </c>
      <c r="D43" s="310" t="str">
        <f>IF(D44*0.1&lt;D42,"Exceed 10% Rule","")</f>
        <v/>
      </c>
      <c r="E43" s="310" t="str">
        <f>IF(E44*0.1&lt;E42,"Exceed 10% Rule","")</f>
        <v/>
      </c>
      <c r="F43" s="355"/>
      <c r="G43" s="355"/>
      <c r="H43" s="355"/>
      <c r="I43" s="355"/>
      <c r="J43" s="355"/>
      <c r="K43" s="355"/>
      <c r="L43" s="355"/>
      <c r="M43" s="341"/>
      <c r="N43" s="341"/>
    </row>
    <row r="44" spans="1:14">
      <c r="A44" s="144" t="s">
        <v>110</v>
      </c>
      <c r="B44" s="281"/>
      <c r="C44" s="278">
        <f>SUM(C39:C42)</f>
        <v>0</v>
      </c>
      <c r="D44" s="245">
        <f>SUM(D39:D42)</f>
        <v>75000</v>
      </c>
      <c r="E44" s="245">
        <f>SUM(E39:E42)</f>
        <v>119587</v>
      </c>
      <c r="F44" s="355"/>
      <c r="G44" s="355"/>
      <c r="H44" s="355"/>
      <c r="I44" s="355"/>
      <c r="J44" s="355"/>
      <c r="K44" s="355"/>
      <c r="L44" s="355"/>
      <c r="M44" s="341"/>
      <c r="N44" s="341"/>
    </row>
    <row r="45" spans="1:14">
      <c r="A45" s="37" t="s">
        <v>231</v>
      </c>
      <c r="B45" s="281"/>
      <c r="C45" s="279">
        <f>C37-C44</f>
        <v>168737</v>
      </c>
      <c r="D45" s="244">
        <f>D37-D44</f>
        <v>106587</v>
      </c>
      <c r="E45" s="244">
        <f>E37-E44</f>
        <v>0</v>
      </c>
      <c r="F45" s="355"/>
      <c r="G45" s="355"/>
      <c r="H45" s="355"/>
      <c r="I45" s="355"/>
      <c r="J45" s="355"/>
      <c r="K45" s="355"/>
      <c r="L45" s="355"/>
      <c r="M45" s="341"/>
      <c r="N45" s="341"/>
    </row>
    <row r="46" spans="1:14">
      <c r="A46" s="23" t="str">
        <f>CONCATENATE("",E1-2," Budget Authority Limited Amount:")</f>
        <v>2011 Budget Authority Limited Amount:</v>
      </c>
      <c r="B46" s="297">
        <f>inputOth!B65</f>
        <v>151227</v>
      </c>
      <c r="C46" s="21"/>
      <c r="D46" s="21"/>
      <c r="E46" s="21"/>
      <c r="F46" s="355"/>
      <c r="G46" s="355"/>
      <c r="H46" s="355"/>
      <c r="I46" s="355"/>
      <c r="J46" s="355"/>
      <c r="K46" s="355"/>
      <c r="L46" s="355"/>
      <c r="M46" s="341"/>
      <c r="N46" s="341"/>
    </row>
    <row r="47" spans="1:14">
      <c r="A47" s="23" t="str">
        <f>CONCATENATE("Violation of Budget Law for ",E1-2,":")</f>
        <v>Violation of Budget Law for 2011:</v>
      </c>
      <c r="B47" s="298" t="str">
        <f>IF(C44&gt;B46,"Yes","")</f>
        <v/>
      </c>
      <c r="C47" s="21"/>
      <c r="D47" s="21"/>
      <c r="E47" s="21"/>
      <c r="F47" s="341"/>
      <c r="G47" s="341"/>
      <c r="H47" s="341"/>
      <c r="I47" s="341"/>
      <c r="J47" s="341"/>
      <c r="K47" s="341"/>
      <c r="L47" s="341"/>
      <c r="M47" s="341"/>
      <c r="N47" s="341"/>
    </row>
    <row r="48" spans="1:14">
      <c r="A48" s="23" t="str">
        <f>CONCATENATE("Possible Cash Violation for ",E1-2,":")</f>
        <v>Possible Cash Violation for 2011:</v>
      </c>
      <c r="B48" s="298" t="str">
        <f>IF(C45&lt;0,"Yes","")</f>
        <v/>
      </c>
      <c r="C48" s="21"/>
      <c r="D48" s="21"/>
      <c r="E48" s="21"/>
      <c r="F48" s="341"/>
      <c r="G48" s="341"/>
      <c r="H48" s="341"/>
      <c r="I48" s="341"/>
      <c r="J48" s="341"/>
      <c r="K48" s="341"/>
      <c r="L48" s="341"/>
      <c r="M48" s="341"/>
      <c r="N48" s="341"/>
    </row>
    <row r="49" spans="1:14">
      <c r="A49" s="21"/>
      <c r="B49" s="21"/>
      <c r="C49" s="21"/>
      <c r="D49" s="21"/>
      <c r="E49" s="21"/>
      <c r="F49" s="341"/>
      <c r="G49" s="341"/>
      <c r="H49" s="341"/>
      <c r="I49" s="341"/>
      <c r="J49" s="341"/>
      <c r="K49" s="341"/>
      <c r="L49" s="341"/>
      <c r="M49" s="341"/>
      <c r="N49" s="341"/>
    </row>
    <row r="50" spans="1:14">
      <c r="A50" s="24"/>
      <c r="B50" s="24" t="s">
        <v>114</v>
      </c>
      <c r="C50" s="16">
        <v>11</v>
      </c>
      <c r="D50" s="21"/>
      <c r="E50" s="21"/>
      <c r="F50" s="341"/>
      <c r="G50" s="341"/>
      <c r="H50" s="341"/>
      <c r="I50" s="341"/>
      <c r="J50" s="341"/>
      <c r="K50" s="341"/>
      <c r="L50" s="341"/>
      <c r="M50" s="341"/>
      <c r="N50" s="341"/>
    </row>
    <row r="51" spans="1:14">
      <c r="F51" s="341"/>
      <c r="G51" s="341"/>
      <c r="H51" s="341"/>
      <c r="I51" s="341"/>
      <c r="J51" s="341"/>
      <c r="K51" s="341"/>
      <c r="L51" s="341"/>
      <c r="M51" s="341"/>
      <c r="N51" s="341"/>
    </row>
    <row r="52" spans="1:14">
      <c r="F52" s="341"/>
      <c r="G52" s="341"/>
      <c r="H52" s="341"/>
      <c r="I52" s="341"/>
      <c r="J52" s="341"/>
      <c r="K52" s="341"/>
      <c r="L52" s="341"/>
      <c r="M52" s="341"/>
      <c r="N52" s="341"/>
    </row>
    <row r="53" spans="1:14">
      <c r="F53" s="341"/>
      <c r="G53" s="341"/>
      <c r="H53" s="341"/>
      <c r="I53" s="341"/>
      <c r="J53" s="341"/>
      <c r="K53" s="341"/>
      <c r="L53" s="341"/>
      <c r="M53" s="341"/>
      <c r="N53" s="341"/>
    </row>
    <row r="54" spans="1:14">
      <c r="F54" s="341"/>
      <c r="G54" s="341"/>
      <c r="H54" s="341"/>
      <c r="I54" s="341"/>
      <c r="J54" s="341"/>
      <c r="K54" s="341"/>
      <c r="L54" s="341"/>
      <c r="M54" s="341"/>
      <c r="N54" s="341"/>
    </row>
    <row r="55" spans="1:14">
      <c r="F55" s="341"/>
      <c r="G55" s="341"/>
      <c r="H55" s="341"/>
      <c r="I55" s="341"/>
      <c r="J55" s="341"/>
      <c r="K55" s="341"/>
      <c r="L55" s="341"/>
      <c r="M55" s="341"/>
      <c r="N55" s="341"/>
    </row>
    <row r="56" spans="1:14">
      <c r="F56" s="341"/>
      <c r="G56" s="341"/>
      <c r="H56" s="341"/>
      <c r="I56" s="341"/>
      <c r="J56" s="341"/>
      <c r="K56" s="341"/>
      <c r="L56" s="341"/>
      <c r="M56" s="341"/>
      <c r="N56" s="341"/>
    </row>
    <row r="57" spans="1:14">
      <c r="F57" s="341"/>
      <c r="G57" s="341"/>
      <c r="H57" s="341"/>
      <c r="I57" s="341"/>
      <c r="J57" s="341"/>
      <c r="K57" s="341"/>
      <c r="L57" s="341"/>
      <c r="M57" s="341"/>
      <c r="N57" s="341"/>
    </row>
    <row r="58" spans="1:14">
      <c r="F58" s="341"/>
      <c r="G58" s="341"/>
      <c r="H58" s="341"/>
      <c r="I58" s="341"/>
      <c r="J58" s="341"/>
      <c r="K58" s="341"/>
      <c r="L58" s="341"/>
      <c r="M58" s="341"/>
      <c r="N58" s="341"/>
    </row>
    <row r="59" spans="1:14">
      <c r="F59" s="341"/>
      <c r="G59" s="341"/>
      <c r="H59" s="341"/>
      <c r="I59" s="341"/>
      <c r="J59" s="341"/>
      <c r="K59" s="341"/>
      <c r="L59" s="341"/>
      <c r="M59" s="341"/>
      <c r="N59" s="341"/>
    </row>
    <row r="60" spans="1:14">
      <c r="F60" s="341"/>
      <c r="G60" s="341"/>
      <c r="H60" s="341"/>
      <c r="I60" s="341"/>
      <c r="J60" s="341"/>
      <c r="K60" s="341"/>
      <c r="L60" s="341"/>
      <c r="M60" s="341"/>
      <c r="N60" s="341"/>
    </row>
    <row r="61" spans="1:14">
      <c r="F61" s="341"/>
      <c r="G61" s="341"/>
      <c r="H61" s="341"/>
      <c r="I61" s="341"/>
      <c r="J61" s="341"/>
      <c r="K61" s="341"/>
      <c r="L61" s="341"/>
      <c r="M61" s="341"/>
      <c r="N61" s="341"/>
    </row>
    <row r="62" spans="1:14">
      <c r="F62" s="341"/>
      <c r="G62" s="341"/>
      <c r="H62" s="341"/>
      <c r="I62" s="341"/>
      <c r="J62" s="341"/>
      <c r="K62" s="341"/>
      <c r="L62" s="341"/>
      <c r="M62" s="341"/>
      <c r="N62" s="341"/>
    </row>
    <row r="63" spans="1:14">
      <c r="F63" s="341"/>
      <c r="G63" s="341"/>
      <c r="H63" s="341"/>
      <c r="I63" s="341"/>
      <c r="J63" s="341"/>
      <c r="K63" s="341"/>
      <c r="L63" s="341"/>
      <c r="M63" s="341"/>
      <c r="N63" s="341"/>
    </row>
    <row r="64" spans="1:14">
      <c r="F64" s="341"/>
      <c r="G64" s="341"/>
      <c r="H64" s="341"/>
      <c r="I64" s="341"/>
      <c r="J64" s="341"/>
      <c r="K64" s="341"/>
      <c r="L64" s="341"/>
      <c r="M64" s="341"/>
      <c r="N64" s="341"/>
    </row>
    <row r="65" spans="6:14">
      <c r="F65" s="341"/>
      <c r="G65" s="341"/>
      <c r="H65" s="341"/>
      <c r="I65" s="341"/>
      <c r="J65" s="341"/>
      <c r="K65" s="341"/>
      <c r="L65" s="341"/>
      <c r="M65" s="341"/>
      <c r="N65" s="341"/>
    </row>
    <row r="66" spans="6:14">
      <c r="F66" s="341"/>
      <c r="G66" s="341"/>
      <c r="H66" s="341"/>
      <c r="I66" s="341"/>
      <c r="J66" s="341"/>
      <c r="K66" s="341"/>
      <c r="L66" s="341"/>
      <c r="M66" s="341"/>
      <c r="N66" s="341"/>
    </row>
    <row r="67" spans="6:14">
      <c r="F67" s="341"/>
      <c r="G67" s="341"/>
      <c r="H67" s="341"/>
      <c r="I67" s="341"/>
      <c r="J67" s="341"/>
      <c r="K67" s="341"/>
      <c r="L67" s="341"/>
      <c r="M67" s="341"/>
      <c r="N67" s="341"/>
    </row>
    <row r="68" spans="6:14">
      <c r="F68" s="341"/>
      <c r="G68" s="341"/>
      <c r="H68" s="341"/>
      <c r="I68" s="341"/>
      <c r="J68" s="341"/>
      <c r="K68" s="341"/>
      <c r="L68" s="341"/>
      <c r="M68" s="341"/>
      <c r="N68" s="341"/>
    </row>
    <row r="69" spans="6:14">
      <c r="F69" s="341"/>
      <c r="G69" s="341"/>
      <c r="H69" s="341"/>
      <c r="I69" s="341"/>
      <c r="J69" s="341"/>
      <c r="K69" s="341"/>
      <c r="L69" s="341"/>
      <c r="M69" s="341"/>
      <c r="N69" s="341"/>
    </row>
    <row r="70" spans="6:14">
      <c r="F70" s="341"/>
      <c r="G70" s="341"/>
      <c r="H70" s="341"/>
      <c r="I70" s="341"/>
      <c r="J70" s="341"/>
      <c r="K70" s="341"/>
      <c r="L70" s="341"/>
      <c r="M70" s="341"/>
      <c r="N70" s="341"/>
    </row>
    <row r="71" spans="6:14">
      <c r="F71" s="341"/>
      <c r="G71" s="341"/>
      <c r="H71" s="341"/>
      <c r="I71" s="341"/>
      <c r="J71" s="341"/>
      <c r="K71" s="341"/>
      <c r="L71" s="341"/>
      <c r="M71" s="341"/>
      <c r="N71" s="341"/>
    </row>
    <row r="72" spans="6:14">
      <c r="F72" s="341"/>
      <c r="G72" s="341"/>
      <c r="H72" s="341"/>
      <c r="I72" s="341"/>
      <c r="J72" s="341"/>
      <c r="K72" s="341"/>
      <c r="L72" s="341"/>
      <c r="M72" s="341"/>
      <c r="N72" s="341"/>
    </row>
    <row r="73" spans="6:14">
      <c r="F73" s="341"/>
      <c r="G73" s="341"/>
      <c r="H73" s="341"/>
      <c r="I73" s="341"/>
      <c r="J73" s="341"/>
      <c r="K73" s="341"/>
      <c r="L73" s="341"/>
      <c r="M73" s="341"/>
      <c r="N73" s="341"/>
    </row>
    <row r="74" spans="6:14">
      <c r="F74" s="341"/>
      <c r="G74" s="341"/>
      <c r="H74" s="341"/>
      <c r="I74" s="341"/>
      <c r="J74" s="341"/>
      <c r="K74" s="341"/>
      <c r="L74" s="341"/>
      <c r="M74" s="341"/>
      <c r="N74" s="341"/>
    </row>
    <row r="75" spans="6:14">
      <c r="F75" s="341"/>
      <c r="G75" s="341"/>
      <c r="H75" s="341"/>
      <c r="I75" s="341"/>
      <c r="J75" s="341"/>
      <c r="K75" s="341"/>
      <c r="L75" s="341"/>
      <c r="M75" s="341"/>
      <c r="N75" s="341"/>
    </row>
    <row r="76" spans="6:14">
      <c r="F76" s="341"/>
      <c r="G76" s="341"/>
      <c r="H76" s="341"/>
      <c r="I76" s="341"/>
      <c r="J76" s="341"/>
      <c r="K76" s="341"/>
      <c r="L76" s="341"/>
      <c r="M76" s="341"/>
      <c r="N76" s="341"/>
    </row>
    <row r="77" spans="6:14">
      <c r="F77" s="341"/>
      <c r="G77" s="341"/>
      <c r="H77" s="341"/>
      <c r="I77" s="341"/>
      <c r="J77" s="341"/>
      <c r="K77" s="341"/>
      <c r="L77" s="341"/>
      <c r="M77" s="341"/>
      <c r="N77" s="341"/>
    </row>
    <row r="78" spans="6:14">
      <c r="F78" s="341"/>
      <c r="G78" s="341"/>
      <c r="H78" s="341"/>
      <c r="I78" s="341"/>
      <c r="J78" s="341"/>
      <c r="K78" s="341"/>
      <c r="L78" s="341"/>
      <c r="M78" s="341"/>
      <c r="N78" s="341"/>
    </row>
    <row r="79" spans="6:14">
      <c r="F79" s="341"/>
      <c r="G79" s="341"/>
      <c r="H79" s="341"/>
      <c r="I79" s="341"/>
      <c r="J79" s="341"/>
      <c r="K79" s="341"/>
      <c r="L79" s="341"/>
      <c r="M79" s="341"/>
      <c r="N79" s="341"/>
    </row>
    <row r="80" spans="6:14">
      <c r="F80" s="341"/>
      <c r="G80" s="341"/>
      <c r="H80" s="341"/>
      <c r="I80" s="341"/>
      <c r="J80" s="341"/>
      <c r="K80" s="341"/>
      <c r="L80" s="341"/>
      <c r="M80" s="341"/>
      <c r="N80" s="341"/>
    </row>
    <row r="81" spans="6:14">
      <c r="F81" s="341"/>
      <c r="G81" s="341"/>
      <c r="H81" s="341"/>
      <c r="I81" s="341"/>
      <c r="J81" s="341"/>
      <c r="K81" s="341"/>
      <c r="L81" s="341"/>
      <c r="M81" s="341"/>
      <c r="N81" s="341"/>
    </row>
    <row r="82" spans="6:14">
      <c r="F82" s="341"/>
      <c r="G82" s="341"/>
      <c r="H82" s="341"/>
      <c r="I82" s="341"/>
      <c r="J82" s="341"/>
      <c r="K82" s="341"/>
      <c r="L82" s="341"/>
      <c r="M82" s="341"/>
      <c r="N82" s="341"/>
    </row>
    <row r="83" spans="6:14">
      <c r="F83" s="341"/>
      <c r="G83" s="341"/>
      <c r="H83" s="341"/>
      <c r="I83" s="341"/>
      <c r="J83" s="341"/>
      <c r="K83" s="341"/>
      <c r="L83" s="341"/>
      <c r="M83" s="341"/>
      <c r="N83" s="341"/>
    </row>
    <row r="84" spans="6:14">
      <c r="F84" s="341"/>
      <c r="G84" s="341"/>
      <c r="H84" s="341"/>
      <c r="I84" s="341"/>
      <c r="J84" s="341"/>
      <c r="K84" s="341"/>
      <c r="L84" s="341"/>
      <c r="M84" s="341"/>
      <c r="N84" s="341"/>
    </row>
    <row r="85" spans="6:14">
      <c r="F85" s="341"/>
      <c r="G85" s="341"/>
      <c r="H85" s="341"/>
      <c r="I85" s="341"/>
      <c r="J85" s="341"/>
      <c r="K85" s="341"/>
      <c r="L85" s="341"/>
      <c r="M85" s="341"/>
      <c r="N85" s="341"/>
    </row>
    <row r="86" spans="6:14">
      <c r="F86" s="341"/>
      <c r="G86" s="341"/>
      <c r="H86" s="341"/>
      <c r="I86" s="341"/>
      <c r="J86" s="341"/>
      <c r="K86" s="341"/>
      <c r="L86" s="341"/>
      <c r="M86" s="341"/>
      <c r="N86" s="341"/>
    </row>
    <row r="87" spans="6:14">
      <c r="F87" s="341"/>
      <c r="G87" s="341"/>
      <c r="H87" s="341"/>
      <c r="I87" s="341"/>
      <c r="J87" s="341"/>
      <c r="K87" s="341"/>
      <c r="L87" s="341"/>
      <c r="M87" s="341"/>
      <c r="N87" s="341"/>
    </row>
    <row r="88" spans="6:14">
      <c r="F88" s="341"/>
      <c r="G88" s="341"/>
      <c r="H88" s="341"/>
      <c r="I88" s="341"/>
      <c r="J88" s="341"/>
      <c r="K88" s="341"/>
      <c r="L88" s="341"/>
      <c r="M88" s="341"/>
      <c r="N88" s="341"/>
    </row>
    <row r="89" spans="6:14">
      <c r="F89" s="341"/>
      <c r="G89" s="341"/>
      <c r="H89" s="341"/>
      <c r="I89" s="341"/>
      <c r="J89" s="341"/>
      <c r="K89" s="341"/>
      <c r="L89" s="341"/>
      <c r="M89" s="341"/>
      <c r="N89" s="341"/>
    </row>
    <row r="90" spans="6:14">
      <c r="F90" s="341"/>
      <c r="G90" s="341"/>
      <c r="H90" s="341"/>
      <c r="I90" s="341"/>
      <c r="J90" s="341"/>
      <c r="K90" s="341"/>
      <c r="L90" s="341"/>
      <c r="M90" s="341"/>
      <c r="N90" s="341"/>
    </row>
    <row r="91" spans="6:14">
      <c r="F91" s="341"/>
      <c r="G91" s="341"/>
      <c r="H91" s="341"/>
      <c r="I91" s="341"/>
      <c r="J91" s="341"/>
      <c r="K91" s="341"/>
      <c r="L91" s="341"/>
      <c r="M91" s="341"/>
      <c r="N91" s="341"/>
    </row>
    <row r="92" spans="6:14">
      <c r="F92" s="341"/>
      <c r="G92" s="341"/>
      <c r="H92" s="341"/>
      <c r="I92" s="341"/>
      <c r="J92" s="341"/>
      <c r="K92" s="341"/>
      <c r="L92" s="341"/>
      <c r="M92" s="341"/>
      <c r="N92" s="341"/>
    </row>
    <row r="93" spans="6:14">
      <c r="F93" s="341"/>
      <c r="G93" s="341"/>
      <c r="H93" s="341"/>
      <c r="I93" s="341"/>
      <c r="J93" s="341"/>
      <c r="K93" s="341"/>
      <c r="L93" s="341"/>
      <c r="M93" s="341"/>
      <c r="N93" s="341"/>
    </row>
    <row r="94" spans="6:14">
      <c r="F94" s="341"/>
      <c r="G94" s="341"/>
      <c r="H94" s="341"/>
      <c r="I94" s="341"/>
      <c r="J94" s="341"/>
      <c r="K94" s="341"/>
      <c r="L94" s="341"/>
      <c r="M94" s="341"/>
      <c r="N94" s="341"/>
    </row>
    <row r="95" spans="6:14">
      <c r="F95" s="341"/>
      <c r="G95" s="341"/>
      <c r="H95" s="341"/>
      <c r="I95" s="341"/>
      <c r="J95" s="341"/>
      <c r="K95" s="341"/>
      <c r="L95" s="341"/>
      <c r="M95" s="341"/>
      <c r="N95" s="341"/>
    </row>
    <row r="96" spans="6:14">
      <c r="F96" s="341"/>
      <c r="G96" s="341"/>
      <c r="H96" s="341"/>
      <c r="I96" s="341"/>
      <c r="J96" s="341"/>
      <c r="K96" s="341"/>
      <c r="L96" s="341"/>
      <c r="M96" s="341"/>
      <c r="N96" s="341"/>
    </row>
    <row r="97" spans="6:14">
      <c r="F97" s="341"/>
      <c r="G97" s="341"/>
      <c r="H97" s="341"/>
      <c r="I97" s="341"/>
      <c r="J97" s="341"/>
      <c r="K97" s="341"/>
      <c r="L97" s="341"/>
      <c r="M97" s="341"/>
      <c r="N97" s="341"/>
    </row>
    <row r="98" spans="6:14">
      <c r="F98" s="341"/>
      <c r="G98" s="341"/>
      <c r="H98" s="341"/>
      <c r="I98" s="341"/>
      <c r="J98" s="341"/>
      <c r="K98" s="341"/>
      <c r="L98" s="341"/>
      <c r="M98" s="341"/>
      <c r="N98" s="341"/>
    </row>
    <row r="99" spans="6:14">
      <c r="F99" s="341"/>
      <c r="G99" s="341"/>
      <c r="H99" s="341"/>
      <c r="I99" s="341"/>
      <c r="J99" s="341"/>
      <c r="K99" s="341"/>
      <c r="L99" s="341"/>
      <c r="M99" s="341"/>
      <c r="N99" s="341"/>
    </row>
    <row r="100" spans="6:14">
      <c r="F100" s="341"/>
      <c r="G100" s="341"/>
      <c r="H100" s="341"/>
      <c r="I100" s="341"/>
      <c r="J100" s="341"/>
      <c r="K100" s="341"/>
      <c r="L100" s="341"/>
      <c r="M100" s="341"/>
      <c r="N100" s="341"/>
    </row>
    <row r="101" spans="6:14">
      <c r="F101" s="341"/>
      <c r="G101" s="341"/>
      <c r="H101" s="341"/>
      <c r="I101" s="341"/>
      <c r="J101" s="341"/>
      <c r="K101" s="341"/>
      <c r="L101" s="341"/>
      <c r="M101" s="341"/>
      <c r="N101" s="341"/>
    </row>
    <row r="102" spans="6:14">
      <c r="F102" s="341"/>
      <c r="G102" s="341"/>
      <c r="H102" s="341"/>
      <c r="I102" s="341"/>
      <c r="J102" s="341"/>
      <c r="K102" s="341"/>
      <c r="L102" s="341"/>
      <c r="M102" s="341"/>
      <c r="N102" s="341"/>
    </row>
    <row r="103" spans="6:14">
      <c r="F103" s="341"/>
      <c r="G103" s="341"/>
      <c r="H103" s="341"/>
      <c r="I103" s="341"/>
      <c r="J103" s="341"/>
      <c r="K103" s="341"/>
      <c r="L103" s="341"/>
      <c r="M103" s="341"/>
      <c r="N103" s="341"/>
    </row>
    <row r="104" spans="6:14">
      <c r="F104" s="341"/>
      <c r="G104" s="341"/>
      <c r="H104" s="341"/>
      <c r="I104" s="341"/>
      <c r="J104" s="341"/>
      <c r="K104" s="341"/>
      <c r="L104" s="341"/>
      <c r="M104" s="341"/>
      <c r="N104" s="341"/>
    </row>
    <row r="105" spans="6:14">
      <c r="F105" s="341"/>
      <c r="G105" s="341"/>
      <c r="H105" s="341"/>
      <c r="I105" s="341"/>
      <c r="J105" s="341"/>
      <c r="K105" s="341"/>
      <c r="L105" s="341"/>
      <c r="M105" s="341"/>
      <c r="N105" s="341"/>
    </row>
    <row r="106" spans="6:14">
      <c r="F106" s="341"/>
      <c r="G106" s="341"/>
      <c r="H106" s="341"/>
      <c r="I106" s="341"/>
      <c r="J106" s="341"/>
      <c r="K106" s="341"/>
      <c r="L106" s="341"/>
      <c r="M106" s="341"/>
      <c r="N106" s="341"/>
    </row>
    <row r="107" spans="6:14">
      <c r="F107" s="341"/>
      <c r="G107" s="341"/>
      <c r="H107" s="341"/>
      <c r="I107" s="341"/>
      <c r="J107" s="341"/>
      <c r="K107" s="341"/>
      <c r="L107" s="341"/>
      <c r="M107" s="341"/>
      <c r="N107" s="341"/>
    </row>
    <row r="108" spans="6:14">
      <c r="F108" s="341"/>
      <c r="G108" s="341"/>
      <c r="H108" s="341"/>
      <c r="I108" s="341"/>
      <c r="J108" s="341"/>
      <c r="K108" s="341"/>
      <c r="L108" s="341"/>
      <c r="M108" s="341"/>
      <c r="N108" s="341"/>
    </row>
    <row r="109" spans="6:14">
      <c r="F109" s="341"/>
      <c r="G109" s="341"/>
      <c r="H109" s="341"/>
      <c r="I109" s="341"/>
      <c r="J109" s="341"/>
      <c r="K109" s="341"/>
      <c r="L109" s="341"/>
      <c r="M109" s="341"/>
      <c r="N109" s="341"/>
    </row>
    <row r="110" spans="6:14">
      <c r="F110" s="341"/>
      <c r="G110" s="341"/>
      <c r="H110" s="341"/>
      <c r="I110" s="341"/>
      <c r="J110" s="341"/>
      <c r="K110" s="341"/>
      <c r="L110" s="341"/>
      <c r="M110" s="341"/>
      <c r="N110" s="341"/>
    </row>
    <row r="111" spans="6:14">
      <c r="F111" s="341"/>
      <c r="G111" s="341"/>
      <c r="H111" s="341"/>
      <c r="I111" s="341"/>
      <c r="J111" s="341"/>
      <c r="K111" s="341"/>
      <c r="L111" s="341"/>
      <c r="M111" s="341"/>
      <c r="N111" s="341"/>
    </row>
    <row r="112" spans="6:14">
      <c r="F112" s="341"/>
      <c r="G112" s="341"/>
      <c r="H112" s="341"/>
      <c r="I112" s="341"/>
      <c r="J112" s="341"/>
      <c r="K112" s="341"/>
      <c r="L112" s="341"/>
      <c r="M112" s="341"/>
      <c r="N112" s="341"/>
    </row>
    <row r="113" spans="6:14">
      <c r="F113" s="341"/>
      <c r="G113" s="341"/>
      <c r="H113" s="341"/>
      <c r="I113" s="341"/>
      <c r="J113" s="341"/>
      <c r="K113" s="341"/>
      <c r="L113" s="341"/>
      <c r="M113" s="341"/>
      <c r="N113" s="341"/>
    </row>
    <row r="114" spans="6:14">
      <c r="F114" s="341"/>
      <c r="G114" s="341"/>
      <c r="H114" s="341"/>
      <c r="I114" s="341"/>
      <c r="J114" s="341"/>
      <c r="K114" s="341"/>
      <c r="L114" s="341"/>
      <c r="M114" s="341"/>
      <c r="N114" s="341"/>
    </row>
    <row r="115" spans="6:14">
      <c r="F115" s="341"/>
      <c r="G115" s="341"/>
      <c r="H115" s="341"/>
      <c r="I115" s="341"/>
      <c r="J115" s="341"/>
      <c r="K115" s="341"/>
      <c r="L115" s="341"/>
      <c r="M115" s="341"/>
      <c r="N115" s="341"/>
    </row>
    <row r="116" spans="6:14">
      <c r="F116" s="341"/>
      <c r="G116" s="341"/>
      <c r="H116" s="341"/>
      <c r="I116" s="341"/>
      <c r="J116" s="341"/>
      <c r="K116" s="341"/>
      <c r="L116" s="341"/>
      <c r="M116" s="341"/>
      <c r="N116" s="341"/>
    </row>
    <row r="117" spans="6:14">
      <c r="F117" s="341"/>
      <c r="G117" s="341"/>
      <c r="H117" s="341"/>
      <c r="I117" s="341"/>
      <c r="J117" s="341"/>
      <c r="K117" s="341"/>
      <c r="L117" s="341"/>
      <c r="M117" s="341"/>
      <c r="N117" s="341"/>
    </row>
    <row r="118" spans="6:14">
      <c r="F118" s="341"/>
      <c r="G118" s="341"/>
      <c r="H118" s="341"/>
      <c r="I118" s="341"/>
      <c r="J118" s="341"/>
      <c r="K118" s="341"/>
      <c r="L118" s="341"/>
      <c r="M118" s="341"/>
      <c r="N118" s="341"/>
    </row>
    <row r="119" spans="6:14">
      <c r="F119" s="341"/>
      <c r="G119" s="341"/>
      <c r="H119" s="341"/>
      <c r="I119" s="341"/>
      <c r="J119" s="341"/>
      <c r="K119" s="341"/>
      <c r="L119" s="341"/>
      <c r="M119" s="341"/>
      <c r="N119" s="341"/>
    </row>
    <row r="120" spans="6:14">
      <c r="F120" s="341"/>
      <c r="G120" s="341"/>
      <c r="H120" s="341"/>
      <c r="I120" s="341"/>
      <c r="J120" s="341"/>
      <c r="K120" s="341"/>
      <c r="L120" s="341"/>
      <c r="M120" s="341"/>
      <c r="N120" s="341"/>
    </row>
    <row r="121" spans="6:14">
      <c r="F121" s="341"/>
      <c r="G121" s="341"/>
      <c r="H121" s="341"/>
      <c r="I121" s="341"/>
      <c r="J121" s="341"/>
      <c r="K121" s="341"/>
      <c r="L121" s="341"/>
      <c r="M121" s="341"/>
      <c r="N121" s="341"/>
    </row>
    <row r="122" spans="6:14">
      <c r="F122" s="341"/>
      <c r="G122" s="341"/>
      <c r="H122" s="341"/>
      <c r="I122" s="341"/>
      <c r="J122" s="341"/>
      <c r="K122" s="341"/>
      <c r="L122" s="341"/>
      <c r="M122" s="341"/>
      <c r="N122" s="341"/>
    </row>
    <row r="123" spans="6:14">
      <c r="F123" s="341"/>
      <c r="G123" s="341"/>
      <c r="H123" s="341"/>
      <c r="I123" s="341"/>
      <c r="J123" s="341"/>
      <c r="K123" s="341"/>
      <c r="L123" s="341"/>
      <c r="M123" s="341"/>
      <c r="N123" s="341"/>
    </row>
    <row r="124" spans="6:14">
      <c r="F124" s="341"/>
      <c r="G124" s="341"/>
      <c r="H124" s="341"/>
      <c r="I124" s="341"/>
      <c r="J124" s="341"/>
      <c r="K124" s="341"/>
      <c r="L124" s="341"/>
      <c r="M124" s="341"/>
      <c r="N124" s="341"/>
    </row>
    <row r="125" spans="6:14">
      <c r="F125" s="341"/>
      <c r="G125" s="341"/>
      <c r="H125" s="341"/>
      <c r="I125" s="341"/>
      <c r="J125" s="341"/>
      <c r="K125" s="341"/>
      <c r="L125" s="341"/>
      <c r="M125" s="341"/>
      <c r="N125" s="341"/>
    </row>
    <row r="126" spans="6:14">
      <c r="F126" s="341"/>
      <c r="G126" s="341"/>
      <c r="H126" s="341"/>
      <c r="I126" s="341"/>
      <c r="J126" s="341"/>
      <c r="K126" s="341"/>
      <c r="L126" s="341"/>
      <c r="M126" s="341"/>
      <c r="N126" s="341"/>
    </row>
    <row r="127" spans="6:14">
      <c r="F127" s="341"/>
      <c r="G127" s="341"/>
      <c r="H127" s="341"/>
      <c r="I127" s="341"/>
      <c r="J127" s="341"/>
      <c r="K127" s="341"/>
      <c r="L127" s="341"/>
      <c r="M127" s="341"/>
      <c r="N127" s="341"/>
    </row>
    <row r="128" spans="6:14">
      <c r="F128" s="341"/>
      <c r="G128" s="341"/>
      <c r="H128" s="341"/>
      <c r="I128" s="341"/>
      <c r="J128" s="341"/>
      <c r="K128" s="341"/>
      <c r="L128" s="341"/>
      <c r="M128" s="341"/>
      <c r="N128" s="341"/>
    </row>
    <row r="129" spans="6:14">
      <c r="F129" s="341"/>
      <c r="G129" s="341"/>
      <c r="H129" s="341"/>
      <c r="I129" s="341"/>
      <c r="J129" s="341"/>
      <c r="K129" s="341"/>
      <c r="L129" s="341"/>
      <c r="M129" s="341"/>
      <c r="N129" s="341"/>
    </row>
    <row r="130" spans="6:14">
      <c r="F130" s="341"/>
      <c r="G130" s="341"/>
      <c r="H130" s="341"/>
      <c r="I130" s="341"/>
      <c r="J130" s="341"/>
      <c r="K130" s="341"/>
      <c r="L130" s="341"/>
      <c r="M130" s="341"/>
      <c r="N130" s="341"/>
    </row>
    <row r="131" spans="6:14">
      <c r="F131" s="341"/>
      <c r="G131" s="341"/>
      <c r="H131" s="341"/>
      <c r="I131" s="341"/>
      <c r="J131" s="341"/>
      <c r="K131" s="341"/>
      <c r="L131" s="341"/>
      <c r="M131" s="341"/>
      <c r="N131" s="341"/>
    </row>
    <row r="132" spans="6:14">
      <c r="F132" s="341"/>
      <c r="G132" s="341"/>
      <c r="H132" s="341"/>
      <c r="I132" s="341"/>
      <c r="J132" s="341"/>
      <c r="K132" s="341"/>
      <c r="L132" s="341"/>
      <c r="M132" s="341"/>
      <c r="N132" s="341"/>
    </row>
    <row r="133" spans="6:14">
      <c r="F133" s="341"/>
      <c r="G133" s="341"/>
      <c r="H133" s="341"/>
      <c r="I133" s="341"/>
      <c r="J133" s="341"/>
      <c r="K133" s="341"/>
      <c r="L133" s="341"/>
      <c r="M133" s="341"/>
      <c r="N133" s="341"/>
    </row>
    <row r="134" spans="6:14">
      <c r="F134" s="341"/>
      <c r="G134" s="341"/>
      <c r="H134" s="341"/>
      <c r="I134" s="341"/>
      <c r="J134" s="341"/>
      <c r="K134" s="341"/>
      <c r="L134" s="341"/>
      <c r="M134" s="341"/>
      <c r="N134" s="341"/>
    </row>
    <row r="135" spans="6:14">
      <c r="F135" s="341"/>
      <c r="G135" s="341"/>
      <c r="H135" s="341"/>
      <c r="I135" s="341"/>
      <c r="J135" s="341"/>
      <c r="K135" s="341"/>
      <c r="L135" s="341"/>
      <c r="M135" s="341"/>
      <c r="N135" s="341"/>
    </row>
    <row r="136" spans="6:14">
      <c r="F136" s="341"/>
      <c r="G136" s="341"/>
      <c r="H136" s="341"/>
      <c r="I136" s="341"/>
      <c r="J136" s="341"/>
      <c r="K136" s="341"/>
      <c r="L136" s="341"/>
      <c r="M136" s="341"/>
      <c r="N136" s="341"/>
    </row>
    <row r="137" spans="6:14">
      <c r="F137" s="341"/>
      <c r="G137" s="341"/>
      <c r="H137" s="341"/>
      <c r="I137" s="341"/>
      <c r="J137" s="341"/>
      <c r="K137" s="341"/>
      <c r="L137" s="341"/>
      <c r="M137" s="341"/>
      <c r="N137" s="341"/>
    </row>
    <row r="138" spans="6:14">
      <c r="F138" s="341"/>
      <c r="G138" s="341"/>
      <c r="H138" s="341"/>
      <c r="I138" s="341"/>
      <c r="J138" s="341"/>
      <c r="K138" s="341"/>
      <c r="L138" s="341"/>
      <c r="M138" s="341"/>
      <c r="N138" s="341"/>
    </row>
    <row r="139" spans="6:14">
      <c r="F139" s="341"/>
      <c r="G139" s="341"/>
      <c r="H139" s="341"/>
      <c r="I139" s="341"/>
      <c r="J139" s="341"/>
      <c r="K139" s="341"/>
      <c r="L139" s="341"/>
      <c r="M139" s="341"/>
      <c r="N139" s="341"/>
    </row>
    <row r="140" spans="6:14">
      <c r="F140" s="341"/>
      <c r="G140" s="341"/>
      <c r="H140" s="341"/>
      <c r="I140" s="341"/>
      <c r="J140" s="341"/>
      <c r="K140" s="341"/>
      <c r="L140" s="341"/>
      <c r="M140" s="341"/>
      <c r="N140" s="341"/>
    </row>
    <row r="141" spans="6:14">
      <c r="F141" s="341"/>
      <c r="G141" s="341"/>
      <c r="H141" s="341"/>
      <c r="I141" s="341"/>
      <c r="J141" s="341"/>
      <c r="K141" s="341"/>
      <c r="L141" s="341"/>
      <c r="M141" s="341"/>
      <c r="N141" s="341"/>
    </row>
    <row r="142" spans="6:14">
      <c r="F142" s="341"/>
      <c r="G142" s="341"/>
      <c r="H142" s="341"/>
      <c r="I142" s="341"/>
      <c r="J142" s="341"/>
      <c r="K142" s="341"/>
      <c r="L142" s="341"/>
      <c r="M142" s="341"/>
      <c r="N142" s="341"/>
    </row>
    <row r="143" spans="6:14">
      <c r="F143" s="341"/>
      <c r="G143" s="341"/>
      <c r="H143" s="341"/>
      <c r="I143" s="341"/>
      <c r="J143" s="341"/>
      <c r="K143" s="341"/>
      <c r="L143" s="341"/>
      <c r="M143" s="341"/>
      <c r="N143" s="341"/>
    </row>
    <row r="144" spans="6:14">
      <c r="F144" s="341"/>
      <c r="G144" s="341"/>
      <c r="H144" s="341"/>
      <c r="I144" s="341"/>
      <c r="J144" s="341"/>
      <c r="K144" s="341"/>
      <c r="L144" s="341"/>
      <c r="M144" s="341"/>
      <c r="N144" s="341"/>
    </row>
    <row r="145" spans="6:14">
      <c r="F145" s="341"/>
      <c r="G145" s="341"/>
      <c r="H145" s="341"/>
      <c r="I145" s="341"/>
      <c r="J145" s="341"/>
      <c r="K145" s="341"/>
      <c r="L145" s="341"/>
      <c r="M145" s="341"/>
      <c r="N145" s="341"/>
    </row>
    <row r="146" spans="6:14">
      <c r="F146" s="341"/>
      <c r="G146" s="341"/>
      <c r="H146" s="341"/>
      <c r="I146" s="341"/>
      <c r="J146" s="341"/>
      <c r="K146" s="341"/>
      <c r="L146" s="341"/>
      <c r="M146" s="341"/>
      <c r="N146" s="341"/>
    </row>
    <row r="147" spans="6:14">
      <c r="F147" s="341"/>
      <c r="G147" s="341"/>
      <c r="H147" s="341"/>
      <c r="I147" s="341"/>
      <c r="J147" s="341"/>
      <c r="K147" s="341"/>
      <c r="L147" s="341"/>
      <c r="M147" s="341"/>
      <c r="N147" s="341"/>
    </row>
    <row r="148" spans="6:14">
      <c r="F148" s="341"/>
      <c r="G148" s="341"/>
      <c r="H148" s="341"/>
      <c r="I148" s="341"/>
      <c r="J148" s="341"/>
      <c r="K148" s="341"/>
      <c r="L148" s="341"/>
      <c r="M148" s="341"/>
      <c r="N148" s="341"/>
    </row>
    <row r="149" spans="6:14">
      <c r="F149" s="341"/>
      <c r="G149" s="341"/>
      <c r="H149" s="341"/>
      <c r="I149" s="341"/>
      <c r="J149" s="341"/>
      <c r="K149" s="341"/>
      <c r="L149" s="341"/>
      <c r="M149" s="341"/>
      <c r="N149" s="341"/>
    </row>
    <row r="150" spans="6:14">
      <c r="F150" s="341"/>
      <c r="G150" s="341"/>
      <c r="H150" s="341"/>
      <c r="I150" s="341"/>
      <c r="J150" s="341"/>
      <c r="K150" s="341"/>
      <c r="L150" s="341"/>
      <c r="M150" s="341"/>
      <c r="N150" s="341"/>
    </row>
    <row r="151" spans="6:14">
      <c r="F151" s="341"/>
      <c r="G151" s="341"/>
      <c r="H151" s="341"/>
      <c r="I151" s="341"/>
      <c r="J151" s="341"/>
      <c r="K151" s="341"/>
      <c r="L151" s="341"/>
      <c r="M151" s="341"/>
      <c r="N151" s="341"/>
    </row>
    <row r="152" spans="6:14">
      <c r="F152" s="341"/>
      <c r="G152" s="341"/>
      <c r="H152" s="341"/>
      <c r="I152" s="341"/>
      <c r="J152" s="341"/>
      <c r="K152" s="341"/>
      <c r="L152" s="341"/>
      <c r="M152" s="341"/>
      <c r="N152" s="341"/>
    </row>
    <row r="153" spans="6:14">
      <c r="F153" s="341"/>
      <c r="G153" s="341"/>
      <c r="H153" s="341"/>
      <c r="I153" s="341"/>
      <c r="J153" s="341"/>
      <c r="K153" s="341"/>
      <c r="L153" s="341"/>
      <c r="M153" s="341"/>
      <c r="N153" s="341"/>
    </row>
    <row r="154" spans="6:14">
      <c r="F154" s="341"/>
      <c r="G154" s="341"/>
      <c r="H154" s="341"/>
      <c r="I154" s="341"/>
      <c r="J154" s="341"/>
      <c r="K154" s="341"/>
      <c r="L154" s="341"/>
      <c r="M154" s="341"/>
      <c r="N154" s="341"/>
    </row>
    <row r="155" spans="6:14">
      <c r="F155" s="341"/>
      <c r="G155" s="341"/>
      <c r="H155" s="341"/>
      <c r="I155" s="341"/>
      <c r="J155" s="341"/>
      <c r="K155" s="341"/>
      <c r="L155" s="341"/>
      <c r="M155" s="341"/>
      <c r="N155" s="341"/>
    </row>
    <row r="156" spans="6:14">
      <c r="F156" s="341"/>
      <c r="G156" s="341"/>
      <c r="H156" s="341"/>
      <c r="I156" s="341"/>
      <c r="J156" s="341"/>
      <c r="K156" s="341"/>
      <c r="L156" s="341"/>
      <c r="M156" s="341"/>
      <c r="N156" s="341"/>
    </row>
    <row r="157" spans="6:14">
      <c r="F157" s="341"/>
      <c r="G157" s="341"/>
      <c r="H157" s="341"/>
      <c r="I157" s="341"/>
      <c r="J157" s="341"/>
      <c r="K157" s="341"/>
      <c r="L157" s="341"/>
      <c r="M157" s="341"/>
      <c r="N157" s="341"/>
    </row>
    <row r="158" spans="6:14">
      <c r="F158" s="341"/>
      <c r="G158" s="341"/>
      <c r="H158" s="341"/>
      <c r="I158" s="341"/>
      <c r="J158" s="341"/>
      <c r="K158" s="341"/>
      <c r="L158" s="341"/>
      <c r="M158" s="341"/>
      <c r="N158" s="341"/>
    </row>
    <row r="159" spans="6:14">
      <c r="F159" s="341"/>
      <c r="G159" s="341"/>
      <c r="H159" s="341"/>
      <c r="I159" s="341"/>
      <c r="J159" s="341"/>
      <c r="K159" s="341"/>
      <c r="L159" s="341"/>
      <c r="M159" s="341"/>
      <c r="N159" s="341"/>
    </row>
    <row r="160" spans="6:14">
      <c r="F160" s="341"/>
      <c r="G160" s="341"/>
      <c r="H160" s="341"/>
      <c r="I160" s="341"/>
      <c r="J160" s="341"/>
      <c r="K160" s="341"/>
      <c r="L160" s="341"/>
      <c r="M160" s="341"/>
      <c r="N160" s="341"/>
    </row>
    <row r="161" spans="6:14">
      <c r="F161" s="341"/>
      <c r="G161" s="341"/>
      <c r="H161" s="341"/>
      <c r="I161" s="341"/>
      <c r="J161" s="341"/>
      <c r="K161" s="341"/>
      <c r="L161" s="341"/>
      <c r="M161" s="341"/>
      <c r="N161" s="341"/>
    </row>
    <row r="162" spans="6:14">
      <c r="F162" s="341"/>
      <c r="G162" s="341"/>
      <c r="H162" s="341"/>
      <c r="I162" s="341"/>
      <c r="J162" s="341"/>
      <c r="K162" s="341"/>
      <c r="L162" s="341"/>
      <c r="M162" s="341"/>
      <c r="N162" s="341"/>
    </row>
    <row r="163" spans="6:14">
      <c r="F163" s="341"/>
      <c r="G163" s="341"/>
      <c r="H163" s="341"/>
      <c r="I163" s="341"/>
      <c r="J163" s="341"/>
      <c r="K163" s="341"/>
      <c r="L163" s="341"/>
      <c r="M163" s="341"/>
      <c r="N163" s="341"/>
    </row>
    <row r="164" spans="6:14">
      <c r="F164" s="341"/>
      <c r="G164" s="341"/>
      <c r="H164" s="341"/>
      <c r="I164" s="341"/>
      <c r="J164" s="341"/>
      <c r="K164" s="341"/>
      <c r="L164" s="341"/>
      <c r="M164" s="341"/>
      <c r="N164" s="341"/>
    </row>
    <row r="165" spans="6:14">
      <c r="F165" s="341"/>
      <c r="G165" s="341"/>
      <c r="H165" s="341"/>
      <c r="I165" s="341"/>
      <c r="J165" s="341"/>
      <c r="K165" s="341"/>
      <c r="L165" s="341"/>
      <c r="M165" s="341"/>
      <c r="N165" s="341"/>
    </row>
    <row r="166" spans="6:14">
      <c r="F166" s="341"/>
      <c r="G166" s="341"/>
      <c r="H166" s="341"/>
      <c r="I166" s="341"/>
      <c r="J166" s="341"/>
      <c r="K166" s="341"/>
      <c r="L166" s="341"/>
      <c r="M166" s="341"/>
      <c r="N166" s="341"/>
    </row>
    <row r="167" spans="6:14">
      <c r="F167" s="341"/>
      <c r="G167" s="341"/>
      <c r="H167" s="341"/>
      <c r="I167" s="341"/>
      <c r="J167" s="341"/>
      <c r="K167" s="341"/>
      <c r="L167" s="341"/>
      <c r="M167" s="341"/>
      <c r="N167" s="341"/>
    </row>
    <row r="168" spans="6:14">
      <c r="F168" s="341"/>
      <c r="G168" s="341"/>
      <c r="H168" s="341"/>
      <c r="I168" s="341"/>
      <c r="J168" s="341"/>
      <c r="K168" s="341"/>
      <c r="L168" s="341"/>
      <c r="M168" s="341"/>
      <c r="N168" s="341"/>
    </row>
    <row r="169" spans="6:14">
      <c r="F169" s="341"/>
      <c r="G169" s="341"/>
      <c r="H169" s="341"/>
      <c r="I169" s="341"/>
      <c r="J169" s="341"/>
      <c r="K169" s="341"/>
      <c r="L169" s="341"/>
      <c r="M169" s="341"/>
      <c r="N169" s="341"/>
    </row>
    <row r="170" spans="6:14">
      <c r="F170" s="341"/>
      <c r="G170" s="341"/>
      <c r="H170" s="341"/>
      <c r="I170" s="341"/>
      <c r="J170" s="341"/>
      <c r="K170" s="341"/>
      <c r="L170" s="341"/>
      <c r="M170" s="341"/>
      <c r="N170" s="341"/>
    </row>
    <row r="171" spans="6:14">
      <c r="F171" s="341"/>
      <c r="G171" s="341"/>
      <c r="H171" s="341"/>
      <c r="I171" s="341"/>
      <c r="J171" s="341"/>
      <c r="K171" s="341"/>
      <c r="L171" s="341"/>
      <c r="M171" s="341"/>
      <c r="N171" s="341"/>
    </row>
  </sheetData>
  <phoneticPr fontId="0" type="noConversion"/>
  <conditionalFormatting sqref="C42">
    <cfRule type="cellIs" dxfId="41" priority="1" stopIfTrue="1" operator="greaterThan">
      <formula>$C$44*0.1</formula>
    </cfRule>
  </conditionalFormatting>
  <conditionalFormatting sqref="D42">
    <cfRule type="cellIs" dxfId="40" priority="2" stopIfTrue="1" operator="greaterThan">
      <formula>$D$44*0.1</formula>
    </cfRule>
  </conditionalFormatting>
  <conditionalFormatting sqref="E42">
    <cfRule type="cellIs" dxfId="39" priority="3" stopIfTrue="1" operator="greaterThan">
      <formula>$E$44*0.1</formula>
    </cfRule>
  </conditionalFormatting>
  <conditionalFormatting sqref="C34">
    <cfRule type="cellIs" dxfId="38" priority="4" stopIfTrue="1" operator="greaterThan">
      <formula>$C$36*0.1</formula>
    </cfRule>
  </conditionalFormatting>
  <conditionalFormatting sqref="D34">
    <cfRule type="cellIs" dxfId="37" priority="5" stopIfTrue="1" operator="greaterThan">
      <formula>$D$36*0.1</formula>
    </cfRule>
  </conditionalFormatting>
  <conditionalFormatting sqref="E34">
    <cfRule type="cellIs" dxfId="36" priority="6" stopIfTrue="1" operator="greaterThan">
      <formula>$E$36*0.1</formula>
    </cfRule>
  </conditionalFormatting>
  <conditionalFormatting sqref="C17">
    <cfRule type="cellIs" dxfId="35" priority="7" stopIfTrue="1" operator="greaterThan">
      <formula>$C$19*0.1</formula>
    </cfRule>
  </conditionalFormatting>
  <conditionalFormatting sqref="D17">
    <cfRule type="cellIs" dxfId="34" priority="8" stopIfTrue="1" operator="greaterThan">
      <formula>$D$19*0.1</formula>
    </cfRule>
  </conditionalFormatting>
  <conditionalFormatting sqref="E17">
    <cfRule type="cellIs" dxfId="33" priority="9" stopIfTrue="1" operator="greaterThan">
      <formula>$E$19*0.1</formula>
    </cfRule>
  </conditionalFormatting>
  <conditionalFormatting sqref="C10">
    <cfRule type="cellIs" dxfId="32" priority="10" stopIfTrue="1" operator="greaterThan">
      <formula>$C$12*0.1</formula>
    </cfRule>
  </conditionalFormatting>
  <conditionalFormatting sqref="D10">
    <cfRule type="cellIs" dxfId="31" priority="11" stopIfTrue="1" operator="greaterThan">
      <formula>$D$12*0.1</formula>
    </cfRule>
  </conditionalFormatting>
  <conditionalFormatting sqref="E10">
    <cfRule type="cellIs" dxfId="30" priority="12" stopIfTrue="1" operator="greaterThan">
      <formula>$E$12*0.1</formula>
    </cfRule>
  </conditionalFormatting>
  <pageMargins left="0.5" right="0.5" top="1" bottom="0.5" header="0.5" footer="0.5"/>
  <pageSetup scale="84" orientation="portrait" blackAndWhite="1" horizontalDpi="120" verticalDpi="144" r:id="rId1"/>
  <headerFooter alignWithMargins="0">
    <oddHeader>&amp;RState of Kansas
City</oddHeader>
    <oddFooter>&amp;Lrevised 8/06/07</oddFooter>
  </headerFooter>
</worksheet>
</file>

<file path=xl/worksheets/sheet16.xml><?xml version="1.0" encoding="utf-8"?>
<worksheet xmlns="http://schemas.openxmlformats.org/spreadsheetml/2006/main" xmlns:r="http://schemas.openxmlformats.org/officeDocument/2006/relationships">
  <sheetPr>
    <tabColor theme="7" tint="0.39997558519241921"/>
    <pageSetUpPr fitToPage="1"/>
  </sheetPr>
  <dimension ref="A1:O49"/>
  <sheetViews>
    <sheetView zoomScaleNormal="100" workbookViewId="0">
      <selection activeCell="K14" sqref="K14"/>
    </sheetView>
  </sheetViews>
  <sheetFormatPr defaultRowHeight="15"/>
  <cols>
    <col min="1" max="1" width="27.5546875" customWidth="1"/>
    <col min="2" max="2" width="9.5546875" customWidth="1"/>
    <col min="3" max="5" width="15.77734375" customWidth="1"/>
  </cols>
  <sheetData>
    <row r="1" spans="1:10" ht="15.75">
      <c r="A1" s="72" t="str">
        <f>(inputPrYr!D2)</f>
        <v>CITY OF BLUE RAPIDS</v>
      </c>
      <c r="B1" s="72"/>
      <c r="C1" s="21"/>
      <c r="D1" s="21"/>
      <c r="E1" s="141">
        <f>inputPrYr!$C$5</f>
        <v>2013</v>
      </c>
    </row>
    <row r="2" spans="1:10" ht="15.75">
      <c r="A2" s="21"/>
      <c r="B2" s="21"/>
      <c r="C2" s="21"/>
      <c r="D2" s="21"/>
      <c r="E2" s="24"/>
    </row>
    <row r="3" spans="1:10" ht="15.75">
      <c r="A3" s="90" t="s">
        <v>174</v>
      </c>
      <c r="B3" s="90"/>
      <c r="C3" s="175"/>
      <c r="D3" s="175"/>
      <c r="E3" s="176"/>
    </row>
    <row r="4" spans="1:10" ht="15.75">
      <c r="A4" s="25" t="s">
        <v>96</v>
      </c>
      <c r="B4" s="25"/>
      <c r="C4" s="93" t="s">
        <v>120</v>
      </c>
      <c r="D4" s="33" t="s">
        <v>256</v>
      </c>
      <c r="E4" s="33" t="s">
        <v>257</v>
      </c>
      <c r="F4" s="417"/>
      <c r="G4" s="417"/>
      <c r="H4" s="417"/>
      <c r="I4" s="417"/>
      <c r="J4" s="417"/>
    </row>
    <row r="5" spans="1:10" ht="15.75">
      <c r="A5" s="325" t="str">
        <f>(inputPrYr!B31)</f>
        <v>Spec. Law Enf. Trust Fund</v>
      </c>
      <c r="B5" s="135"/>
      <c r="C5" s="143">
        <f>E1-2</f>
        <v>2011</v>
      </c>
      <c r="D5" s="143">
        <f>E1-1</f>
        <v>2012</v>
      </c>
      <c r="E5" s="143">
        <f>inputPrYr!$C$5</f>
        <v>2013</v>
      </c>
      <c r="F5" s="417"/>
      <c r="G5" s="417"/>
      <c r="H5" s="417"/>
      <c r="I5" s="417"/>
      <c r="J5" s="417"/>
    </row>
    <row r="6" spans="1:10" ht="15.75">
      <c r="A6" s="37" t="s">
        <v>230</v>
      </c>
      <c r="B6" s="273"/>
      <c r="C6" s="277">
        <v>965</v>
      </c>
      <c r="D6" s="85">
        <f>C18</f>
        <v>515</v>
      </c>
      <c r="E6" s="85">
        <f>D18</f>
        <v>1115</v>
      </c>
      <c r="F6" s="372"/>
      <c r="G6" s="417"/>
      <c r="H6" s="417"/>
      <c r="I6" s="417"/>
      <c r="J6" s="417"/>
    </row>
    <row r="7" spans="1:10" ht="15.75">
      <c r="A7" s="272" t="s">
        <v>232</v>
      </c>
      <c r="B7" s="273"/>
      <c r="C7" s="269"/>
      <c r="D7" s="40"/>
      <c r="E7" s="40"/>
      <c r="F7" s="417"/>
      <c r="G7" s="417"/>
      <c r="H7" s="417"/>
      <c r="I7" s="417"/>
      <c r="J7" s="417"/>
    </row>
    <row r="8" spans="1:10" ht="15.75">
      <c r="A8" s="266" t="s">
        <v>46</v>
      </c>
      <c r="B8" s="274"/>
      <c r="C8" s="268">
        <v>0</v>
      </c>
      <c r="D8" s="14">
        <v>1200</v>
      </c>
      <c r="E8" s="14">
        <v>1200</v>
      </c>
      <c r="F8" s="417"/>
      <c r="G8" s="417"/>
      <c r="H8" s="417"/>
      <c r="I8" s="417"/>
      <c r="J8" s="417"/>
    </row>
    <row r="9" spans="1:10" ht="15.75">
      <c r="A9" s="285" t="s">
        <v>370</v>
      </c>
      <c r="B9" s="281"/>
      <c r="C9" s="268">
        <v>0</v>
      </c>
      <c r="D9" s="268">
        <v>0</v>
      </c>
      <c r="E9" s="268">
        <v>0</v>
      </c>
    </row>
    <row r="10" spans="1:10" ht="15.75">
      <c r="A10" s="275" t="s">
        <v>372</v>
      </c>
      <c r="B10" s="281"/>
      <c r="C10" s="310" t="str">
        <f>IF(C11*0.1&lt;C9,"Exceed 10% Rule","")</f>
        <v/>
      </c>
      <c r="D10" s="310" t="str">
        <f>IF(D11*0.1&lt;D9,"Exceed 10% Rule","")</f>
        <v/>
      </c>
      <c r="E10" s="310" t="str">
        <f>IF(E11*0.1&lt;E9,"Exceed 10% Rule","")</f>
        <v/>
      </c>
    </row>
    <row r="11" spans="1:10" ht="15.75">
      <c r="A11" s="144" t="s">
        <v>103</v>
      </c>
      <c r="B11" s="273"/>
      <c r="C11" s="271">
        <f>SUM(C8:C9)</f>
        <v>0</v>
      </c>
      <c r="D11" s="242">
        <f>SUM(D8:D9)</f>
        <v>1200</v>
      </c>
      <c r="E11" s="242">
        <f>SUM(E8:E9)</f>
        <v>1200</v>
      </c>
    </row>
    <row r="12" spans="1:10" ht="15.75">
      <c r="A12" s="144" t="s">
        <v>104</v>
      </c>
      <c r="B12" s="273"/>
      <c r="C12" s="278">
        <f>C6+C11</f>
        <v>965</v>
      </c>
      <c r="D12" s="245">
        <f>D6+D11</f>
        <v>1715</v>
      </c>
      <c r="E12" s="245">
        <f>E6+E11</f>
        <v>2315</v>
      </c>
    </row>
    <row r="13" spans="1:10" ht="15.75">
      <c r="A13" s="37" t="s">
        <v>106</v>
      </c>
      <c r="B13" s="273"/>
      <c r="C13" s="269"/>
      <c r="D13" s="40"/>
      <c r="E13" s="40"/>
    </row>
    <row r="14" spans="1:10" ht="15.75">
      <c r="A14" s="266" t="s">
        <v>26</v>
      </c>
      <c r="B14" s="274"/>
      <c r="C14" s="270">
        <v>450</v>
      </c>
      <c r="D14" s="14">
        <v>600</v>
      </c>
      <c r="E14" s="14">
        <v>2315</v>
      </c>
    </row>
    <row r="15" spans="1:10" ht="15.75">
      <c r="A15" s="283" t="s">
        <v>370</v>
      </c>
      <c r="B15" s="281"/>
      <c r="C15" s="268">
        <v>0</v>
      </c>
      <c r="D15" s="268">
        <v>0</v>
      </c>
      <c r="E15" s="268">
        <v>0</v>
      </c>
    </row>
    <row r="16" spans="1:10" ht="15.75">
      <c r="A16" s="283" t="s">
        <v>371</v>
      </c>
      <c r="B16" s="281"/>
      <c r="C16" s="310" t="str">
        <f>IF(C17*0.1&lt;C15,"Exceed 10% Rule","")</f>
        <v/>
      </c>
      <c r="D16" s="310" t="str">
        <f>IF(D17*0.1&lt;D15,"Exceed 10% Rule","")</f>
        <v/>
      </c>
      <c r="E16" s="310" t="str">
        <f>IF(E17*0.1&lt;E15,"Exceed 10% Rule","")</f>
        <v/>
      </c>
    </row>
    <row r="17" spans="1:15" ht="15.75">
      <c r="A17" s="144" t="s">
        <v>110</v>
      </c>
      <c r="B17" s="273"/>
      <c r="C17" s="271">
        <f>SUM(C14:C15)</f>
        <v>450</v>
      </c>
      <c r="D17" s="242">
        <f>SUM(D14:D15)</f>
        <v>600</v>
      </c>
      <c r="E17" s="242">
        <f>SUM(E14:E15)</f>
        <v>2315</v>
      </c>
    </row>
    <row r="18" spans="1:15" ht="15.75">
      <c r="A18" s="37" t="s">
        <v>231</v>
      </c>
      <c r="B18" s="273"/>
      <c r="C18" s="279">
        <f>C12-C17</f>
        <v>515</v>
      </c>
      <c r="D18" s="244">
        <f>D12-D17</f>
        <v>1115</v>
      </c>
      <c r="E18" s="244">
        <f>E12-E17</f>
        <v>0</v>
      </c>
    </row>
    <row r="19" spans="1:15" ht="15.75">
      <c r="A19" s="23" t="str">
        <f>CONCATENATE("",E1-2," Budget Authority Limited Amount:")</f>
        <v>2011 Budget Authority Limited Amount:</v>
      </c>
      <c r="B19" s="297">
        <f>inputOth!B66</f>
        <v>1200</v>
      </c>
      <c r="C19" s="147"/>
      <c r="D19" s="147"/>
      <c r="E19" s="147"/>
    </row>
    <row r="20" spans="1:15" ht="15.75">
      <c r="A20" s="23" t="str">
        <f>CONCATENATE("Violation of Budget Law for ",E1-2,":")</f>
        <v>Violation of Budget Law for 2011:</v>
      </c>
      <c r="B20" s="298" t="str">
        <f>IF(C17&gt;B19,"Yes","")</f>
        <v/>
      </c>
      <c r="C20" s="147"/>
      <c r="D20" s="147"/>
      <c r="E20" s="147"/>
    </row>
    <row r="21" spans="1:15" ht="15.75">
      <c r="A21" s="23" t="str">
        <f>CONCATENATE("Possible Cash Violation for ",E1-2,":")</f>
        <v>Possible Cash Violation for 2011:</v>
      </c>
      <c r="B21" s="298" t="str">
        <f>IF(C18&lt;0,"Yes","")</f>
        <v/>
      </c>
      <c r="C21" s="147"/>
      <c r="D21" s="147"/>
      <c r="E21" s="147"/>
    </row>
    <row r="22" spans="1:15" ht="15.75">
      <c r="A22" s="23"/>
      <c r="B22" s="24" t="s">
        <v>114</v>
      </c>
      <c r="C22" s="264">
        <v>12</v>
      </c>
      <c r="D22" s="147"/>
      <c r="E22" s="147"/>
    </row>
    <row r="23" spans="1:15" ht="15.75">
      <c r="A23" s="379"/>
      <c r="B23" s="380"/>
      <c r="C23" s="378"/>
      <c r="D23" s="378"/>
      <c r="E23" s="378"/>
      <c r="F23" s="378"/>
      <c r="G23" s="378"/>
      <c r="H23" s="378"/>
      <c r="I23" s="378"/>
      <c r="J23" s="378"/>
      <c r="K23" s="378"/>
      <c r="L23" s="378"/>
      <c r="M23" s="378"/>
      <c r="N23" s="378"/>
      <c r="O23" s="378"/>
    </row>
    <row r="24" spans="1:15" ht="15.75">
      <c r="A24" s="25" t="s">
        <v>96</v>
      </c>
      <c r="B24" s="25"/>
      <c r="C24" s="93" t="s">
        <v>120</v>
      </c>
      <c r="D24" s="33" t="s">
        <v>256</v>
      </c>
      <c r="E24" s="33" t="s">
        <v>257</v>
      </c>
    </row>
    <row r="25" spans="1:15" ht="15.75">
      <c r="A25" s="325" t="str">
        <f>(inputPrYr!B30)</f>
        <v>Housing Grant Fund</v>
      </c>
      <c r="B25" s="135"/>
      <c r="C25" s="143">
        <f>E1-2</f>
        <v>2011</v>
      </c>
      <c r="D25" s="143">
        <f>E1-1</f>
        <v>2012</v>
      </c>
      <c r="E25" s="143">
        <f>inputPrYr!$C$5</f>
        <v>2013</v>
      </c>
      <c r="G25" s="377" t="s">
        <v>504</v>
      </c>
      <c r="H25" s="377"/>
      <c r="I25" s="377"/>
      <c r="J25" s="377"/>
      <c r="K25" s="377"/>
      <c r="L25" s="377"/>
      <c r="M25" s="377"/>
      <c r="N25" s="377"/>
      <c r="O25" s="377"/>
    </row>
    <row r="26" spans="1:15" ht="15.75">
      <c r="A26" s="37" t="s">
        <v>230</v>
      </c>
      <c r="B26" s="273"/>
      <c r="C26" s="277">
        <v>0</v>
      </c>
      <c r="D26" s="85">
        <f>C41</f>
        <v>0</v>
      </c>
      <c r="E26" s="85">
        <f>D41</f>
        <v>0</v>
      </c>
      <c r="G26" s="377" t="s">
        <v>505</v>
      </c>
      <c r="H26" s="377"/>
      <c r="I26" s="377"/>
      <c r="J26" s="377"/>
      <c r="K26" s="377"/>
      <c r="L26" s="377"/>
      <c r="M26" s="377"/>
      <c r="N26" s="377"/>
      <c r="O26" s="377"/>
    </row>
    <row r="27" spans="1:15" ht="15.75">
      <c r="A27" s="272" t="s">
        <v>232</v>
      </c>
      <c r="B27" s="273"/>
      <c r="C27" s="269"/>
      <c r="D27" s="40"/>
      <c r="E27" s="40"/>
    </row>
    <row r="28" spans="1:15" ht="15.75">
      <c r="A28" s="266" t="s">
        <v>52</v>
      </c>
      <c r="B28" s="274"/>
      <c r="C28" s="268">
        <v>0</v>
      </c>
      <c r="D28" s="14">
        <v>0</v>
      </c>
      <c r="E28" s="14">
        <v>0</v>
      </c>
      <c r="F28" s="372" t="s">
        <v>503</v>
      </c>
    </row>
    <row r="29" spans="1:15" ht="15.75">
      <c r="A29" s="266" t="s">
        <v>53</v>
      </c>
      <c r="B29" s="274"/>
      <c r="C29" s="268">
        <v>0</v>
      </c>
      <c r="D29" s="14">
        <v>0</v>
      </c>
      <c r="E29" s="14">
        <v>0</v>
      </c>
      <c r="F29" s="372"/>
    </row>
    <row r="30" spans="1:15" ht="15.75">
      <c r="A30" s="267" t="s">
        <v>28</v>
      </c>
      <c r="B30" s="274"/>
      <c r="C30" s="268">
        <v>0</v>
      </c>
      <c r="D30" s="14">
        <v>0</v>
      </c>
      <c r="E30" s="14">
        <v>0</v>
      </c>
    </row>
    <row r="31" spans="1:15" ht="15.75">
      <c r="A31" s="285" t="s">
        <v>370</v>
      </c>
      <c r="B31" s="281"/>
      <c r="C31" s="268">
        <v>0</v>
      </c>
      <c r="D31" s="268">
        <v>0</v>
      </c>
      <c r="E31" s="268">
        <v>0</v>
      </c>
    </row>
    <row r="32" spans="1:15" ht="15.75">
      <c r="A32" s="275" t="s">
        <v>372</v>
      </c>
      <c r="B32" s="281"/>
      <c r="C32" s="310" t="str">
        <f>IF(C33*0.1&lt;C31,"Exceed 10% Rule","")</f>
        <v/>
      </c>
      <c r="D32" s="310" t="str">
        <f>IF(D33*0.1&lt;D31,"Exceed 10% Rule","")</f>
        <v/>
      </c>
      <c r="E32" s="310" t="str">
        <f>IF(E33*0.1&lt;E31,"Exceed 10% Rule","")</f>
        <v/>
      </c>
      <c r="G32" s="352" t="s">
        <v>468</v>
      </c>
      <c r="H32" s="353"/>
      <c r="I32" s="353"/>
      <c r="J32" s="353"/>
      <c r="K32" s="353"/>
      <c r="L32" s="353"/>
      <c r="M32" s="353"/>
    </row>
    <row r="33" spans="1:13" ht="15.75">
      <c r="A33" s="144" t="s">
        <v>103</v>
      </c>
      <c r="B33" s="273"/>
      <c r="C33" s="271">
        <f>SUM(C28:C31)</f>
        <v>0</v>
      </c>
      <c r="D33" s="242">
        <f>SUM(D28:D31)</f>
        <v>0</v>
      </c>
      <c r="E33" s="242">
        <f>SUM(E28:E31)</f>
        <v>0</v>
      </c>
      <c r="G33" s="353"/>
      <c r="H33" s="353"/>
      <c r="I33" s="353"/>
      <c r="J33" s="353"/>
      <c r="K33" s="353"/>
      <c r="L33" s="353"/>
      <c r="M33" s="353"/>
    </row>
    <row r="34" spans="1:13" ht="15.75">
      <c r="A34" s="144" t="s">
        <v>104</v>
      </c>
      <c r="B34" s="273"/>
      <c r="C34" s="278">
        <f>C26+C33</f>
        <v>0</v>
      </c>
      <c r="D34" s="245">
        <f>D26+D33</f>
        <v>0</v>
      </c>
      <c r="E34" s="245">
        <f>E26+E33</f>
        <v>0</v>
      </c>
      <c r="G34" s="352" t="s">
        <v>491</v>
      </c>
      <c r="H34" s="353"/>
      <c r="I34" s="353"/>
      <c r="J34" s="353"/>
      <c r="K34" s="353"/>
      <c r="L34" s="353"/>
      <c r="M34" s="353"/>
    </row>
    <row r="35" spans="1:13" ht="15.75">
      <c r="A35" s="37" t="s">
        <v>106</v>
      </c>
      <c r="B35" s="273"/>
      <c r="C35" s="269"/>
      <c r="D35" s="40"/>
      <c r="E35" s="40"/>
      <c r="G35" s="352" t="s">
        <v>492</v>
      </c>
      <c r="H35" s="353"/>
      <c r="I35" s="353"/>
      <c r="J35" s="353"/>
      <c r="K35" s="353"/>
      <c r="L35" s="353"/>
      <c r="M35" s="353"/>
    </row>
    <row r="36" spans="1:13" ht="15.75">
      <c r="A36" s="266" t="s">
        <v>54</v>
      </c>
      <c r="B36" s="274"/>
      <c r="C36" s="270">
        <v>0</v>
      </c>
      <c r="D36" s="14">
        <v>0</v>
      </c>
      <c r="E36" s="14">
        <v>0</v>
      </c>
      <c r="G36" s="353" t="s">
        <v>493</v>
      </c>
      <c r="H36" s="353"/>
      <c r="I36" s="353"/>
      <c r="J36" s="353"/>
      <c r="K36" s="353"/>
      <c r="L36" s="353"/>
      <c r="M36" s="353"/>
    </row>
    <row r="37" spans="1:13" ht="15.75">
      <c r="A37" s="266" t="s">
        <v>55</v>
      </c>
      <c r="B37" s="274"/>
      <c r="C37" s="270">
        <v>0</v>
      </c>
      <c r="D37" s="14">
        <v>0</v>
      </c>
      <c r="E37" s="14">
        <v>0</v>
      </c>
      <c r="G37" s="372" t="s">
        <v>494</v>
      </c>
      <c r="H37" s="372"/>
      <c r="I37" s="372"/>
      <c r="J37" s="372"/>
      <c r="K37" s="372"/>
      <c r="L37" s="372"/>
      <c r="M37" s="372"/>
    </row>
    <row r="38" spans="1:13" ht="15.75">
      <c r="A38" s="283" t="s">
        <v>370</v>
      </c>
      <c r="B38" s="281"/>
      <c r="C38" s="268">
        <v>0</v>
      </c>
      <c r="D38" s="268">
        <v>0</v>
      </c>
      <c r="E38" s="268">
        <v>0</v>
      </c>
      <c r="G38" s="372" t="s">
        <v>495</v>
      </c>
      <c r="H38" s="372"/>
      <c r="I38" s="372"/>
      <c r="J38" s="372"/>
      <c r="K38" s="372"/>
      <c r="L38" s="372"/>
      <c r="M38" s="372"/>
    </row>
    <row r="39" spans="1:13" ht="15.75">
      <c r="A39" s="283" t="s">
        <v>371</v>
      </c>
      <c r="B39" s="281"/>
      <c r="C39" s="310" t="str">
        <f>IF(C40*0.1&lt;C38,"Exceed 10% Rule","")</f>
        <v/>
      </c>
      <c r="D39" s="310" t="str">
        <f>IF(D40*0.1&lt;D38,"Exceed 10% Rule","")</f>
        <v/>
      </c>
      <c r="E39" s="310" t="str">
        <f>IF(E40*0.1&lt;E38,"Exceed 10% Rule","")</f>
        <v/>
      </c>
    </row>
    <row r="40" spans="1:13" ht="15.75">
      <c r="A40" s="144" t="s">
        <v>110</v>
      </c>
      <c r="B40" s="273"/>
      <c r="C40" s="271">
        <f>SUM(C36:C38)</f>
        <v>0</v>
      </c>
      <c r="D40" s="242">
        <f>SUM(D36:D38)</f>
        <v>0</v>
      </c>
      <c r="E40" s="242">
        <f>SUM(E36:E38)</f>
        <v>0</v>
      </c>
    </row>
    <row r="41" spans="1:13" ht="15.75">
      <c r="A41" s="37" t="s">
        <v>231</v>
      </c>
      <c r="B41" s="273"/>
      <c r="C41" s="279">
        <f>C34-C40</f>
        <v>0</v>
      </c>
      <c r="D41" s="244">
        <f>D34-D40</f>
        <v>0</v>
      </c>
      <c r="E41" s="244">
        <f>E34-E40</f>
        <v>0</v>
      </c>
    </row>
    <row r="42" spans="1:13" ht="15.75">
      <c r="A42" s="23" t="str">
        <f>CONCATENATE("",E1-2," Budget Authority Limited Amount:")</f>
        <v>2011 Budget Authority Limited Amount:</v>
      </c>
      <c r="B42" s="297">
        <f>inputOth!B67</f>
        <v>0</v>
      </c>
      <c r="C42" s="147"/>
      <c r="D42" s="147"/>
      <c r="E42" s="147"/>
    </row>
    <row r="43" spans="1:13" ht="15.75">
      <c r="A43" s="23" t="str">
        <f>CONCATENATE("Violation of Budget Law for ",E1-2,":")</f>
        <v>Violation of Budget Law for 2011:</v>
      </c>
      <c r="B43" s="298" t="str">
        <f>IF(C40&gt;B42,"Yes","")</f>
        <v/>
      </c>
      <c r="C43" s="334"/>
      <c r="D43" s="147"/>
      <c r="E43" s="147"/>
    </row>
    <row r="44" spans="1:13" ht="15.75">
      <c r="A44" s="23" t="str">
        <f>CONCATENATE("Possible Cash Violation for ",E1-2,":")</f>
        <v>Possible Cash Violation for 2011:</v>
      </c>
      <c r="B44" s="298" t="str">
        <f>IF(C41&lt;0,"Yes","")</f>
        <v/>
      </c>
      <c r="C44" s="334"/>
      <c r="D44" s="147"/>
      <c r="E44" s="147"/>
    </row>
    <row r="45" spans="1:13" ht="15.75">
      <c r="A45" s="23"/>
      <c r="B45" s="298"/>
      <c r="C45" s="147"/>
      <c r="D45" s="147"/>
      <c r="E45" s="147"/>
    </row>
    <row r="46" spans="1:13" ht="15.75">
      <c r="A46" s="23"/>
      <c r="B46" s="298"/>
      <c r="C46" s="147"/>
      <c r="D46" s="147"/>
      <c r="E46" s="147"/>
    </row>
    <row r="47" spans="1:13" ht="15.75">
      <c r="A47" s="23"/>
      <c r="B47" s="298"/>
      <c r="C47" s="147"/>
      <c r="D47" s="147"/>
      <c r="E47" s="147"/>
    </row>
    <row r="48" spans="1:13">
      <c r="A48" s="147"/>
      <c r="B48" s="147"/>
      <c r="C48" s="147"/>
      <c r="D48" s="147"/>
      <c r="E48" s="147"/>
    </row>
    <row r="49" spans="1:5" ht="15.75">
      <c r="A49" s="24"/>
      <c r="B49" s="24" t="s">
        <v>114</v>
      </c>
      <c r="C49" s="264">
        <v>12</v>
      </c>
      <c r="D49" s="147"/>
      <c r="E49" s="147"/>
    </row>
  </sheetData>
  <phoneticPr fontId="11" type="noConversion"/>
  <conditionalFormatting sqref="C15">
    <cfRule type="cellIs" dxfId="29" priority="7" stopIfTrue="1" operator="greaterThan">
      <formula>$C$17*0.1</formula>
    </cfRule>
  </conditionalFormatting>
  <conditionalFormatting sqref="D15">
    <cfRule type="cellIs" dxfId="28" priority="8" stopIfTrue="1" operator="greaterThan">
      <formula>$D$17*0.1</formula>
    </cfRule>
  </conditionalFormatting>
  <conditionalFormatting sqref="E15">
    <cfRule type="cellIs" dxfId="27" priority="9" stopIfTrue="1" operator="greaterThan">
      <formula>$E$17*0.1</formula>
    </cfRule>
  </conditionalFormatting>
  <conditionalFormatting sqref="C9">
    <cfRule type="cellIs" dxfId="26" priority="10" stopIfTrue="1" operator="greaterThan">
      <formula>$C$11*0.1</formula>
    </cfRule>
  </conditionalFormatting>
  <conditionalFormatting sqref="D9">
    <cfRule type="cellIs" dxfId="25" priority="11" stopIfTrue="1" operator="greaterThan">
      <formula>$D$11*0.1</formula>
    </cfRule>
  </conditionalFormatting>
  <conditionalFormatting sqref="E9">
    <cfRule type="cellIs" dxfId="24" priority="12" stopIfTrue="1" operator="greaterThan">
      <formula>$E$11*0.1</formula>
    </cfRule>
  </conditionalFormatting>
  <conditionalFormatting sqref="C38">
    <cfRule type="cellIs" dxfId="23" priority="6" stopIfTrue="1" operator="greaterThan">
      <formula>$C$17*0.1</formula>
    </cfRule>
  </conditionalFormatting>
  <conditionalFormatting sqref="D38">
    <cfRule type="cellIs" dxfId="22" priority="5" stopIfTrue="1" operator="greaterThan">
      <formula>$D$17*0.1</formula>
    </cfRule>
  </conditionalFormatting>
  <conditionalFormatting sqref="E38">
    <cfRule type="cellIs" dxfId="21" priority="4" stopIfTrue="1" operator="greaterThan">
      <formula>$E$17*0.1</formula>
    </cfRule>
  </conditionalFormatting>
  <conditionalFormatting sqref="C31">
    <cfRule type="cellIs" dxfId="20" priority="3" stopIfTrue="1" operator="greaterThan">
      <formula>$C$11*0.1</formula>
    </cfRule>
  </conditionalFormatting>
  <conditionalFormatting sqref="D31">
    <cfRule type="cellIs" dxfId="19" priority="2" stopIfTrue="1" operator="greaterThan">
      <formula>$D$11*0.1</formula>
    </cfRule>
  </conditionalFormatting>
  <conditionalFormatting sqref="E31">
    <cfRule type="cellIs" dxfId="18" priority="1" stopIfTrue="1" operator="greaterThan">
      <formula>$E$11*0.1</formula>
    </cfRule>
  </conditionalFormatting>
  <pageMargins left="0.75" right="0.75" top="1" bottom="1" header="0.5" footer="0.5"/>
  <pageSetup scale="88" orientation="portrait" blackAndWhite="1" r:id="rId1"/>
  <headerFooter alignWithMargins="0">
    <oddHeader>&amp;RState of Kansas
City</oddHeader>
    <oddFooter>&amp;Lrevised 8/06/07</oddFooter>
  </headerFooter>
</worksheet>
</file>

<file path=xl/worksheets/sheet17.xml><?xml version="1.0" encoding="utf-8"?>
<worksheet xmlns="http://schemas.openxmlformats.org/spreadsheetml/2006/main" xmlns:r="http://schemas.openxmlformats.org/officeDocument/2006/relationships">
  <sheetPr>
    <tabColor theme="7" tint="0.39997558519241921"/>
    <pageSetUpPr fitToPage="1"/>
  </sheetPr>
  <dimension ref="A1:M48"/>
  <sheetViews>
    <sheetView zoomScaleNormal="100" workbookViewId="0">
      <selection activeCell="I13" sqref="I13"/>
    </sheetView>
  </sheetViews>
  <sheetFormatPr defaultRowHeight="15"/>
  <cols>
    <col min="1" max="1" width="27.5546875" customWidth="1"/>
    <col min="2" max="2" width="9.5546875" customWidth="1"/>
    <col min="3" max="5" width="15.77734375" customWidth="1"/>
  </cols>
  <sheetData>
    <row r="1" spans="1:13" ht="15.75">
      <c r="A1" s="72" t="str">
        <f>(inputPrYr!D2)</f>
        <v>CITY OF BLUE RAPIDS</v>
      </c>
      <c r="B1" s="72"/>
      <c r="C1" s="21"/>
      <c r="D1" s="21"/>
      <c r="E1" s="141">
        <f>inputPrYr!$C$5</f>
        <v>2013</v>
      </c>
    </row>
    <row r="2" spans="1:13" ht="15.75">
      <c r="A2" s="21"/>
      <c r="B2" s="21"/>
      <c r="C2" s="21"/>
      <c r="D2" s="21"/>
      <c r="E2" s="24"/>
    </row>
    <row r="3" spans="1:13" ht="15.75">
      <c r="A3" s="90" t="s">
        <v>174</v>
      </c>
      <c r="B3" s="90"/>
      <c r="C3" s="175"/>
      <c r="D3" s="175"/>
      <c r="E3" s="176"/>
    </row>
    <row r="4" spans="1:13" ht="15.75">
      <c r="A4" s="25" t="s">
        <v>96</v>
      </c>
      <c r="B4" s="25"/>
      <c r="C4" s="93" t="s">
        <v>120</v>
      </c>
      <c r="D4" s="33" t="s">
        <v>256</v>
      </c>
      <c r="E4" s="33" t="s">
        <v>257</v>
      </c>
      <c r="F4" s="417"/>
      <c r="G4" s="417"/>
      <c r="H4" s="417"/>
      <c r="I4" s="417"/>
      <c r="J4" s="417"/>
      <c r="K4" s="417"/>
      <c r="L4" s="417"/>
      <c r="M4" s="417"/>
    </row>
    <row r="5" spans="1:13" ht="15.75">
      <c r="A5" s="325" t="str">
        <f>inputPrYr!B33</f>
        <v>Water Storage Grant Fund</v>
      </c>
      <c r="B5" s="135"/>
      <c r="C5" s="143">
        <f>E1-2</f>
        <v>2011</v>
      </c>
      <c r="D5" s="143">
        <f>E1-1</f>
        <v>2012</v>
      </c>
      <c r="E5" s="143">
        <f>inputPrYr!$C$5</f>
        <v>2013</v>
      </c>
      <c r="F5" s="417"/>
      <c r="G5" s="417"/>
      <c r="H5" s="417"/>
      <c r="I5" s="417"/>
      <c r="J5" s="417"/>
      <c r="K5" s="417"/>
      <c r="L5" s="417"/>
      <c r="M5" s="417"/>
    </row>
    <row r="6" spans="1:13" ht="15.75">
      <c r="A6" s="37" t="s">
        <v>230</v>
      </c>
      <c r="B6" s="273"/>
      <c r="C6" s="277">
        <v>-104258</v>
      </c>
      <c r="D6" s="85">
        <f>C21</f>
        <v>0</v>
      </c>
      <c r="E6" s="85">
        <f>D21</f>
        <v>0</v>
      </c>
      <c r="F6" s="372"/>
      <c r="G6" s="417"/>
      <c r="H6" s="417"/>
      <c r="I6" s="417"/>
      <c r="J6" s="417"/>
      <c r="K6" s="417"/>
      <c r="L6" s="417"/>
      <c r="M6" s="417"/>
    </row>
    <row r="7" spans="1:13" ht="15.75">
      <c r="A7" s="272" t="s">
        <v>232</v>
      </c>
      <c r="B7" s="273"/>
      <c r="C7" s="269"/>
      <c r="D7" s="40"/>
      <c r="E7" s="40"/>
      <c r="F7" s="417"/>
      <c r="G7" s="417"/>
      <c r="H7" s="417"/>
      <c r="I7" s="417"/>
      <c r="J7" s="417"/>
      <c r="K7" s="417"/>
      <c r="L7" s="417"/>
      <c r="M7" s="417"/>
    </row>
    <row r="8" spans="1:13" ht="15.75">
      <c r="A8" s="266" t="s">
        <v>454</v>
      </c>
      <c r="B8" s="274"/>
      <c r="C8" s="268">
        <v>57943</v>
      </c>
      <c r="D8" s="14">
        <v>0</v>
      </c>
      <c r="E8" s="14">
        <v>0</v>
      </c>
      <c r="F8" s="418"/>
      <c r="G8" s="417"/>
      <c r="H8" s="417"/>
      <c r="I8" s="417"/>
      <c r="J8" s="417"/>
      <c r="K8" s="417"/>
      <c r="L8" s="417"/>
      <c r="M8" s="417"/>
    </row>
    <row r="9" spans="1:13" ht="15.75">
      <c r="A9" s="266" t="s">
        <v>455</v>
      </c>
      <c r="B9" s="274"/>
      <c r="C9" s="268">
        <v>69983</v>
      </c>
      <c r="D9" s="14">
        <v>0</v>
      </c>
      <c r="E9" s="14">
        <v>0</v>
      </c>
      <c r="F9" s="417"/>
      <c r="G9" s="419"/>
      <c r="H9" s="417"/>
      <c r="I9" s="417"/>
      <c r="J9" s="417"/>
      <c r="K9" s="417"/>
      <c r="L9" s="417"/>
      <c r="M9" s="417"/>
    </row>
    <row r="10" spans="1:13" ht="15.75">
      <c r="A10" s="285" t="s">
        <v>370</v>
      </c>
      <c r="B10" s="281"/>
      <c r="C10" s="268">
        <v>0</v>
      </c>
      <c r="D10" s="268">
        <v>0</v>
      </c>
      <c r="E10" s="268">
        <v>0</v>
      </c>
      <c r="F10" s="417"/>
      <c r="G10" s="417"/>
      <c r="H10" s="417"/>
      <c r="I10" s="417"/>
      <c r="J10" s="417"/>
      <c r="K10" s="417"/>
      <c r="L10" s="417"/>
      <c r="M10" s="417"/>
    </row>
    <row r="11" spans="1:13" ht="15.75">
      <c r="A11" s="275" t="s">
        <v>372</v>
      </c>
      <c r="B11" s="281"/>
      <c r="C11" s="310" t="str">
        <f>IF(C12*0.1&lt;C10,"Exceed 10% Rule","")</f>
        <v/>
      </c>
      <c r="D11" s="310" t="str">
        <f>IF(D12*0.1&lt;D10,"Exceed 10% Rule","")</f>
        <v/>
      </c>
      <c r="E11" s="310" t="str">
        <f>IF(E12*0.1&lt;E10,"Exceed 10% Rule","")</f>
        <v/>
      </c>
      <c r="F11" s="417"/>
      <c r="G11" s="417"/>
      <c r="H11" s="417"/>
      <c r="I11" s="417"/>
      <c r="J11" s="417"/>
      <c r="K11" s="417"/>
      <c r="L11" s="417"/>
      <c r="M11" s="417"/>
    </row>
    <row r="12" spans="1:13" ht="15.75">
      <c r="A12" s="144" t="s">
        <v>103</v>
      </c>
      <c r="B12" s="273"/>
      <c r="C12" s="271">
        <f>SUM(C8:C10)</f>
        <v>127926</v>
      </c>
      <c r="D12" s="242">
        <f>SUM(D8:D10)</f>
        <v>0</v>
      </c>
      <c r="E12" s="242">
        <f>SUM(E8:E10)</f>
        <v>0</v>
      </c>
      <c r="F12" s="417"/>
      <c r="G12" s="417"/>
      <c r="H12" s="417"/>
      <c r="I12" s="417"/>
      <c r="J12" s="417"/>
      <c r="K12" s="417"/>
      <c r="L12" s="417"/>
      <c r="M12" s="417"/>
    </row>
    <row r="13" spans="1:13" ht="15.75">
      <c r="A13" s="144" t="s">
        <v>104</v>
      </c>
      <c r="B13" s="273"/>
      <c r="C13" s="278">
        <f>C6+C12</f>
        <v>23668</v>
      </c>
      <c r="D13" s="245">
        <f>D6+D12</f>
        <v>0</v>
      </c>
      <c r="E13" s="245">
        <f>E6+E12</f>
        <v>0</v>
      </c>
      <c r="F13" s="417"/>
      <c r="G13" s="417"/>
      <c r="H13" s="417"/>
      <c r="I13" s="417"/>
      <c r="J13" s="417"/>
      <c r="K13" s="417"/>
      <c r="L13" s="417"/>
      <c r="M13" s="417"/>
    </row>
    <row r="14" spans="1:13" ht="15.75">
      <c r="A14" s="37" t="s">
        <v>106</v>
      </c>
      <c r="B14" s="273"/>
      <c r="C14" s="269"/>
      <c r="D14" s="40"/>
      <c r="E14" s="40"/>
      <c r="F14" s="417"/>
      <c r="G14" s="417"/>
      <c r="H14" s="417"/>
      <c r="I14" s="417"/>
      <c r="J14" s="417"/>
      <c r="K14" s="417"/>
      <c r="L14" s="417"/>
      <c r="M14" s="417"/>
    </row>
    <row r="15" spans="1:13" ht="15.75">
      <c r="A15" s="266" t="s">
        <v>483</v>
      </c>
      <c r="B15" s="274"/>
      <c r="C15" s="270">
        <v>18543</v>
      </c>
      <c r="D15" s="14">
        <v>0</v>
      </c>
      <c r="E15" s="14">
        <v>0</v>
      </c>
      <c r="F15" s="417"/>
      <c r="G15" s="417"/>
      <c r="H15" s="417"/>
      <c r="I15" s="417"/>
      <c r="J15" s="417"/>
      <c r="K15" s="417"/>
      <c r="L15" s="417"/>
      <c r="M15" s="417"/>
    </row>
    <row r="16" spans="1:13" ht="15.75">
      <c r="A16" s="266" t="s">
        <v>484</v>
      </c>
      <c r="B16" s="274"/>
      <c r="C16" s="270">
        <v>5100</v>
      </c>
      <c r="D16" s="14">
        <v>0</v>
      </c>
      <c r="E16" s="14">
        <v>0</v>
      </c>
      <c r="F16" s="417"/>
      <c r="G16" s="417"/>
      <c r="H16" s="417"/>
      <c r="I16" s="417"/>
      <c r="J16" s="417"/>
      <c r="K16" s="417"/>
      <c r="L16" s="417"/>
      <c r="M16" s="417"/>
    </row>
    <row r="17" spans="1:13" ht="15.75">
      <c r="A17" s="266" t="s">
        <v>502</v>
      </c>
      <c r="B17" s="274"/>
      <c r="C17" s="268">
        <v>25</v>
      </c>
      <c r="D17" s="14">
        <v>0</v>
      </c>
      <c r="E17" s="14">
        <v>0</v>
      </c>
      <c r="F17" s="417"/>
      <c r="G17" s="417"/>
      <c r="H17" s="417"/>
      <c r="I17" s="417"/>
      <c r="J17" s="417"/>
      <c r="K17" s="417"/>
      <c r="L17" s="417"/>
      <c r="M17" s="417"/>
    </row>
    <row r="18" spans="1:13" ht="15.75">
      <c r="A18" s="283" t="s">
        <v>370</v>
      </c>
      <c r="B18" s="281"/>
      <c r="C18" s="268">
        <v>0</v>
      </c>
      <c r="D18" s="268">
        <v>0</v>
      </c>
      <c r="E18" s="268">
        <v>0</v>
      </c>
      <c r="F18" s="417"/>
      <c r="G18" s="417"/>
      <c r="H18" s="417"/>
      <c r="I18" s="417"/>
      <c r="J18" s="417"/>
      <c r="K18" s="417"/>
      <c r="L18" s="417"/>
      <c r="M18" s="417"/>
    </row>
    <row r="19" spans="1:13" ht="15.75">
      <c r="A19" s="283" t="s">
        <v>371</v>
      </c>
      <c r="B19" s="281"/>
      <c r="C19" s="310" t="str">
        <f>IF(C20*0.1&lt;C18,"Exceed 10% Rule","")</f>
        <v/>
      </c>
      <c r="D19" s="310" t="str">
        <f>IF(D20*0.1&lt;D18,"Exceed 10% Rule","")</f>
        <v/>
      </c>
      <c r="E19" s="310" t="str">
        <f>IF(E20*0.1&lt;E18,"Exceed 10% Rule","")</f>
        <v/>
      </c>
      <c r="F19" s="417"/>
      <c r="G19" s="417"/>
      <c r="H19" s="417"/>
      <c r="I19" s="417"/>
      <c r="J19" s="417"/>
      <c r="K19" s="417"/>
      <c r="L19" s="417"/>
      <c r="M19" s="417"/>
    </row>
    <row r="20" spans="1:13" ht="15.75">
      <c r="A20" s="144" t="s">
        <v>110</v>
      </c>
      <c r="B20" s="273"/>
      <c r="C20" s="271">
        <f>SUM(C15:C18)</f>
        <v>23668</v>
      </c>
      <c r="D20" s="242">
        <f>SUM(D15:D18)</f>
        <v>0</v>
      </c>
      <c r="E20" s="242">
        <f>SUM(E15:E18)</f>
        <v>0</v>
      </c>
      <c r="F20" s="417"/>
      <c r="G20" s="417"/>
      <c r="H20" s="417"/>
      <c r="I20" s="417"/>
      <c r="J20" s="417"/>
      <c r="K20" s="417"/>
      <c r="L20" s="417"/>
      <c r="M20" s="417"/>
    </row>
    <row r="21" spans="1:13" ht="15.75">
      <c r="A21" s="37" t="s">
        <v>231</v>
      </c>
      <c r="B21" s="273"/>
      <c r="C21" s="279">
        <f>C13-C20</f>
        <v>0</v>
      </c>
      <c r="D21" s="244">
        <f>D13-D20</f>
        <v>0</v>
      </c>
      <c r="E21" s="244">
        <f>E13-E20</f>
        <v>0</v>
      </c>
      <c r="F21" s="417"/>
      <c r="G21" s="417"/>
      <c r="H21" s="417"/>
      <c r="I21" s="417"/>
      <c r="J21" s="417"/>
      <c r="K21" s="417"/>
      <c r="L21" s="417"/>
      <c r="M21" s="417"/>
    </row>
    <row r="22" spans="1:13" ht="15.75">
      <c r="A22" s="23" t="str">
        <f>CONCATENATE("",E1-2," Budget Authority Limited Amount:")</f>
        <v>2011 Budget Authority Limited Amount:</v>
      </c>
      <c r="B22" s="297">
        <f>inputOth!B68</f>
        <v>0</v>
      </c>
      <c r="C22" s="147"/>
      <c r="D22" s="147"/>
      <c r="E22" s="147"/>
      <c r="F22" s="417"/>
      <c r="G22" s="417"/>
      <c r="H22" s="417"/>
      <c r="I22" s="417"/>
      <c r="J22" s="417"/>
      <c r="K22" s="417"/>
      <c r="L22" s="417"/>
      <c r="M22" s="417"/>
    </row>
    <row r="23" spans="1:13" ht="15.75">
      <c r="A23" s="23" t="str">
        <f>CONCATENATE("Violation of Budget Law for ",E1-2,":")</f>
        <v>Violation of Budget Law for 2011:</v>
      </c>
      <c r="B23" s="298" t="str">
        <f>IF(C20&gt;B22,"Yes","")</f>
        <v>Yes</v>
      </c>
      <c r="C23" s="334" t="s">
        <v>58</v>
      </c>
      <c r="D23" s="147"/>
      <c r="E23" s="147"/>
      <c r="F23" s="417"/>
      <c r="G23" s="417"/>
      <c r="H23" s="417"/>
      <c r="I23" s="417"/>
      <c r="J23" s="417"/>
      <c r="K23" s="417"/>
      <c r="L23" s="417"/>
      <c r="M23" s="417"/>
    </row>
    <row r="24" spans="1:13" ht="15.75">
      <c r="A24" s="23" t="str">
        <f>CONCATENATE("Possible Cash Violation for ",E1-2,":")</f>
        <v>Possible Cash Violation for 2011:</v>
      </c>
      <c r="B24" s="298" t="str">
        <f>IF(C21&lt;0,"Yes","")</f>
        <v/>
      </c>
      <c r="C24" s="334" t="s">
        <v>59</v>
      </c>
      <c r="D24" s="147"/>
      <c r="E24" s="147"/>
      <c r="F24" s="417"/>
      <c r="G24" s="417"/>
      <c r="H24" s="417"/>
      <c r="I24" s="417"/>
      <c r="J24" s="417"/>
      <c r="K24" s="417"/>
      <c r="L24" s="417"/>
      <c r="M24" s="417"/>
    </row>
    <row r="25" spans="1:13" ht="15.75">
      <c r="A25" s="261"/>
      <c r="B25" s="343"/>
      <c r="C25" s="344"/>
      <c r="D25" s="344"/>
      <c r="E25" s="344"/>
      <c r="F25" s="363"/>
      <c r="G25" s="363"/>
      <c r="H25" s="363"/>
      <c r="I25" s="363"/>
      <c r="J25" s="363"/>
      <c r="K25" s="363"/>
      <c r="L25" s="363"/>
      <c r="M25" s="417"/>
    </row>
    <row r="26" spans="1:13" ht="15.75">
      <c r="A26" s="128"/>
      <c r="B26" s="128"/>
      <c r="C26" s="346"/>
      <c r="D26" s="347"/>
      <c r="E26" s="347"/>
      <c r="F26" s="363"/>
      <c r="G26" s="363"/>
      <c r="H26" s="363"/>
      <c r="I26" s="363"/>
      <c r="J26" s="363"/>
      <c r="K26" s="363"/>
      <c r="L26" s="363"/>
      <c r="M26" s="417"/>
    </row>
    <row r="27" spans="1:13" ht="15.75">
      <c r="A27" s="25" t="s">
        <v>96</v>
      </c>
      <c r="B27" s="25"/>
      <c r="C27" s="93" t="s">
        <v>120</v>
      </c>
      <c r="D27" s="33" t="s">
        <v>256</v>
      </c>
      <c r="E27" s="33" t="s">
        <v>257</v>
      </c>
      <c r="F27" s="417"/>
      <c r="G27" s="417"/>
      <c r="H27" s="417"/>
      <c r="I27" s="363"/>
      <c r="J27" s="363"/>
      <c r="K27" s="363"/>
      <c r="L27" s="363"/>
      <c r="M27" s="417"/>
    </row>
    <row r="28" spans="1:13" ht="15.75">
      <c r="A28" s="325" t="str">
        <f>inputPrYr!B34</f>
        <v>Storm Sewer Capital Project Fund</v>
      </c>
      <c r="B28" s="135"/>
      <c r="C28" s="143">
        <f>E1-2</f>
        <v>2011</v>
      </c>
      <c r="D28" s="143">
        <f>E1-1</f>
        <v>2012</v>
      </c>
      <c r="E28" s="143">
        <f>inputPrYr!$C$5</f>
        <v>2013</v>
      </c>
      <c r="F28" s="417"/>
      <c r="G28" s="417"/>
      <c r="H28" s="417"/>
      <c r="I28" s="363"/>
      <c r="J28" s="363"/>
      <c r="K28" s="363"/>
      <c r="L28" s="363"/>
      <c r="M28" s="417"/>
    </row>
    <row r="29" spans="1:13" ht="15.75">
      <c r="A29" s="37" t="s">
        <v>230</v>
      </c>
      <c r="B29" s="273"/>
      <c r="C29" s="277">
        <v>-102455</v>
      </c>
      <c r="D29" s="85">
        <f>C43</f>
        <v>0</v>
      </c>
      <c r="E29" s="85">
        <f>D43</f>
        <v>0</v>
      </c>
      <c r="F29" s="372"/>
      <c r="G29" s="417"/>
      <c r="H29" s="417"/>
      <c r="I29" s="363"/>
      <c r="J29" s="363"/>
      <c r="K29" s="363"/>
      <c r="L29" s="363"/>
      <c r="M29" s="417"/>
    </row>
    <row r="30" spans="1:13" ht="15.75">
      <c r="A30" s="272" t="s">
        <v>232</v>
      </c>
      <c r="B30" s="273"/>
      <c r="C30" s="269"/>
      <c r="D30" s="40"/>
      <c r="E30" s="40"/>
      <c r="F30" s="417"/>
      <c r="G30" s="417"/>
      <c r="H30" s="417"/>
      <c r="I30" s="363"/>
      <c r="J30" s="363"/>
      <c r="K30" s="363"/>
      <c r="L30" s="363"/>
      <c r="M30" s="417"/>
    </row>
    <row r="31" spans="1:13" ht="15.75">
      <c r="A31" s="266" t="s">
        <v>465</v>
      </c>
      <c r="B31" s="274"/>
      <c r="C31" s="268">
        <v>196000</v>
      </c>
      <c r="D31" s="14">
        <v>0</v>
      </c>
      <c r="E31" s="14">
        <v>0</v>
      </c>
      <c r="F31" s="418"/>
      <c r="G31" s="417"/>
      <c r="H31" s="417"/>
      <c r="I31" s="363"/>
      <c r="J31" s="363"/>
      <c r="K31" s="363"/>
      <c r="L31" s="363"/>
      <c r="M31" s="417"/>
    </row>
    <row r="32" spans="1:13" ht="15.75">
      <c r="A32" s="285" t="s">
        <v>370</v>
      </c>
      <c r="B32" s="281"/>
      <c r="C32" s="268">
        <v>0</v>
      </c>
      <c r="D32" s="268">
        <v>0</v>
      </c>
      <c r="E32" s="268">
        <v>0</v>
      </c>
      <c r="F32" s="417"/>
      <c r="G32" s="417"/>
      <c r="H32" s="417"/>
      <c r="I32" s="363"/>
      <c r="J32" s="363"/>
      <c r="K32" s="363"/>
      <c r="L32" s="363"/>
      <c r="M32" s="417"/>
    </row>
    <row r="33" spans="1:13" ht="15.75">
      <c r="A33" s="275" t="s">
        <v>372</v>
      </c>
      <c r="B33" s="281"/>
      <c r="C33" s="310" t="str">
        <f>IF(C34*0.1&lt;C32,"Exceed 10% Rule","")</f>
        <v/>
      </c>
      <c r="D33" s="310" t="str">
        <f>IF(D34*0.1&lt;D32,"Exceed 10% Rule","")</f>
        <v/>
      </c>
      <c r="E33" s="310" t="str">
        <f>IF(E34*0.1&lt;E32,"Exceed 10% Rule","")</f>
        <v/>
      </c>
      <c r="F33" s="417"/>
      <c r="G33" s="417"/>
      <c r="H33" s="417"/>
      <c r="I33" s="363"/>
      <c r="J33" s="363"/>
      <c r="K33" s="363"/>
      <c r="L33" s="363"/>
      <c r="M33" s="417"/>
    </row>
    <row r="34" spans="1:13" ht="15.75">
      <c r="A34" s="144" t="s">
        <v>103</v>
      </c>
      <c r="B34" s="273"/>
      <c r="C34" s="271">
        <f>SUM(C31:C32)</f>
        <v>196000</v>
      </c>
      <c r="D34" s="242">
        <f>SUM(D31:D32)</f>
        <v>0</v>
      </c>
      <c r="E34" s="242">
        <f>SUM(E31:E32)</f>
        <v>0</v>
      </c>
      <c r="F34" s="417"/>
      <c r="G34" s="417"/>
      <c r="H34" s="417"/>
      <c r="I34" s="363"/>
      <c r="J34" s="363"/>
      <c r="K34" s="363"/>
      <c r="L34" s="363"/>
      <c r="M34" s="417"/>
    </row>
    <row r="35" spans="1:13" ht="15.75">
      <c r="A35" s="144" t="s">
        <v>104</v>
      </c>
      <c r="B35" s="273"/>
      <c r="C35" s="278">
        <f>C29+C34</f>
        <v>93545</v>
      </c>
      <c r="D35" s="245">
        <f>D29+D34</f>
        <v>0</v>
      </c>
      <c r="E35" s="245">
        <f>E29+E34</f>
        <v>0</v>
      </c>
      <c r="F35" s="417"/>
      <c r="G35" s="417"/>
      <c r="H35" s="417"/>
      <c r="I35" s="363"/>
      <c r="J35" s="363"/>
      <c r="K35" s="363"/>
      <c r="L35" s="363"/>
      <c r="M35" s="417"/>
    </row>
    <row r="36" spans="1:13" ht="15.75">
      <c r="A36" s="37" t="s">
        <v>106</v>
      </c>
      <c r="B36" s="273"/>
      <c r="C36" s="269"/>
      <c r="D36" s="40"/>
      <c r="E36" s="40"/>
      <c r="F36" s="417"/>
      <c r="G36" s="417"/>
      <c r="H36" s="417"/>
      <c r="I36" s="363"/>
      <c r="J36" s="363"/>
      <c r="K36" s="363"/>
      <c r="L36" s="363"/>
      <c r="M36" s="417"/>
    </row>
    <row r="37" spans="1:13" ht="15.75">
      <c r="A37" s="266" t="s">
        <v>499</v>
      </c>
      <c r="B37" s="274"/>
      <c r="C37" s="270">
        <v>37189</v>
      </c>
      <c r="D37" s="14">
        <v>0</v>
      </c>
      <c r="E37" s="14">
        <v>0</v>
      </c>
      <c r="F37" s="417"/>
      <c r="G37" s="417"/>
      <c r="H37" s="417"/>
      <c r="I37" s="363"/>
      <c r="J37" s="363"/>
      <c r="K37" s="363"/>
      <c r="L37" s="363"/>
      <c r="M37" s="417"/>
    </row>
    <row r="38" spans="1:13" ht="15.75">
      <c r="A38" s="266" t="s">
        <v>500</v>
      </c>
      <c r="B38" s="274"/>
      <c r="C38" s="270">
        <v>29501</v>
      </c>
      <c r="D38" s="14">
        <v>0</v>
      </c>
      <c r="E38" s="14">
        <v>0</v>
      </c>
      <c r="F38" s="417"/>
      <c r="G38" s="417"/>
      <c r="H38" s="417"/>
      <c r="I38" s="363"/>
      <c r="J38" s="363"/>
      <c r="K38" s="363"/>
      <c r="L38" s="363"/>
      <c r="M38" s="417"/>
    </row>
    <row r="39" spans="1:13" ht="15.75">
      <c r="A39" s="266" t="s">
        <v>466</v>
      </c>
      <c r="B39" s="274"/>
      <c r="C39" s="268">
        <v>26855</v>
      </c>
      <c r="D39" s="14">
        <v>0</v>
      </c>
      <c r="E39" s="14">
        <v>0</v>
      </c>
      <c r="F39" s="417"/>
      <c r="G39" s="417"/>
      <c r="H39" s="417"/>
      <c r="I39" s="363"/>
      <c r="J39" s="363"/>
      <c r="K39" s="363"/>
      <c r="L39" s="363"/>
      <c r="M39" s="417"/>
    </row>
    <row r="40" spans="1:13" ht="15.75">
      <c r="A40" s="283" t="s">
        <v>370</v>
      </c>
      <c r="B40" s="281"/>
      <c r="C40" s="268">
        <v>0</v>
      </c>
      <c r="D40" s="268">
        <v>0</v>
      </c>
      <c r="E40" s="268">
        <v>0</v>
      </c>
      <c r="F40" s="417"/>
      <c r="G40" s="417"/>
      <c r="H40" s="417"/>
      <c r="I40" s="363"/>
      <c r="J40" s="363"/>
      <c r="K40" s="363"/>
      <c r="L40" s="363"/>
      <c r="M40" s="417"/>
    </row>
    <row r="41" spans="1:13" ht="15.75">
      <c r="A41" s="283" t="s">
        <v>371</v>
      </c>
      <c r="B41" s="281"/>
      <c r="C41" s="310" t="str">
        <f>IF(C42*0.1&lt;C40,"Exceed 10% Rule","")</f>
        <v/>
      </c>
      <c r="D41" s="310" t="str">
        <f>IF(D42*0.1&lt;D40,"Exceed 10% Rule","")</f>
        <v/>
      </c>
      <c r="E41" s="310" t="str">
        <f>IF(E42*0.1&lt;E40,"Exceed 10% Rule","")</f>
        <v/>
      </c>
      <c r="F41" s="417"/>
      <c r="G41" s="417"/>
      <c r="H41" s="417"/>
      <c r="I41" s="363"/>
      <c r="J41" s="363"/>
      <c r="K41" s="363"/>
      <c r="L41" s="363"/>
      <c r="M41" s="417"/>
    </row>
    <row r="42" spans="1:13" ht="15.75">
      <c r="A42" s="144" t="s">
        <v>110</v>
      </c>
      <c r="B42" s="273"/>
      <c r="C42" s="271">
        <f>SUM(C37:C40)</f>
        <v>93545</v>
      </c>
      <c r="D42" s="242">
        <f>SUM(D37:D40)</f>
        <v>0</v>
      </c>
      <c r="E42" s="242">
        <f>SUM(E37:E40)</f>
        <v>0</v>
      </c>
      <c r="F42" s="417"/>
      <c r="G42" s="417"/>
      <c r="H42" s="417"/>
      <c r="I42" s="363"/>
      <c r="J42" s="363"/>
      <c r="K42" s="363"/>
      <c r="L42" s="363"/>
      <c r="M42" s="417"/>
    </row>
    <row r="43" spans="1:13" ht="15.75">
      <c r="A43" s="37" t="s">
        <v>231</v>
      </c>
      <c r="B43" s="273"/>
      <c r="C43" s="279">
        <f>C35-C42</f>
        <v>0</v>
      </c>
      <c r="D43" s="244">
        <f>D35-D42</f>
        <v>0</v>
      </c>
      <c r="E43" s="244">
        <f>E35-E42</f>
        <v>0</v>
      </c>
      <c r="F43" s="417"/>
      <c r="G43" s="417"/>
      <c r="H43" s="417"/>
      <c r="I43" s="363"/>
      <c r="J43" s="363"/>
      <c r="K43" s="363"/>
      <c r="L43" s="363"/>
      <c r="M43" s="417"/>
    </row>
    <row r="44" spans="1:13" ht="15.75">
      <c r="A44" s="23" t="str">
        <f>CONCATENATE("",E1-2," Budget Authority Limited Amount:")</f>
        <v>2011 Budget Authority Limited Amount:</v>
      </c>
      <c r="B44" s="297">
        <f>inputOth!B69</f>
        <v>0</v>
      </c>
      <c r="C44" s="147"/>
      <c r="D44" s="147"/>
      <c r="E44" s="147"/>
      <c r="F44" s="417"/>
      <c r="G44" s="417"/>
      <c r="H44" s="417"/>
      <c r="I44" s="363"/>
      <c r="J44" s="363"/>
      <c r="K44" s="363"/>
      <c r="L44" s="363"/>
      <c r="M44" s="417"/>
    </row>
    <row r="45" spans="1:13" ht="15.75">
      <c r="A45" s="23" t="str">
        <f>CONCATENATE("Violation of Budget Law for ",E1-2,":")</f>
        <v>Violation of Budget Law for 2011:</v>
      </c>
      <c r="B45" s="298" t="str">
        <f>IF(C42&gt;B44,"Yes","")</f>
        <v>Yes</v>
      </c>
      <c r="C45" s="334" t="s">
        <v>58</v>
      </c>
      <c r="D45" s="147"/>
      <c r="E45" s="147"/>
      <c r="I45" s="345"/>
      <c r="J45" s="345"/>
      <c r="K45" s="345"/>
      <c r="L45" s="345"/>
    </row>
    <row r="46" spans="1:13" ht="15.75">
      <c r="A46" s="23" t="str">
        <f>CONCATENATE("Possible Cash Violation for ",E1-2,":")</f>
        <v>Possible Cash Violation for 2011:</v>
      </c>
      <c r="B46" s="298" t="str">
        <f>IF(C43&lt;0,"Yes","")</f>
        <v/>
      </c>
      <c r="C46" s="334" t="s">
        <v>59</v>
      </c>
      <c r="D46" s="147"/>
      <c r="E46" s="147"/>
      <c r="I46" s="345"/>
      <c r="J46" s="345"/>
      <c r="K46" s="345"/>
      <c r="L46" s="345"/>
    </row>
    <row r="47" spans="1:13">
      <c r="A47" s="147"/>
      <c r="B47" s="147"/>
      <c r="C47" s="147"/>
      <c r="D47" s="147"/>
      <c r="E47" s="147"/>
    </row>
    <row r="48" spans="1:13" ht="15.75">
      <c r="A48" s="24"/>
      <c r="B48" s="24" t="s">
        <v>114</v>
      </c>
      <c r="C48" s="264">
        <v>13</v>
      </c>
      <c r="D48" s="147"/>
      <c r="E48" s="147"/>
    </row>
  </sheetData>
  <conditionalFormatting sqref="C44 C40 C18">
    <cfRule type="cellIs" dxfId="17" priority="18" stopIfTrue="1" operator="greaterThan">
      <formula>$C$20*0.1</formula>
    </cfRule>
  </conditionalFormatting>
  <conditionalFormatting sqref="D44 D40 D18">
    <cfRule type="cellIs" dxfId="16" priority="17" stopIfTrue="1" operator="greaterThan">
      <formula>$D$20*0.1</formula>
    </cfRule>
  </conditionalFormatting>
  <conditionalFormatting sqref="E44 E40 E18">
    <cfRule type="cellIs" dxfId="15" priority="16" stopIfTrue="1" operator="greaterThan">
      <formula>$E$20*0.1</formula>
    </cfRule>
  </conditionalFormatting>
  <conditionalFormatting sqref="C36 C32 C10">
    <cfRule type="cellIs" dxfId="14" priority="15" stopIfTrue="1" operator="greaterThan">
      <formula>$C$12*0.1</formula>
    </cfRule>
  </conditionalFormatting>
  <conditionalFormatting sqref="D36 D32 D10">
    <cfRule type="cellIs" dxfId="13" priority="14" stopIfTrue="1" operator="greaterThan">
      <formula>$D$12*0.1</formula>
    </cfRule>
  </conditionalFormatting>
  <conditionalFormatting sqref="E36 E32 E10">
    <cfRule type="cellIs" dxfId="12" priority="13" stopIfTrue="1" operator="greaterThan">
      <formula>$E$12*0.1</formula>
    </cfRule>
  </conditionalFormatting>
  <pageMargins left="0.75" right="0.75" top="1" bottom="1" header="0.5" footer="0.5"/>
  <pageSetup scale="87" orientation="portrait" blackAndWhite="1" r:id="rId1"/>
  <headerFooter alignWithMargins="0">
    <oddHeader>&amp;RState of Kansas
City</oddHeader>
    <oddFooter>&amp;Lrevised 8/06/07</oddFooter>
  </headerFooter>
</worksheet>
</file>

<file path=xl/worksheets/sheet18.xml><?xml version="1.0" encoding="utf-8"?>
<worksheet xmlns="http://schemas.openxmlformats.org/spreadsheetml/2006/main" xmlns:r="http://schemas.openxmlformats.org/officeDocument/2006/relationships">
  <sheetPr>
    <tabColor theme="7" tint="0.39997558519241921"/>
    <pageSetUpPr fitToPage="1"/>
  </sheetPr>
  <dimension ref="A1:N50"/>
  <sheetViews>
    <sheetView zoomScaleNormal="100" workbookViewId="0">
      <selection activeCell="B10" sqref="B10"/>
    </sheetView>
  </sheetViews>
  <sheetFormatPr defaultRowHeight="15"/>
  <cols>
    <col min="1" max="1" width="27.5546875" customWidth="1"/>
    <col min="2" max="2" width="9.5546875" customWidth="1"/>
    <col min="3" max="5" width="15.77734375" customWidth="1"/>
  </cols>
  <sheetData>
    <row r="1" spans="1:14" ht="15.75">
      <c r="A1" s="72" t="str">
        <f>(inputPrYr!D2)</f>
        <v>CITY OF BLUE RAPIDS</v>
      </c>
      <c r="B1" s="72"/>
      <c r="C1" s="21"/>
      <c r="D1" s="21"/>
      <c r="E1" s="141">
        <f>inputPrYr!$C$5</f>
        <v>2013</v>
      </c>
    </row>
    <row r="2" spans="1:14" ht="15.75">
      <c r="A2" s="21"/>
      <c r="B2" s="21"/>
      <c r="C2" s="21"/>
      <c r="D2" s="21"/>
      <c r="E2" s="24"/>
    </row>
    <row r="3" spans="1:14" ht="15.75">
      <c r="A3" s="90" t="s">
        <v>174</v>
      </c>
      <c r="B3" s="90"/>
      <c r="C3" s="175"/>
      <c r="D3" s="175"/>
      <c r="E3" s="176"/>
    </row>
    <row r="4" spans="1:14" ht="15.75">
      <c r="A4" s="25" t="s">
        <v>96</v>
      </c>
      <c r="B4" s="25"/>
      <c r="C4" s="93" t="s">
        <v>120</v>
      </c>
      <c r="D4" s="33" t="s">
        <v>256</v>
      </c>
      <c r="E4" s="33" t="s">
        <v>257</v>
      </c>
    </row>
    <row r="5" spans="1:14" ht="15.75">
      <c r="A5" s="325" t="str">
        <f>inputPrYr!B35</f>
        <v>Pool Improvement Fund</v>
      </c>
      <c r="B5" s="135"/>
      <c r="C5" s="143">
        <f>E1-2</f>
        <v>2011</v>
      </c>
      <c r="D5" s="143">
        <f>E1-1</f>
        <v>2012</v>
      </c>
      <c r="E5" s="143">
        <f>inputPrYr!$C$5</f>
        <v>2013</v>
      </c>
      <c r="F5" s="417"/>
      <c r="G5" s="417"/>
      <c r="H5" s="417"/>
      <c r="I5" s="417"/>
      <c r="J5" s="417"/>
      <c r="K5" s="417"/>
      <c r="L5" s="417"/>
      <c r="M5" s="417"/>
      <c r="N5" s="417"/>
    </row>
    <row r="6" spans="1:14" ht="15.75">
      <c r="A6" s="37" t="s">
        <v>230</v>
      </c>
      <c r="B6" s="273"/>
      <c r="C6" s="277">
        <v>0</v>
      </c>
      <c r="D6" s="85">
        <f>C19</f>
        <v>9501</v>
      </c>
      <c r="E6" s="85">
        <f>D19</f>
        <v>12601</v>
      </c>
      <c r="F6" s="372"/>
      <c r="G6" s="417"/>
      <c r="H6" s="417"/>
      <c r="I6" s="417"/>
      <c r="J6" s="417"/>
      <c r="K6" s="417"/>
      <c r="L6" s="417"/>
      <c r="M6" s="417"/>
      <c r="N6" s="417"/>
    </row>
    <row r="7" spans="1:14" ht="15.75">
      <c r="A7" s="272" t="s">
        <v>232</v>
      </c>
      <c r="B7" s="273"/>
      <c r="C7" s="269"/>
      <c r="D7" s="40"/>
      <c r="E7" s="40"/>
      <c r="F7" s="417"/>
      <c r="G7" s="417"/>
      <c r="H7" s="417"/>
      <c r="I7" s="417"/>
      <c r="J7" s="417"/>
      <c r="K7" s="417"/>
      <c r="L7" s="417"/>
      <c r="M7" s="417"/>
      <c r="N7" s="417"/>
    </row>
    <row r="8" spans="1:14" ht="15.75">
      <c r="A8" s="266" t="s">
        <v>480</v>
      </c>
      <c r="B8" s="274"/>
      <c r="C8" s="268">
        <v>9501</v>
      </c>
      <c r="D8" s="14">
        <v>0</v>
      </c>
      <c r="E8" s="14">
        <v>0</v>
      </c>
      <c r="F8" s="417"/>
      <c r="G8" s="417"/>
      <c r="H8" s="417"/>
      <c r="I8" s="417"/>
      <c r="J8" s="417"/>
      <c r="K8" s="417"/>
      <c r="L8" s="417"/>
      <c r="M8" s="417"/>
      <c r="N8" s="417"/>
    </row>
    <row r="9" spans="1:14" ht="15.75">
      <c r="A9" s="266" t="s">
        <v>49</v>
      </c>
      <c r="B9" s="274"/>
      <c r="C9" s="268">
        <v>0</v>
      </c>
      <c r="D9" s="268">
        <v>3100</v>
      </c>
      <c r="E9" s="268">
        <v>3200</v>
      </c>
      <c r="F9" s="417"/>
      <c r="G9" s="417"/>
      <c r="H9" s="417"/>
      <c r="I9" s="417"/>
      <c r="J9" s="417"/>
      <c r="K9" s="417"/>
      <c r="L9" s="417"/>
      <c r="M9" s="417"/>
      <c r="N9" s="417"/>
    </row>
    <row r="10" spans="1:14" ht="15.75">
      <c r="A10" s="285" t="s">
        <v>370</v>
      </c>
      <c r="B10" s="281"/>
      <c r="C10" s="268">
        <v>0</v>
      </c>
      <c r="D10" s="268">
        <v>0</v>
      </c>
      <c r="E10" s="268">
        <v>0</v>
      </c>
      <c r="F10" s="417"/>
      <c r="G10" s="417"/>
      <c r="H10" s="417"/>
      <c r="I10" s="417"/>
      <c r="J10" s="417"/>
      <c r="K10" s="417"/>
      <c r="L10" s="417"/>
      <c r="M10" s="417"/>
      <c r="N10" s="417"/>
    </row>
    <row r="11" spans="1:14" ht="15.75">
      <c r="A11" s="275" t="s">
        <v>372</v>
      </c>
      <c r="B11" s="281"/>
      <c r="C11" s="310" t="str">
        <f>IF(C12*0.1&lt;C10,"Exceed 10% Rule","")</f>
        <v/>
      </c>
      <c r="D11" s="310" t="str">
        <f>IF(D12*0.1&lt;D10,"Exceed 10% Rule","")</f>
        <v/>
      </c>
      <c r="E11" s="310" t="str">
        <f>IF(E12*0.1&lt;E10,"Exceed 10% Rule","")</f>
        <v/>
      </c>
      <c r="F11" s="417"/>
      <c r="G11" s="417"/>
      <c r="H11" s="417"/>
      <c r="I11" s="417"/>
      <c r="J11" s="417"/>
      <c r="K11" s="417"/>
      <c r="L11" s="417"/>
      <c r="M11" s="417"/>
      <c r="N11" s="417"/>
    </row>
    <row r="12" spans="1:14" ht="15.75">
      <c r="A12" s="144" t="s">
        <v>103</v>
      </c>
      <c r="B12" s="273"/>
      <c r="C12" s="271">
        <f>SUM(C8:C10)</f>
        <v>9501</v>
      </c>
      <c r="D12" s="242">
        <f>SUM(D8:D10)</f>
        <v>3100</v>
      </c>
      <c r="E12" s="242">
        <f>SUM(E8:E10)</f>
        <v>3200</v>
      </c>
      <c r="F12" s="417"/>
      <c r="G12" s="417"/>
      <c r="H12" s="417"/>
      <c r="I12" s="417"/>
      <c r="J12" s="417"/>
      <c r="K12" s="417"/>
      <c r="L12" s="417"/>
      <c r="M12" s="417"/>
      <c r="N12" s="417"/>
    </row>
    <row r="13" spans="1:14" ht="15.75">
      <c r="A13" s="144" t="s">
        <v>104</v>
      </c>
      <c r="B13" s="273"/>
      <c r="C13" s="278">
        <f>C6+C12</f>
        <v>9501</v>
      </c>
      <c r="D13" s="245">
        <f>D6+D12</f>
        <v>12601</v>
      </c>
      <c r="E13" s="245">
        <f>E6+E12</f>
        <v>15801</v>
      </c>
      <c r="F13" s="417"/>
      <c r="G13" s="417"/>
      <c r="H13" s="417"/>
      <c r="I13" s="417"/>
      <c r="J13" s="417"/>
      <c r="K13" s="417"/>
      <c r="L13" s="417"/>
      <c r="M13" s="417"/>
      <c r="N13" s="417"/>
    </row>
    <row r="14" spans="1:14" ht="15.75">
      <c r="A14" s="37" t="s">
        <v>106</v>
      </c>
      <c r="B14" s="273"/>
      <c r="C14" s="269"/>
      <c r="D14" s="40"/>
      <c r="E14" s="40"/>
      <c r="F14" s="417"/>
      <c r="G14" s="417"/>
      <c r="H14" s="417"/>
      <c r="I14" s="417"/>
      <c r="J14" s="417"/>
      <c r="K14" s="417"/>
      <c r="L14" s="417"/>
      <c r="M14" s="417"/>
      <c r="N14" s="417"/>
    </row>
    <row r="15" spans="1:14" ht="15.75">
      <c r="A15" s="266" t="s">
        <v>26</v>
      </c>
      <c r="B15" s="274"/>
      <c r="C15" s="270">
        <v>0</v>
      </c>
      <c r="D15" s="14">
        <v>0</v>
      </c>
      <c r="E15" s="14">
        <v>15801</v>
      </c>
      <c r="F15" s="417"/>
      <c r="G15" s="417"/>
      <c r="H15" s="417"/>
      <c r="I15" s="417"/>
      <c r="J15" s="417"/>
      <c r="K15" s="417"/>
      <c r="L15" s="417"/>
      <c r="M15" s="417"/>
      <c r="N15" s="417"/>
    </row>
    <row r="16" spans="1:14" ht="15.75">
      <c r="A16" s="283" t="s">
        <v>370</v>
      </c>
      <c r="B16" s="281"/>
      <c r="C16" s="268">
        <v>0</v>
      </c>
      <c r="D16" s="268">
        <v>0</v>
      </c>
      <c r="E16" s="268">
        <v>0</v>
      </c>
      <c r="F16" s="417"/>
      <c r="G16" s="417"/>
      <c r="H16" s="417"/>
      <c r="I16" s="417"/>
      <c r="J16" s="417"/>
      <c r="K16" s="417"/>
      <c r="L16" s="417"/>
      <c r="M16" s="417"/>
      <c r="N16" s="417"/>
    </row>
    <row r="17" spans="1:14" ht="15.75">
      <c r="A17" s="283" t="s">
        <v>371</v>
      </c>
      <c r="B17" s="281"/>
      <c r="C17" s="310" t="str">
        <f>IF(C18*0.1&lt;C16,"Exceed 10% Rule","")</f>
        <v/>
      </c>
      <c r="D17" s="310" t="str">
        <f>IF(D18*0.1&lt;D16,"Exceed 10% Rule","")</f>
        <v/>
      </c>
      <c r="E17" s="310" t="str">
        <f>IF(E18*0.1&lt;E16,"Exceed 10% Rule","")</f>
        <v/>
      </c>
      <c r="F17" s="417"/>
      <c r="G17" s="417"/>
      <c r="H17" s="417"/>
      <c r="I17" s="417"/>
      <c r="J17" s="417"/>
      <c r="K17" s="417"/>
      <c r="L17" s="417"/>
      <c r="M17" s="417"/>
      <c r="N17" s="417"/>
    </row>
    <row r="18" spans="1:14" ht="15.75">
      <c r="A18" s="144" t="s">
        <v>110</v>
      </c>
      <c r="B18" s="273"/>
      <c r="C18" s="271">
        <f>SUM(C15:C16)</f>
        <v>0</v>
      </c>
      <c r="D18" s="242">
        <f>SUM(D15:D16)</f>
        <v>0</v>
      </c>
      <c r="E18" s="242">
        <f>SUM(E15:E16)</f>
        <v>15801</v>
      </c>
      <c r="F18" s="417"/>
      <c r="G18" s="417"/>
      <c r="H18" s="417"/>
      <c r="I18" s="417"/>
      <c r="J18" s="417"/>
      <c r="K18" s="417"/>
      <c r="L18" s="417"/>
      <c r="M18" s="417"/>
      <c r="N18" s="417"/>
    </row>
    <row r="19" spans="1:14" ht="15.75">
      <c r="A19" s="37" t="s">
        <v>231</v>
      </c>
      <c r="B19" s="273"/>
      <c r="C19" s="279">
        <f>C13-C18</f>
        <v>9501</v>
      </c>
      <c r="D19" s="244">
        <f>D13-D18</f>
        <v>12601</v>
      </c>
      <c r="E19" s="244">
        <f>E13-E18</f>
        <v>0</v>
      </c>
      <c r="F19" s="417"/>
      <c r="G19" s="417"/>
      <c r="H19" s="417"/>
      <c r="I19" s="417"/>
      <c r="J19" s="417"/>
      <c r="K19" s="417"/>
      <c r="L19" s="417"/>
      <c r="M19" s="417"/>
      <c r="N19" s="417"/>
    </row>
    <row r="20" spans="1:14" ht="15.75">
      <c r="A20" s="23" t="str">
        <f>CONCATENATE("",E1-2," Budget Authority Limited Amount:")</f>
        <v>2011 Budget Authority Limited Amount:</v>
      </c>
      <c r="B20" s="297">
        <f>inputOth!B69</f>
        <v>0</v>
      </c>
      <c r="C20" s="147"/>
      <c r="D20" s="147"/>
      <c r="E20" s="147"/>
      <c r="F20" s="417"/>
      <c r="G20" s="417"/>
      <c r="H20" s="417"/>
      <c r="I20" s="417"/>
      <c r="J20" s="417"/>
      <c r="K20" s="417"/>
      <c r="L20" s="417"/>
      <c r="M20" s="417"/>
      <c r="N20" s="417"/>
    </row>
    <row r="21" spans="1:14" ht="15.75">
      <c r="A21" s="23" t="str">
        <f>CONCATENATE("Violation of Budget Law for ",E1-2,":")</f>
        <v>Violation of Budget Law for 2011:</v>
      </c>
      <c r="B21" s="298" t="str">
        <f>IF(C18&gt;B20,"Yes","")</f>
        <v/>
      </c>
      <c r="C21" s="334"/>
      <c r="D21" s="147"/>
      <c r="E21" s="147"/>
      <c r="F21" s="417"/>
      <c r="G21" s="417"/>
      <c r="H21" s="417"/>
      <c r="I21" s="417"/>
      <c r="J21" s="417"/>
      <c r="K21" s="417"/>
      <c r="L21" s="417"/>
      <c r="M21" s="417"/>
      <c r="N21" s="417"/>
    </row>
    <row r="22" spans="1:14" ht="15.75">
      <c r="A22" s="23" t="str">
        <f>CONCATENATE("Possible Cash Violation for ",E1-2,":")</f>
        <v>Possible Cash Violation for 2011:</v>
      </c>
      <c r="B22" s="298" t="str">
        <f>IF(C19&lt;0,"Yes","")</f>
        <v/>
      </c>
      <c r="C22" s="334"/>
      <c r="D22" s="147"/>
      <c r="E22" s="147"/>
      <c r="F22" s="417"/>
      <c r="G22" s="417"/>
      <c r="H22" s="417"/>
      <c r="I22" s="417"/>
      <c r="J22" s="417"/>
      <c r="K22" s="417"/>
      <c r="L22" s="417"/>
      <c r="M22" s="417"/>
      <c r="N22" s="417"/>
    </row>
    <row r="23" spans="1:14" ht="15.75">
      <c r="A23" s="261"/>
      <c r="B23" s="343"/>
      <c r="C23" s="344"/>
      <c r="D23" s="344"/>
      <c r="E23" s="344"/>
      <c r="F23" s="363"/>
      <c r="G23" s="363"/>
      <c r="H23" s="363"/>
      <c r="I23" s="363"/>
      <c r="J23" s="363"/>
      <c r="K23" s="363"/>
      <c r="L23" s="363"/>
      <c r="M23" s="417"/>
      <c r="N23" s="417"/>
    </row>
    <row r="24" spans="1:14" ht="15.75">
      <c r="A24" s="360"/>
      <c r="B24" s="360"/>
      <c r="C24" s="361"/>
      <c r="D24" s="362"/>
      <c r="E24" s="362"/>
      <c r="F24" s="363"/>
      <c r="G24" s="363"/>
      <c r="H24" s="363"/>
      <c r="I24" s="363"/>
      <c r="J24" s="363"/>
      <c r="K24" s="363"/>
      <c r="L24" s="363"/>
      <c r="M24" s="417"/>
      <c r="N24" s="417"/>
    </row>
    <row r="25" spans="1:14" ht="15.75">
      <c r="A25" s="25" t="s">
        <v>96</v>
      </c>
      <c r="B25" s="25"/>
      <c r="C25" s="93" t="s">
        <v>120</v>
      </c>
      <c r="D25" s="33" t="s">
        <v>256</v>
      </c>
      <c r="E25" s="33" t="s">
        <v>257</v>
      </c>
      <c r="F25" s="363"/>
      <c r="G25" s="363"/>
      <c r="H25" s="363"/>
      <c r="I25" s="363"/>
      <c r="J25" s="363"/>
      <c r="K25" s="363"/>
      <c r="L25" s="363"/>
      <c r="M25" s="417"/>
      <c r="N25" s="417"/>
    </row>
    <row r="26" spans="1:14" ht="15.75">
      <c r="A26" s="325" t="str">
        <f>inputPrYr!B36</f>
        <v>Storm Sewer Capital Project 2012 Fund</v>
      </c>
      <c r="B26" s="135"/>
      <c r="C26" s="143">
        <f>E1-2</f>
        <v>2011</v>
      </c>
      <c r="D26" s="143">
        <f>E1-1</f>
        <v>2012</v>
      </c>
      <c r="E26" s="143">
        <f>inputPrYr!$C$5</f>
        <v>2013</v>
      </c>
      <c r="F26" s="363"/>
      <c r="G26" s="363"/>
      <c r="H26" s="363"/>
      <c r="I26" s="363"/>
      <c r="J26" s="363"/>
      <c r="K26" s="363"/>
      <c r="L26" s="363"/>
      <c r="M26" s="417"/>
      <c r="N26" s="417"/>
    </row>
    <row r="27" spans="1:14" ht="15.75">
      <c r="A27" s="37" t="s">
        <v>230</v>
      </c>
      <c r="B27" s="273"/>
      <c r="C27" s="277">
        <v>0</v>
      </c>
      <c r="D27" s="85">
        <f>C41</f>
        <v>-2000</v>
      </c>
      <c r="E27" s="85">
        <f>D41</f>
        <v>0</v>
      </c>
      <c r="F27" s="364"/>
      <c r="G27" s="363"/>
      <c r="H27" s="363"/>
      <c r="I27" s="363"/>
      <c r="J27" s="363"/>
      <c r="K27" s="363"/>
      <c r="L27" s="363"/>
      <c r="M27" s="417"/>
      <c r="N27" s="417"/>
    </row>
    <row r="28" spans="1:14" ht="15.75">
      <c r="A28" s="272" t="s">
        <v>232</v>
      </c>
      <c r="B28" s="273"/>
      <c r="C28" s="269"/>
      <c r="D28" s="40"/>
      <c r="E28" s="40"/>
      <c r="F28" s="364"/>
      <c r="G28" s="363"/>
      <c r="H28" s="363"/>
      <c r="I28" s="363"/>
      <c r="J28" s="363"/>
      <c r="K28" s="363"/>
      <c r="L28" s="363"/>
      <c r="M28" s="417"/>
      <c r="N28" s="417"/>
    </row>
    <row r="29" spans="1:14" ht="15.75">
      <c r="A29" s="266" t="s">
        <v>508</v>
      </c>
      <c r="B29" s="274"/>
      <c r="C29" s="268">
        <v>0</v>
      </c>
      <c r="D29" s="268">
        <v>140000</v>
      </c>
      <c r="E29" s="268">
        <v>0</v>
      </c>
      <c r="F29" s="364"/>
      <c r="G29" s="363"/>
      <c r="H29" s="363"/>
      <c r="I29" s="363"/>
      <c r="J29" s="363"/>
      <c r="K29" s="363"/>
      <c r="L29" s="363"/>
      <c r="M29" s="417"/>
      <c r="N29" s="417"/>
    </row>
    <row r="30" spans="1:14" ht="15.75">
      <c r="A30" s="266" t="s">
        <v>465</v>
      </c>
      <c r="B30" s="274"/>
      <c r="C30" s="268">
        <v>0</v>
      </c>
      <c r="D30" s="268">
        <v>50660</v>
      </c>
      <c r="E30" s="268">
        <v>0</v>
      </c>
      <c r="F30" s="364"/>
      <c r="G30" s="363"/>
      <c r="H30" s="363"/>
      <c r="I30" s="363"/>
      <c r="J30" s="363"/>
      <c r="K30" s="363"/>
      <c r="L30" s="363"/>
      <c r="M30" s="417"/>
      <c r="N30" s="417"/>
    </row>
    <row r="31" spans="1:14" ht="15.75">
      <c r="A31" s="266" t="s">
        <v>512</v>
      </c>
      <c r="B31" s="274"/>
      <c r="C31" s="268">
        <v>0</v>
      </c>
      <c r="D31" s="268">
        <v>75000</v>
      </c>
      <c r="E31" s="268">
        <v>0</v>
      </c>
      <c r="F31" s="364"/>
      <c r="G31" s="363"/>
      <c r="H31" s="363"/>
      <c r="I31" s="363"/>
      <c r="J31" s="363"/>
      <c r="K31" s="363"/>
      <c r="L31" s="363"/>
      <c r="M31" s="417"/>
      <c r="N31" s="417"/>
    </row>
    <row r="32" spans="1:14" ht="15.75">
      <c r="A32" s="285" t="s">
        <v>370</v>
      </c>
      <c r="B32" s="281"/>
      <c r="C32" s="268">
        <v>0</v>
      </c>
      <c r="D32" s="268">
        <v>0</v>
      </c>
      <c r="E32" s="268">
        <v>0</v>
      </c>
      <c r="F32" s="417"/>
      <c r="G32" s="363"/>
      <c r="H32" s="363"/>
      <c r="I32" s="363"/>
      <c r="J32" s="363"/>
      <c r="K32" s="363"/>
      <c r="L32" s="363"/>
      <c r="M32" s="417"/>
      <c r="N32" s="417"/>
    </row>
    <row r="33" spans="1:14" ht="15.75">
      <c r="A33" s="275" t="s">
        <v>372</v>
      </c>
      <c r="B33" s="281"/>
      <c r="C33" s="310" t="str">
        <f>IF(C34*0.1&lt;C32,"Exceed 10% Rule","")</f>
        <v/>
      </c>
      <c r="D33" s="310" t="str">
        <f>IF(D34*0.1&lt;D32,"Exceed 10% Rule","")</f>
        <v/>
      </c>
      <c r="E33" s="310" t="str">
        <f>IF(E34*0.1&lt;E32,"Exceed 10% Rule","")</f>
        <v/>
      </c>
      <c r="F33" s="417"/>
      <c r="G33" s="363"/>
      <c r="H33" s="363"/>
      <c r="I33" s="363"/>
      <c r="J33" s="363"/>
      <c r="K33" s="363"/>
      <c r="L33" s="363"/>
      <c r="M33" s="417"/>
      <c r="N33" s="417"/>
    </row>
    <row r="34" spans="1:14" ht="15.75">
      <c r="A34" s="144" t="s">
        <v>103</v>
      </c>
      <c r="B34" s="273"/>
      <c r="C34" s="271">
        <f>SUM(C29:C32)</f>
        <v>0</v>
      </c>
      <c r="D34" s="242">
        <f>SUM(D29:D32)</f>
        <v>265660</v>
      </c>
      <c r="E34" s="242">
        <f>SUM(E29:E32)</f>
        <v>0</v>
      </c>
      <c r="F34" s="363"/>
      <c r="G34" s="363"/>
      <c r="H34" s="363"/>
      <c r="I34" s="363"/>
      <c r="J34" s="363"/>
      <c r="K34" s="363"/>
      <c r="L34" s="363"/>
      <c r="M34" s="417"/>
      <c r="N34" s="417"/>
    </row>
    <row r="35" spans="1:14" ht="15.75">
      <c r="A35" s="144" t="s">
        <v>104</v>
      </c>
      <c r="B35" s="273"/>
      <c r="C35" s="278">
        <f>C27+C34</f>
        <v>0</v>
      </c>
      <c r="D35" s="245">
        <f>D27+D34</f>
        <v>263660</v>
      </c>
      <c r="E35" s="245">
        <f>E27+E34</f>
        <v>0</v>
      </c>
      <c r="F35" s="363"/>
      <c r="G35" s="363"/>
      <c r="H35" s="363"/>
      <c r="I35" s="363"/>
      <c r="J35" s="363"/>
      <c r="K35" s="363"/>
      <c r="L35" s="363"/>
      <c r="M35" s="417"/>
      <c r="N35" s="417"/>
    </row>
    <row r="36" spans="1:14" ht="15.75">
      <c r="A36" s="37" t="s">
        <v>106</v>
      </c>
      <c r="B36" s="273"/>
      <c r="C36" s="269"/>
      <c r="D36" s="40"/>
      <c r="E36" s="40"/>
      <c r="F36" s="363"/>
      <c r="G36" s="363"/>
      <c r="H36" s="363"/>
      <c r="I36" s="363"/>
      <c r="J36" s="363"/>
      <c r="K36" s="363"/>
      <c r="L36" s="363"/>
      <c r="M36" s="417"/>
      <c r="N36" s="417"/>
    </row>
    <row r="37" spans="1:14" ht="15.75">
      <c r="A37" s="266" t="s">
        <v>582</v>
      </c>
      <c r="B37" s="274"/>
      <c r="C37" s="270">
        <v>2000</v>
      </c>
      <c r="D37" s="14">
        <v>263660</v>
      </c>
      <c r="E37" s="14">
        <v>0</v>
      </c>
      <c r="F37" s="363"/>
      <c r="G37" s="363"/>
      <c r="H37" s="363"/>
      <c r="I37" s="363"/>
      <c r="J37" s="363"/>
      <c r="K37" s="363"/>
      <c r="L37" s="363"/>
      <c r="M37" s="417"/>
      <c r="N37" s="417"/>
    </row>
    <row r="38" spans="1:14" ht="15.75">
      <c r="A38" s="283" t="s">
        <v>370</v>
      </c>
      <c r="B38" s="281"/>
      <c r="C38" s="268">
        <v>0</v>
      </c>
      <c r="D38" s="268">
        <v>0</v>
      </c>
      <c r="E38" s="268">
        <v>0</v>
      </c>
      <c r="F38" s="363"/>
      <c r="G38" s="363"/>
      <c r="H38" s="363"/>
      <c r="I38" s="363"/>
      <c r="J38" s="363"/>
      <c r="K38" s="363"/>
      <c r="L38" s="363"/>
      <c r="M38" s="417"/>
      <c r="N38" s="417"/>
    </row>
    <row r="39" spans="1:14" ht="15.75">
      <c r="A39" s="283" t="s">
        <v>371</v>
      </c>
      <c r="B39" s="281"/>
      <c r="C39" s="310" t="str">
        <f>IF(C40*0.1&lt;C38,"Exceed 10% Rule","")</f>
        <v/>
      </c>
      <c r="D39" s="310" t="str">
        <f>IF(D40*0.1&lt;D38,"Exceed 10% Rule","")</f>
        <v/>
      </c>
      <c r="E39" s="310" t="str">
        <f>IF(E40*0.1&lt;E38,"Exceed 10% Rule","")</f>
        <v/>
      </c>
      <c r="F39" s="363"/>
      <c r="G39" s="363"/>
      <c r="H39" s="363"/>
      <c r="I39" s="363"/>
      <c r="J39" s="363"/>
      <c r="K39" s="363"/>
      <c r="L39" s="363"/>
      <c r="M39" s="417"/>
      <c r="N39" s="417"/>
    </row>
    <row r="40" spans="1:14" ht="15.75">
      <c r="A40" s="144" t="s">
        <v>110</v>
      </c>
      <c r="B40" s="273"/>
      <c r="C40" s="271">
        <f>SUM(C37:C38)</f>
        <v>2000</v>
      </c>
      <c r="D40" s="242">
        <f>SUM(D37:D38)</f>
        <v>263660</v>
      </c>
      <c r="E40" s="242">
        <f>SUM(E37:E38)</f>
        <v>0</v>
      </c>
      <c r="F40" s="363"/>
      <c r="G40" s="363"/>
      <c r="H40" s="363"/>
      <c r="I40" s="363"/>
      <c r="J40" s="363"/>
      <c r="K40" s="363"/>
      <c r="L40" s="363"/>
      <c r="M40" s="417"/>
      <c r="N40" s="417"/>
    </row>
    <row r="41" spans="1:14" ht="15.75">
      <c r="A41" s="37" t="s">
        <v>231</v>
      </c>
      <c r="B41" s="273"/>
      <c r="C41" s="279">
        <f>C35-C40</f>
        <v>-2000</v>
      </c>
      <c r="D41" s="244">
        <f>D35-D40</f>
        <v>0</v>
      </c>
      <c r="E41" s="244">
        <f>E35-E40</f>
        <v>0</v>
      </c>
      <c r="F41" s="363"/>
      <c r="G41" s="363"/>
      <c r="H41" s="363"/>
      <c r="I41" s="363"/>
      <c r="J41" s="363"/>
      <c r="K41" s="363"/>
      <c r="L41" s="363"/>
      <c r="M41" s="417"/>
      <c r="N41" s="417"/>
    </row>
    <row r="42" spans="1:14" ht="15.75">
      <c r="A42" s="23" t="str">
        <f>CONCATENATE("",E1-2," Budget Authority Limited Amount:")</f>
        <v>2011 Budget Authority Limited Amount:</v>
      </c>
      <c r="B42" s="297">
        <f>inputOth!B90</f>
        <v>0</v>
      </c>
      <c r="C42" s="147"/>
      <c r="D42" s="147"/>
      <c r="E42" s="147"/>
      <c r="F42" s="363"/>
      <c r="G42" s="363"/>
      <c r="H42" s="363"/>
      <c r="I42" s="363"/>
      <c r="J42" s="363"/>
      <c r="K42" s="363"/>
      <c r="L42" s="363"/>
      <c r="M42" s="417"/>
      <c r="N42" s="417"/>
    </row>
    <row r="43" spans="1:14" ht="15.75">
      <c r="A43" s="23" t="str">
        <f>CONCATENATE("Violation of Budget Law for ",E1-2,":")</f>
        <v>Violation of Budget Law for 2011:</v>
      </c>
      <c r="B43" s="298" t="str">
        <f>IF(C40&gt;B42,"Yes","")</f>
        <v>Yes</v>
      </c>
      <c r="C43" s="334" t="s">
        <v>58</v>
      </c>
      <c r="D43" s="147"/>
      <c r="E43" s="147"/>
      <c r="F43" s="363"/>
      <c r="G43" s="363"/>
      <c r="H43" s="363"/>
      <c r="I43" s="363"/>
      <c r="J43" s="363"/>
      <c r="K43" s="363"/>
      <c r="L43" s="363"/>
      <c r="M43" s="417"/>
      <c r="N43" s="417"/>
    </row>
    <row r="44" spans="1:14" ht="15.75">
      <c r="A44" s="23" t="str">
        <f>CONCATENATE("Possible Cash Violation for ",E1-2,":")</f>
        <v>Possible Cash Violation for 2011:</v>
      </c>
      <c r="B44" s="298" t="str">
        <f>IF(C41&lt;0,"Yes","")</f>
        <v>Yes</v>
      </c>
      <c r="C44" s="334" t="s">
        <v>59</v>
      </c>
      <c r="D44" s="147"/>
      <c r="E44" s="147"/>
      <c r="F44" s="363"/>
      <c r="G44" s="363"/>
      <c r="H44" s="363"/>
      <c r="I44" s="363"/>
      <c r="J44" s="363"/>
      <c r="K44" s="363"/>
      <c r="L44" s="363"/>
      <c r="M44" s="417"/>
      <c r="N44" s="417"/>
    </row>
    <row r="45" spans="1:14" ht="15.75">
      <c r="A45" s="261"/>
      <c r="B45" s="343"/>
      <c r="C45" s="344"/>
      <c r="D45" s="344"/>
      <c r="E45" s="344"/>
      <c r="F45" s="363"/>
      <c r="G45" s="363"/>
      <c r="H45" s="363"/>
      <c r="I45" s="363"/>
      <c r="J45" s="363"/>
      <c r="K45" s="363"/>
      <c r="L45" s="363"/>
      <c r="M45" s="417"/>
      <c r="N45" s="417"/>
    </row>
    <row r="46" spans="1:14" ht="15.75">
      <c r="A46" s="365"/>
      <c r="B46" s="366"/>
      <c r="C46" s="363"/>
      <c r="D46" s="363"/>
      <c r="E46" s="363"/>
      <c r="F46" s="363"/>
      <c r="G46" s="363"/>
      <c r="H46" s="363"/>
      <c r="I46" s="363"/>
      <c r="J46" s="363"/>
      <c r="K46" s="363"/>
      <c r="L46" s="363"/>
      <c r="M46" s="417"/>
      <c r="N46" s="417"/>
    </row>
    <row r="47" spans="1:14" ht="15.75">
      <c r="A47" s="365"/>
      <c r="B47" s="367"/>
      <c r="C47" s="368"/>
      <c r="D47" s="363"/>
      <c r="E47" s="363"/>
      <c r="F47" s="363"/>
      <c r="G47" s="363"/>
      <c r="H47" s="363"/>
      <c r="I47" s="345"/>
      <c r="J47" s="345"/>
      <c r="K47" s="345"/>
      <c r="L47" s="345"/>
    </row>
    <row r="48" spans="1:14" ht="15.75">
      <c r="A48" s="365"/>
      <c r="B48" s="367"/>
      <c r="C48" s="368"/>
      <c r="D48" s="363"/>
      <c r="E48" s="363"/>
      <c r="F48" s="363"/>
      <c r="G48" s="363"/>
      <c r="H48" s="363"/>
      <c r="I48" s="345"/>
      <c r="J48" s="345"/>
      <c r="K48" s="345"/>
      <c r="L48" s="345"/>
    </row>
    <row r="49" spans="1:5">
      <c r="A49" s="147"/>
      <c r="B49" s="147"/>
      <c r="C49" s="147"/>
      <c r="D49" s="147"/>
      <c r="E49" s="147"/>
    </row>
    <row r="50" spans="1:5" ht="15.75">
      <c r="A50" s="24"/>
      <c r="B50" s="24" t="s">
        <v>114</v>
      </c>
      <c r="C50" s="264">
        <v>14</v>
      </c>
      <c r="D50" s="147"/>
      <c r="E50" s="147"/>
    </row>
  </sheetData>
  <conditionalFormatting sqref="C46 C16">
    <cfRule type="cellIs" dxfId="11" priority="12" stopIfTrue="1" operator="greaterThan">
      <formula>$C$18*0.1</formula>
    </cfRule>
  </conditionalFormatting>
  <conditionalFormatting sqref="D46 D16">
    <cfRule type="cellIs" dxfId="10" priority="11" stopIfTrue="1" operator="greaterThan">
      <formula>$D$18*0.1</formula>
    </cfRule>
  </conditionalFormatting>
  <conditionalFormatting sqref="E46 E16">
    <cfRule type="cellIs" dxfId="9" priority="10" stopIfTrue="1" operator="greaterThan">
      <formula>$E$18*0.1</formula>
    </cfRule>
  </conditionalFormatting>
  <conditionalFormatting sqref="C10">
    <cfRule type="cellIs" dxfId="8" priority="9" stopIfTrue="1" operator="greaterThan">
      <formula>$C$12*0.1</formula>
    </cfRule>
  </conditionalFormatting>
  <conditionalFormatting sqref="D10">
    <cfRule type="cellIs" dxfId="7" priority="8" stopIfTrue="1" operator="greaterThan">
      <formula>$D$12*0.1</formula>
    </cfRule>
  </conditionalFormatting>
  <conditionalFormatting sqref="E10">
    <cfRule type="cellIs" dxfId="6" priority="7" stopIfTrue="1" operator="greaterThan">
      <formula>$E$12*0.1</formula>
    </cfRule>
  </conditionalFormatting>
  <conditionalFormatting sqref="C38">
    <cfRule type="cellIs" dxfId="5" priority="6" stopIfTrue="1" operator="greaterThan">
      <formula>$C$18*0.1</formula>
    </cfRule>
  </conditionalFormatting>
  <conditionalFormatting sqref="D38">
    <cfRule type="cellIs" dxfId="4" priority="5" stopIfTrue="1" operator="greaterThan">
      <formula>$D$18*0.1</formula>
    </cfRule>
  </conditionalFormatting>
  <conditionalFormatting sqref="E38">
    <cfRule type="cellIs" dxfId="3" priority="4" stopIfTrue="1" operator="greaterThan">
      <formula>$E$18*0.1</formula>
    </cfRule>
  </conditionalFormatting>
  <conditionalFormatting sqref="C32">
    <cfRule type="cellIs" dxfId="2" priority="3" stopIfTrue="1" operator="greaterThan">
      <formula>$C$12*0.1</formula>
    </cfRule>
  </conditionalFormatting>
  <conditionalFormatting sqref="D32">
    <cfRule type="cellIs" dxfId="1" priority="2" stopIfTrue="1" operator="greaterThan">
      <formula>$D$12*0.1</formula>
    </cfRule>
  </conditionalFormatting>
  <conditionalFormatting sqref="E32">
    <cfRule type="cellIs" dxfId="0" priority="1" stopIfTrue="1" operator="greaterThan">
      <formula>$E$12*0.1</formula>
    </cfRule>
  </conditionalFormatting>
  <pageMargins left="0.75" right="0.75" top="1" bottom="1" header="0.5" footer="0.5"/>
  <pageSetup scale="82" orientation="portrait" blackAndWhite="1" r:id="rId1"/>
  <headerFooter alignWithMargins="0">
    <oddHeader>&amp;RState of Kansas
City</oddHeader>
    <oddFooter>&amp;Lrevised 8/06/07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49"/>
  <sheetViews>
    <sheetView topLeftCell="A28" zoomScaleNormal="100" workbookViewId="0">
      <selection activeCell="A16" sqref="A16"/>
    </sheetView>
  </sheetViews>
  <sheetFormatPr defaultRowHeight="15.75"/>
  <cols>
    <col min="1" max="1" width="25.109375" style="2" customWidth="1"/>
    <col min="2" max="2" width="15.77734375" style="2" customWidth="1"/>
    <col min="3" max="3" width="10.77734375" style="2" customWidth="1"/>
    <col min="4" max="4" width="15.77734375" style="2" customWidth="1"/>
    <col min="5" max="5" width="10.77734375" style="2" customWidth="1"/>
    <col min="6" max="6" width="15.77734375" style="2" customWidth="1"/>
    <col min="7" max="7" width="12.77734375" style="2" customWidth="1"/>
    <col min="8" max="8" width="10.77734375" style="2" customWidth="1"/>
    <col min="9" max="10" width="8.88671875" style="2"/>
    <col min="11" max="11" width="9" style="2" bestFit="1" customWidth="1"/>
    <col min="12" max="16384" width="8.88671875" style="2"/>
  </cols>
  <sheetData>
    <row r="1" spans="1:9">
      <c r="A1" s="441" t="s">
        <v>170</v>
      </c>
      <c r="B1" s="441"/>
      <c r="C1" s="441"/>
      <c r="D1" s="441"/>
      <c r="E1" s="441"/>
      <c r="F1" s="441"/>
      <c r="G1" s="441"/>
      <c r="H1" s="441"/>
      <c r="I1" s="13"/>
    </row>
    <row r="2" spans="1:9" ht="18" customHeight="1">
      <c r="A2" s="21"/>
      <c r="B2" s="21"/>
      <c r="C2" s="21"/>
      <c r="D2" s="21"/>
      <c r="E2" s="21"/>
      <c r="F2" s="21"/>
      <c r="G2" s="21"/>
      <c r="H2" s="21">
        <f>inputPrYr!$C$5</f>
        <v>2013</v>
      </c>
    </row>
    <row r="3" spans="1:9" ht="18" customHeight="1">
      <c r="A3" s="435" t="s">
        <v>118</v>
      </c>
      <c r="B3" s="435"/>
      <c r="C3" s="435"/>
      <c r="D3" s="435"/>
      <c r="E3" s="435"/>
      <c r="F3" s="435"/>
      <c r="G3" s="435"/>
      <c r="H3" s="435"/>
    </row>
    <row r="4" spans="1:9">
      <c r="A4" s="435" t="str">
        <f>inputPrYr!D2</f>
        <v>CITY OF BLUE RAPIDS</v>
      </c>
      <c r="B4" s="435"/>
      <c r="C4" s="435"/>
      <c r="D4" s="435"/>
      <c r="E4" s="435"/>
      <c r="F4" s="435"/>
      <c r="G4" s="435"/>
      <c r="H4" s="435"/>
    </row>
    <row r="5" spans="1:9" ht="18" customHeight="1">
      <c r="A5" s="467" t="s">
        <v>496</v>
      </c>
      <c r="B5" s="467"/>
      <c r="C5" s="467"/>
      <c r="D5" s="467"/>
      <c r="E5" s="467"/>
      <c r="F5" s="467"/>
      <c r="G5" s="467"/>
      <c r="H5" s="467"/>
    </row>
    <row r="6" spans="1:9" ht="16.5" customHeight="1">
      <c r="A6" s="435" t="s">
        <v>182</v>
      </c>
      <c r="B6" s="435"/>
      <c r="C6" s="435"/>
      <c r="D6" s="435"/>
      <c r="E6" s="435"/>
      <c r="F6" s="435"/>
      <c r="G6" s="435"/>
      <c r="H6" s="435"/>
    </row>
    <row r="7" spans="1:9" ht="16.5" customHeight="1">
      <c r="A7" s="21"/>
      <c r="B7" s="21"/>
      <c r="C7" s="21"/>
      <c r="D7" s="21"/>
      <c r="E7" s="21"/>
      <c r="F7" s="21"/>
      <c r="G7" s="21"/>
      <c r="H7" s="21"/>
    </row>
    <row r="8" spans="1:9" ht="16.5" customHeight="1">
      <c r="A8" s="467" t="s">
        <v>47</v>
      </c>
      <c r="B8" s="467"/>
      <c r="C8" s="467"/>
      <c r="D8" s="467"/>
      <c r="E8" s="467"/>
      <c r="F8" s="467"/>
      <c r="G8" s="467"/>
      <c r="H8" s="467"/>
    </row>
    <row r="9" spans="1:9" ht="16.5" customHeight="1">
      <c r="A9" s="435" t="s">
        <v>119</v>
      </c>
      <c r="B9" s="435"/>
      <c r="C9" s="435"/>
      <c r="D9" s="435"/>
      <c r="E9" s="435"/>
      <c r="F9" s="435"/>
      <c r="G9" s="435"/>
      <c r="H9" s="435"/>
    </row>
    <row r="10" spans="1:9">
      <c r="A10" s="49"/>
      <c r="B10" s="49"/>
      <c r="C10" s="49"/>
      <c r="D10" s="49"/>
      <c r="E10" s="49"/>
      <c r="F10" s="49"/>
      <c r="G10" s="49"/>
      <c r="H10" s="49"/>
    </row>
    <row r="11" spans="1:9">
      <c r="A11" s="101" t="s">
        <v>171</v>
      </c>
      <c r="B11" s="27"/>
      <c r="C11" s="27"/>
      <c r="D11" s="27"/>
      <c r="E11" s="27"/>
      <c r="F11" s="27"/>
      <c r="G11" s="27"/>
      <c r="H11" s="27"/>
    </row>
    <row r="12" spans="1:9">
      <c r="A12" s="26" t="str">
        <f>CONCATENATE("Proposed Budget ",H2," Expenditures and Amount of ",H2-1," Ad Valorem Tax establish the maximum limits of the ",H2," budget.")</f>
        <v>Proposed Budget 2013 Expenditures and Amount of 2012 Ad Valorem Tax establish the maximum limits of the 2013 budget.</v>
      </c>
      <c r="B12" s="27"/>
      <c r="C12" s="27"/>
      <c r="D12" s="27"/>
      <c r="E12" s="27"/>
      <c r="F12" s="27"/>
      <c r="G12" s="27"/>
      <c r="H12" s="27"/>
    </row>
    <row r="13" spans="1:9">
      <c r="A13" s="26" t="s">
        <v>237</v>
      </c>
      <c r="B13" s="27"/>
      <c r="C13" s="27"/>
      <c r="D13" s="27"/>
      <c r="E13" s="27"/>
      <c r="F13" s="27"/>
      <c r="G13" s="27"/>
      <c r="H13" s="27"/>
    </row>
    <row r="14" spans="1:9">
      <c r="A14" s="21"/>
      <c r="B14" s="96"/>
      <c r="C14" s="96"/>
      <c r="D14" s="96"/>
      <c r="E14" s="96"/>
      <c r="F14" s="96"/>
      <c r="G14" s="96"/>
      <c r="H14" s="96"/>
    </row>
    <row r="15" spans="1:9">
      <c r="A15" s="21"/>
      <c r="B15" s="102" t="str">
        <f>CONCATENATE("Prior Year Actual for ",H2-2,"")</f>
        <v>Prior Year Actual for 2011</v>
      </c>
      <c r="C15" s="30"/>
      <c r="D15" s="102" t="str">
        <f>CONCATENATE("Current Year Estimate for ",H2-1,"")</f>
        <v>Current Year Estimate for 2012</v>
      </c>
      <c r="E15" s="30"/>
      <c r="F15" s="28" t="str">
        <f>CONCATENATE("Proposed Budget for ",H2,"")</f>
        <v>Proposed Budget for 2013</v>
      </c>
      <c r="G15" s="29"/>
      <c r="H15" s="30"/>
    </row>
    <row r="16" spans="1:9" ht="21" customHeight="1">
      <c r="A16" s="21"/>
      <c r="B16" s="93"/>
      <c r="C16" s="33" t="s">
        <v>121</v>
      </c>
      <c r="D16" s="33"/>
      <c r="E16" s="33" t="s">
        <v>121</v>
      </c>
      <c r="F16" s="33"/>
      <c r="G16" s="33" t="str">
        <f>CONCATENATE("Amount of ",H2-1,"")</f>
        <v>Amount of 2012</v>
      </c>
      <c r="H16" s="33" t="s">
        <v>297</v>
      </c>
    </row>
    <row r="17" spans="1:17">
      <c r="A17" s="44" t="s">
        <v>122</v>
      </c>
      <c r="B17" s="36" t="s">
        <v>123</v>
      </c>
      <c r="C17" s="36" t="s">
        <v>124</v>
      </c>
      <c r="D17" s="36" t="s">
        <v>123</v>
      </c>
      <c r="E17" s="36" t="s">
        <v>124</v>
      </c>
      <c r="F17" s="36" t="s">
        <v>125</v>
      </c>
      <c r="G17" s="171" t="s">
        <v>97</v>
      </c>
      <c r="H17" s="36" t="s">
        <v>124</v>
      </c>
      <c r="I17" s="222"/>
      <c r="J17" s="222"/>
      <c r="K17" s="222"/>
      <c r="L17" s="222"/>
      <c r="M17" s="222"/>
      <c r="N17" s="222"/>
      <c r="O17" s="222"/>
      <c r="P17" s="222"/>
      <c r="Q17" s="222"/>
    </row>
    <row r="18" spans="1:17">
      <c r="A18" s="40" t="str">
        <f>inputPrYr!B16</f>
        <v>General</v>
      </c>
      <c r="B18" s="337">
        <f>IF(general!$C$82&lt;&gt;0,general!$C$82,"  ")</f>
        <v>599339</v>
      </c>
      <c r="C18" s="103">
        <f>IF(inputPrYr!D40&gt;0,inputPrYr!D40,"  ")</f>
        <v>71.563000000000002</v>
      </c>
      <c r="D18" s="337">
        <f>IF(general!$D$82&lt;&gt;0,general!$D$82,"  ")</f>
        <v>655357</v>
      </c>
      <c r="E18" s="103">
        <f>IF(inputOth!D20&gt;0,inputOth!D20,"  ")</f>
        <v>72.302000000000007</v>
      </c>
      <c r="F18" s="337">
        <f>IF(general!$E$82&lt;&gt;0,general!$E$82,"  ")</f>
        <v>823434</v>
      </c>
      <c r="G18" s="40">
        <f>IF(general!$E$88&lt;&gt;0,general!$E$88,"  ")</f>
        <v>229701</v>
      </c>
      <c r="H18" s="103">
        <f>IF(general!E88&gt;0,ROUND(G18/$F$35*1000,3),"  ")</f>
        <v>74.956000000000003</v>
      </c>
      <c r="I18" s="222"/>
      <c r="J18" s="222"/>
      <c r="K18" s="222"/>
      <c r="L18" s="222"/>
      <c r="M18" s="222"/>
      <c r="N18" s="222"/>
      <c r="O18" s="222"/>
      <c r="P18" s="222"/>
      <c r="Q18" s="222"/>
    </row>
    <row r="19" spans="1:17">
      <c r="A19" s="40" t="str">
        <f>inputPrYr!B19</f>
        <v>Library</v>
      </c>
      <c r="B19" s="337">
        <f>IF(LibraryBondInt!$C$24&gt;0,LibraryBondInt!$C$24,"  ")</f>
        <v>10793</v>
      </c>
      <c r="C19" s="103">
        <f>IF(inputPrYr!D42&gt;0,inputPrYr!D42,"  ")</f>
        <v>3.0059999999999998</v>
      </c>
      <c r="D19" s="337">
        <f>IF(LibraryBondInt!$D$24&gt;0,LibraryBondInt!$D$24,"  ")</f>
        <v>10956</v>
      </c>
      <c r="E19" s="103">
        <f>IF(inputOth!D22&gt;0,inputOth!D22,"  ")</f>
        <v>3.0369999999999999</v>
      </c>
      <c r="F19" s="337">
        <f>IF(LibraryBondInt!$E$24&gt;0,LibraryBondInt!$E$24,"  ")</f>
        <v>19094</v>
      </c>
      <c r="G19" s="40">
        <f>IF(LibraryBondInt!$E$30&lt;&gt;0,LibraryBondInt!$E$30,"  ")</f>
        <v>16969</v>
      </c>
      <c r="H19" s="103">
        <f>IF(LibraryBondInt!E30&lt;&gt;0,ROUND(G19/$F$35*1000,3),"  ")</f>
        <v>5.5369999999999999</v>
      </c>
      <c r="I19" s="222"/>
      <c r="J19" s="222"/>
      <c r="K19" s="222"/>
      <c r="L19" s="222"/>
      <c r="M19" s="222"/>
      <c r="N19" s="222"/>
      <c r="O19" s="222"/>
      <c r="P19" s="222"/>
      <c r="Q19" s="222"/>
    </row>
    <row r="20" spans="1:17">
      <c r="A20" s="40" t="str">
        <f>IF(inputPrYr!$B17&gt;"  ",(inputPrYr!$B17),"  ")</f>
        <v>Bond &amp; Interest</v>
      </c>
      <c r="B20" s="337" t="str">
        <f>IF(LibraryBondInt!$C$59&gt;0,LibraryBondInt!$C$59," 0 ")</f>
        <v xml:space="preserve"> 0 </v>
      </c>
      <c r="C20" s="103" t="str">
        <f>IF(inputPrYr!D41&gt;0,inputPrYr!D41,"  ")</f>
        <v xml:space="preserve">  </v>
      </c>
      <c r="D20" s="337">
        <f>IF(LibraryBondInt!$D$59&gt;0,LibraryBondInt!$D$59," 0 ")</f>
        <v>15332</v>
      </c>
      <c r="E20" s="103" t="str">
        <f>IF(inputOth!D21&gt;0,inputOth!D21,"  ")</f>
        <v xml:space="preserve">  </v>
      </c>
      <c r="F20" s="337">
        <f>IF(LibraryBondInt!$E$59&gt;0,LibraryBondInt!$E$59," 0 ")</f>
        <v>29075</v>
      </c>
      <c r="G20" s="40">
        <f>IF(LibraryBondInt!$E$65&lt;&gt;0,LibraryBondInt!$E$65,"  ")</f>
        <v>17552</v>
      </c>
      <c r="H20" s="103">
        <f>IF(LibraryBondInt!E30&lt;&gt;0,ROUND(G20/$F$35*1000,3)," 0 ")</f>
        <v>5.7279999999999998</v>
      </c>
      <c r="I20" s="222"/>
      <c r="J20" s="222"/>
      <c r="K20" s="222"/>
      <c r="L20" s="222"/>
      <c r="M20" s="222"/>
      <c r="N20" s="222"/>
      <c r="O20" s="222"/>
      <c r="P20" s="222"/>
      <c r="Q20" s="222"/>
    </row>
    <row r="21" spans="1:17">
      <c r="A21" s="40" t="str">
        <f>IF(inputPrYr!$B24&gt;"  ",(inputPrYr!$B24),"  ")</f>
        <v>Special Highway</v>
      </c>
      <c r="B21" s="337">
        <f>IF(SpHiwayWaterSewerRefuse!$C$22&gt;0,SpHiwayWaterSewerRefuse!$C$22,"  ")</f>
        <v>26514</v>
      </c>
      <c r="C21" s="42"/>
      <c r="D21" s="337">
        <f>IF(SpHiwayWaterSewerRefuse!$D$22&gt;0,SpHiwayWaterSewerRefuse!$D$22,"  ")</f>
        <v>27120</v>
      </c>
      <c r="E21" s="42"/>
      <c r="F21" s="337">
        <f>IF(SpHiwayWaterSewerRefuse!$E$22&gt;0,SpHiwayWaterSewerRefuse!$E$22,"  ")</f>
        <v>27470</v>
      </c>
      <c r="G21" s="40"/>
      <c r="H21" s="103"/>
      <c r="I21" s="222"/>
      <c r="J21" s="222"/>
      <c r="K21" s="222"/>
      <c r="L21" s="222"/>
      <c r="M21" s="222"/>
      <c r="N21" s="222"/>
      <c r="O21" s="222"/>
      <c r="P21" s="222"/>
      <c r="Q21" s="222"/>
    </row>
    <row r="22" spans="1:17">
      <c r="A22" s="40" t="str">
        <f>IF(inputPrYr!$B25&gt;"  ",(inputPrYr!$B25),"  ")</f>
        <v>Water/Sewer/Refuse</v>
      </c>
      <c r="B22" s="337">
        <f>IF(SpHiwayWaterSewerRefuse!$C$61&gt;0,SpHiwayWaterSewerRefuse!$C$61,"  ")</f>
        <v>308543</v>
      </c>
      <c r="C22" s="42"/>
      <c r="D22" s="337">
        <f>IF(SpHiwayWaterSewerRefuse!$D$61&gt;0,SpHiwayWaterSewerRefuse!$D$61,"  ")</f>
        <v>393086</v>
      </c>
      <c r="E22" s="42"/>
      <c r="F22" s="337">
        <f>IF(SpHiwayWaterSewerRefuse!$E$61&gt;0,SpHiwayWaterSewerRefuse!$E$61,"  ")</f>
        <v>508458</v>
      </c>
      <c r="G22" s="40"/>
      <c r="H22" s="103"/>
      <c r="I22" s="222"/>
      <c r="J22" s="222"/>
      <c r="K22" s="222"/>
      <c r="L22" s="222"/>
      <c r="M22" s="222"/>
      <c r="N22" s="222"/>
      <c r="O22" s="222"/>
      <c r="P22" s="222"/>
      <c r="Q22" s="222"/>
    </row>
    <row r="23" spans="1:17">
      <c r="A23" s="40" t="str">
        <f>IF(inputPrYr!$B26&gt;"  ",(inputPrYr!$B26),"  ")</f>
        <v>Capital Improvement</v>
      </c>
      <c r="B23" s="337" t="str">
        <f>IF(CapImprUtilitySystemReserve!$C$19&gt;0,CapImprUtilitySystemReserve!$C$19," 0 ")</f>
        <v xml:space="preserve"> 0 </v>
      </c>
      <c r="C23" s="42"/>
      <c r="D23" s="337">
        <f>IF(CapImprUtilitySystemReserve!$D$19&gt;0,CapImprUtilitySystemReserve!$D$19,"  ")</f>
        <v>16000</v>
      </c>
      <c r="E23" s="42"/>
      <c r="F23" s="337">
        <f>IF(CapImprUtilitySystemReserve!$E$19&gt;0,CapImprUtilitySystemReserve!$E$19,"  ")</f>
        <v>103023</v>
      </c>
      <c r="G23" s="40"/>
      <c r="H23" s="103"/>
      <c r="I23" s="222"/>
      <c r="J23" s="222"/>
      <c r="K23" s="222"/>
      <c r="L23" s="222"/>
      <c r="M23" s="222"/>
      <c r="N23" s="222"/>
      <c r="O23" s="222"/>
      <c r="P23" s="222"/>
      <c r="Q23" s="222"/>
    </row>
    <row r="24" spans="1:17">
      <c r="A24" s="40" t="str">
        <f>IF(inputPrYr!$B27&gt;"  ",(inputPrYr!$B27),"  ")</f>
        <v>Utility System Reserve</v>
      </c>
      <c r="B24" s="337" t="str">
        <f>IF(CapImprUtilitySystemReserve!$C$44&gt;0,CapImprUtilitySystemReserve!$C$44," 0 ")</f>
        <v xml:space="preserve"> 0 </v>
      </c>
      <c r="C24" s="42"/>
      <c r="D24" s="337">
        <f>IF(CapImprUtilitySystemReserve!$D$44&gt;0,CapImprUtilitySystemReserve!$D$44,"  ")</f>
        <v>75000</v>
      </c>
      <c r="E24" s="42"/>
      <c r="F24" s="337">
        <f>IF(CapImprUtilitySystemReserve!$E$44&gt;0,CapImprUtilitySystemReserve!$E$44,"  ")</f>
        <v>119587</v>
      </c>
      <c r="G24" s="40"/>
      <c r="H24" s="103"/>
      <c r="I24" s="222"/>
      <c r="J24" s="222"/>
      <c r="K24" s="222"/>
      <c r="L24" s="222"/>
      <c r="M24" s="222"/>
      <c r="N24" s="222"/>
      <c r="O24" s="222"/>
      <c r="P24" s="222"/>
      <c r="Q24" s="222"/>
    </row>
    <row r="25" spans="1:17">
      <c r="A25" s="40" t="str">
        <f>IF(inputPrYr!$B31&gt;"  ",(inputPrYr!$B31),"  ")</f>
        <v>Spec. Law Enf. Trust Fund</v>
      </c>
      <c r="B25" s="337">
        <f>IF('SpecLawEnfTrustHousing Grant'!$C$17&gt;0,'SpecLawEnfTrustHousing Grant'!$C$17," 0 ")</f>
        <v>450</v>
      </c>
      <c r="C25" s="42"/>
      <c r="D25" s="337">
        <f>IF('SpecLawEnfTrustHousing Grant'!$D$17&gt;0,'SpecLawEnfTrustHousing Grant'!$D$17,"  ")</f>
        <v>600</v>
      </c>
      <c r="E25" s="42"/>
      <c r="F25" s="337">
        <f>IF('SpecLawEnfTrustHousing Grant'!$E$17&gt;0,'SpecLawEnfTrustHousing Grant'!$E$17,"  ")</f>
        <v>2315</v>
      </c>
      <c r="G25" s="42"/>
      <c r="H25" s="42"/>
      <c r="I25" s="222"/>
      <c r="J25" s="222"/>
      <c r="K25" s="222"/>
      <c r="L25" s="222"/>
      <c r="M25" s="222"/>
      <c r="N25" s="222"/>
      <c r="O25" s="222"/>
      <c r="P25" s="222"/>
      <c r="Q25" s="222"/>
    </row>
    <row r="26" spans="1:17">
      <c r="A26" s="40" t="str">
        <f>IF(inputPrYr!$B33&gt;"  ",(inputPrYr!$B33),"  ")</f>
        <v>Water Storage Grant Fund</v>
      </c>
      <c r="B26" s="337">
        <f>IF(WaterStorageGrantStormSewerProj!$C$20&gt;0,WaterStorageGrantStormSewerProj!$C$20," 0 ")</f>
        <v>23668</v>
      </c>
      <c r="C26" s="42"/>
      <c r="D26" s="337" t="str">
        <f>IF(WaterStorageGrantStormSewerProj!$D$20&gt;0,WaterStorageGrantStormSewerProj!$D$20,"0 ")</f>
        <v xml:space="preserve">0 </v>
      </c>
      <c r="E26" s="42"/>
      <c r="F26" s="337" t="str">
        <f>IF(WaterStorageGrantStormSewerProj!$E$20&gt;0,WaterStorageGrantStormSewerProj!$E$20," 0 ")</f>
        <v xml:space="preserve"> 0 </v>
      </c>
      <c r="G26" s="42"/>
      <c r="H26" s="42"/>
      <c r="I26" s="222"/>
      <c r="J26" s="222"/>
      <c r="K26" s="222"/>
      <c r="L26" s="222"/>
      <c r="M26" s="222"/>
      <c r="N26" s="222"/>
      <c r="O26" s="222"/>
      <c r="P26" s="222"/>
      <c r="Q26" s="222"/>
    </row>
    <row r="27" spans="1:17">
      <c r="A27" s="40" t="str">
        <f>IF(inputPrYr!$B34&gt;"  ",(inputPrYr!$B34),"  ")</f>
        <v>Storm Sewer Capital Project Fund</v>
      </c>
      <c r="B27" s="337">
        <f>IF(WaterStorageGrantStormSewerProj!$C$42&gt;0,WaterStorageGrantStormSewerProj!$C$42," 0 ")</f>
        <v>93545</v>
      </c>
      <c r="C27" s="42"/>
      <c r="D27" s="337" t="str">
        <f>IF(WaterStorageGrantStormSewerProj!$D$42&gt;0,WaterStorageGrantStormSewerProj!$D$42,"0 ")</f>
        <v xml:space="preserve">0 </v>
      </c>
      <c r="E27" s="42"/>
      <c r="F27" s="337" t="str">
        <f>IF(WaterStorageGrantStormSewerProj!$E$42&gt;0,WaterStorageGrantStormSewerProj!$E$42," 0 ")</f>
        <v xml:space="preserve"> 0 </v>
      </c>
      <c r="G27" s="42"/>
      <c r="H27" s="42"/>
      <c r="I27" s="222"/>
      <c r="J27" s="222"/>
      <c r="K27" s="222"/>
      <c r="L27" s="222"/>
      <c r="M27" s="222"/>
      <c r="N27" s="222"/>
      <c r="O27" s="222"/>
      <c r="P27" s="222"/>
      <c r="Q27" s="222"/>
    </row>
    <row r="28" spans="1:17">
      <c r="A28" s="40" t="str">
        <f>IF(inputPrYr!$B35&gt;"  ",(inputPrYr!$B35),"  ")</f>
        <v>Pool Improvement Fund</v>
      </c>
      <c r="B28" s="337" t="str">
        <f>IF(PoolImprovementStormSewer2012!$C$18&gt;0,PoolImprovementStormSewer2012!$C$18," 0 ")</f>
        <v xml:space="preserve"> 0 </v>
      </c>
      <c r="C28" s="42"/>
      <c r="D28" s="337" t="str">
        <f>IF(PoolImprovementStormSewer2012!$D$18&gt;0,PoolImprovementStormSewer2012!$D$18,"0 ")</f>
        <v xml:space="preserve">0 </v>
      </c>
      <c r="E28" s="42"/>
      <c r="F28" s="337">
        <f>IF(PoolImprovementStormSewer2012!$E$18&gt;0,PoolImprovementStormSewer2012!$E$18," 0 ")</f>
        <v>15801</v>
      </c>
      <c r="G28" s="42"/>
      <c r="H28" s="42"/>
      <c r="I28" s="222"/>
      <c r="J28" s="222"/>
      <c r="K28" s="222"/>
      <c r="L28" s="222"/>
      <c r="M28" s="222"/>
      <c r="N28" s="222"/>
      <c r="O28" s="222"/>
      <c r="P28" s="222"/>
      <c r="Q28" s="222"/>
    </row>
    <row r="29" spans="1:17">
      <c r="A29" s="40" t="str">
        <f>IF(inputPrYr!$B36&gt;"  ",(inputPrYr!$B36),"  ")</f>
        <v>Storm Sewer Capital Project 2012 Fund</v>
      </c>
      <c r="B29" s="337">
        <f>IF(PoolImprovementStormSewer2012!$C$40&gt;0,PoolImprovementStormSewer2012!$C$40," 0 ")</f>
        <v>2000</v>
      </c>
      <c r="C29" s="42"/>
      <c r="D29" s="337">
        <f>IF(PoolImprovementStormSewer2012!$D$40&gt;0,PoolImprovementStormSewer2012!$D$40,"0 ")</f>
        <v>263660</v>
      </c>
      <c r="E29" s="42"/>
      <c r="F29" s="337" t="str">
        <f>IF(PoolImprovementStormSewer2012!$E$40&gt;0,PoolImprovementStormSewer2012!$E$40," 0 ")</f>
        <v xml:space="preserve"> 0 </v>
      </c>
      <c r="G29" s="42"/>
      <c r="H29" s="42"/>
      <c r="I29" s="222"/>
      <c r="J29" s="222"/>
      <c r="K29" s="222"/>
      <c r="L29" s="222"/>
      <c r="M29" s="222"/>
      <c r="N29" s="222"/>
      <c r="O29" s="222"/>
      <c r="P29" s="222"/>
      <c r="Q29" s="222"/>
    </row>
    <row r="30" spans="1:17">
      <c r="A30" s="44" t="s">
        <v>83</v>
      </c>
      <c r="B30" s="337">
        <f>SUM(B18:B29)</f>
        <v>1064852</v>
      </c>
      <c r="C30" s="103">
        <f>SUM(C18:C20)</f>
        <v>74.569000000000003</v>
      </c>
      <c r="D30" s="40">
        <f>SUM(D18:D29)</f>
        <v>1457111</v>
      </c>
      <c r="E30" s="103">
        <f>SUM(E18:E20)</f>
        <v>75.339000000000013</v>
      </c>
      <c r="F30" s="337">
        <f>SUM(F18:F29)</f>
        <v>1648257</v>
      </c>
      <c r="G30" s="40">
        <f>SUM(G18:G28)</f>
        <v>264222</v>
      </c>
      <c r="H30" s="103">
        <f>SUM(H18:H20)</f>
        <v>86.221000000000004</v>
      </c>
      <c r="I30" s="409"/>
      <c r="J30" s="222"/>
      <c r="K30" s="222"/>
      <c r="L30" s="222"/>
      <c r="M30" s="222"/>
      <c r="N30" s="222"/>
      <c r="O30" s="222"/>
      <c r="P30" s="222"/>
      <c r="Q30" s="222"/>
    </row>
    <row r="31" spans="1:17">
      <c r="A31" s="25" t="s">
        <v>126</v>
      </c>
      <c r="B31" s="118">
        <f>transfers!C24</f>
        <v>176980</v>
      </c>
      <c r="C31" s="72"/>
      <c r="D31" s="118">
        <f>transfers!D24</f>
        <v>315000</v>
      </c>
      <c r="E31" s="72"/>
      <c r="F31" s="118">
        <f>transfers!E24</f>
        <v>165000</v>
      </c>
      <c r="G31" s="21"/>
      <c r="H31" s="21"/>
      <c r="I31" s="409"/>
      <c r="J31" s="222"/>
      <c r="K31" s="222"/>
      <c r="L31" s="222"/>
      <c r="M31" s="222"/>
      <c r="N31" s="222"/>
      <c r="O31" s="222"/>
      <c r="P31" s="222"/>
      <c r="Q31" s="222"/>
    </row>
    <row r="32" spans="1:17" ht="16.5" thickBot="1">
      <c r="A32" s="25" t="s">
        <v>127</v>
      </c>
      <c r="B32" s="73">
        <f>B30-B31</f>
        <v>887872</v>
      </c>
      <c r="C32" s="21"/>
      <c r="D32" s="73">
        <f>D30-D31</f>
        <v>1142111</v>
      </c>
      <c r="E32" s="94"/>
      <c r="F32" s="73">
        <f>F30-F31</f>
        <v>1483257</v>
      </c>
      <c r="G32" s="21"/>
      <c r="H32" s="21"/>
      <c r="I32" s="409"/>
      <c r="J32" s="409"/>
      <c r="K32" s="409"/>
      <c r="L32" s="409"/>
      <c r="M32" s="409"/>
      <c r="N32" s="409"/>
      <c r="O32" s="409"/>
      <c r="P32" s="409"/>
      <c r="Q32" s="222"/>
    </row>
    <row r="33" spans="1:17" ht="16.5" thickTop="1">
      <c r="A33" s="25" t="s">
        <v>128</v>
      </c>
      <c r="B33" s="118">
        <f>inputPrYr!E45</f>
        <v>221329</v>
      </c>
      <c r="C33" s="104"/>
      <c r="D33" s="118">
        <f>inputPrYr!D21</f>
        <v>226811</v>
      </c>
      <c r="E33" s="104"/>
      <c r="F33" s="119" t="s">
        <v>84</v>
      </c>
      <c r="G33" s="21"/>
      <c r="H33" s="21"/>
      <c r="I33" s="222"/>
      <c r="J33" s="222"/>
      <c r="K33" s="222"/>
      <c r="L33" s="222"/>
      <c r="M33" s="222"/>
      <c r="N33" s="222"/>
      <c r="O33" s="222"/>
      <c r="P33" s="222"/>
      <c r="Q33" s="222"/>
    </row>
    <row r="34" spans="1:17">
      <c r="A34" s="25" t="s">
        <v>129</v>
      </c>
      <c r="B34" s="39"/>
      <c r="C34" s="21"/>
      <c r="D34" s="39"/>
      <c r="E34" s="21"/>
      <c r="F34" s="39"/>
      <c r="G34" s="21"/>
      <c r="H34" s="21"/>
      <c r="I34" s="222"/>
      <c r="J34" s="222"/>
      <c r="K34" s="222"/>
      <c r="L34" s="222"/>
      <c r="M34" s="222"/>
      <c r="N34" s="222"/>
      <c r="O34" s="222"/>
      <c r="P34" s="222"/>
      <c r="Q34" s="222"/>
    </row>
    <row r="35" spans="1:17">
      <c r="A35" s="25" t="s">
        <v>130</v>
      </c>
      <c r="B35" s="118">
        <f>inputPrYr!E46</f>
        <v>2968131</v>
      </c>
      <c r="C35" s="21"/>
      <c r="D35" s="118">
        <f>inputOth!E34</f>
        <v>3010539</v>
      </c>
      <c r="E35" s="21"/>
      <c r="F35" s="118">
        <f>inputOth!E6</f>
        <v>3064475</v>
      </c>
      <c r="G35" s="21"/>
      <c r="H35" s="21"/>
      <c r="I35" s="222"/>
      <c r="J35" s="222"/>
      <c r="K35" s="222"/>
      <c r="L35" s="222"/>
      <c r="M35" s="222"/>
      <c r="N35" s="222"/>
      <c r="O35" s="222"/>
      <c r="P35" s="222"/>
      <c r="Q35" s="222"/>
    </row>
    <row r="36" spans="1:17" ht="13.5" customHeight="1">
      <c r="A36" s="21"/>
      <c r="B36" s="21"/>
      <c r="C36" s="21"/>
      <c r="D36" s="21"/>
      <c r="E36" s="21"/>
      <c r="F36" s="21"/>
      <c r="G36" s="21"/>
      <c r="H36" s="21"/>
    </row>
    <row r="37" spans="1:17">
      <c r="A37" s="25" t="s">
        <v>131</v>
      </c>
      <c r="B37" s="21"/>
      <c r="C37" s="21"/>
      <c r="D37" s="21"/>
      <c r="E37" s="21"/>
      <c r="F37" s="21"/>
      <c r="G37" s="21"/>
      <c r="H37" s="21"/>
    </row>
    <row r="38" spans="1:17" ht="18.75" customHeight="1">
      <c r="A38" s="25" t="s">
        <v>132</v>
      </c>
      <c r="B38" s="105">
        <f>H2-3</f>
        <v>2010</v>
      </c>
      <c r="C38" s="21"/>
      <c r="D38" s="105">
        <f>H2-2</f>
        <v>2011</v>
      </c>
      <c r="E38" s="21"/>
      <c r="F38" s="105">
        <f>H2-1</f>
        <v>2012</v>
      </c>
      <c r="G38" s="21"/>
      <c r="H38" s="21"/>
    </row>
    <row r="39" spans="1:17" ht="18.75" customHeight="1">
      <c r="A39" s="25" t="s">
        <v>133</v>
      </c>
      <c r="B39" s="172">
        <f>inputPrYr!D50</f>
        <v>0</v>
      </c>
      <c r="C39" s="131"/>
      <c r="D39" s="172">
        <f>inputPrYr!E50</f>
        <v>0</v>
      </c>
      <c r="E39" s="131"/>
      <c r="F39" s="172">
        <f>debt!F17</f>
        <v>196000</v>
      </c>
      <c r="G39" s="21"/>
      <c r="H39" s="21"/>
    </row>
    <row r="40" spans="1:17" ht="18.75" customHeight="1">
      <c r="A40" s="25" t="s">
        <v>134</v>
      </c>
      <c r="B40" s="172">
        <f>inputPrYr!D51</f>
        <v>0</v>
      </c>
      <c r="C40" s="131"/>
      <c r="D40" s="172">
        <f>inputPrYr!E51</f>
        <v>0</v>
      </c>
      <c r="E40" s="131"/>
      <c r="F40" s="173">
        <f>debt!F25</f>
        <v>0</v>
      </c>
      <c r="G40" s="21"/>
      <c r="H40" s="21"/>
    </row>
    <row r="41" spans="1:17" ht="18.75" customHeight="1">
      <c r="A41" s="21" t="s">
        <v>153</v>
      </c>
      <c r="B41" s="172">
        <f>inputPrYr!D52</f>
        <v>0</v>
      </c>
      <c r="C41" s="131"/>
      <c r="D41" s="172">
        <f>inputPrYr!E52</f>
        <v>183545</v>
      </c>
      <c r="E41" s="131"/>
      <c r="F41" s="173">
        <f>debt!F34</f>
        <v>211585</v>
      </c>
      <c r="G41" s="21"/>
      <c r="H41" s="21"/>
    </row>
    <row r="42" spans="1:17" ht="18" customHeight="1">
      <c r="A42" s="25" t="s">
        <v>238</v>
      </c>
      <c r="B42" s="172">
        <f>inputPrYr!D53</f>
        <v>18944</v>
      </c>
      <c r="C42" s="131"/>
      <c r="D42" s="172">
        <f>inputPrYr!E53</f>
        <v>14427</v>
      </c>
      <c r="E42" s="131"/>
      <c r="F42" s="173">
        <f>lpform!F28</f>
        <v>9783</v>
      </c>
      <c r="G42" s="21"/>
      <c r="H42" s="21"/>
    </row>
    <row r="43" spans="1:17" ht="19.5" customHeight="1" thickBot="1">
      <c r="A43" s="25" t="s">
        <v>135</v>
      </c>
      <c r="B43" s="174">
        <f>SUM(B39:B42)</f>
        <v>18944</v>
      </c>
      <c r="C43" s="131"/>
      <c r="D43" s="174">
        <f>SUM(D39:D42)</f>
        <v>197972</v>
      </c>
      <c r="E43" s="131"/>
      <c r="F43" s="174">
        <f>SUM(F39:F42)</f>
        <v>417368</v>
      </c>
      <c r="G43" s="21"/>
      <c r="H43" s="21"/>
    </row>
    <row r="44" spans="1:17" ht="18.75" customHeight="1" thickTop="1">
      <c r="A44" s="25" t="s">
        <v>136</v>
      </c>
      <c r="B44" s="21"/>
      <c r="C44" s="21"/>
      <c r="D44" s="21"/>
      <c r="E44" s="21"/>
      <c r="F44" s="21"/>
      <c r="G44" s="21"/>
      <c r="H44" s="21"/>
    </row>
    <row r="45" spans="1:17">
      <c r="A45" s="21"/>
      <c r="B45" s="21"/>
      <c r="C45" s="21"/>
      <c r="D45" s="21"/>
      <c r="E45" s="21"/>
      <c r="F45" s="21"/>
      <c r="G45" s="21"/>
      <c r="H45" s="21"/>
    </row>
    <row r="46" spans="1:17">
      <c r="A46" s="31"/>
      <c r="B46" s="31"/>
      <c r="C46" s="20"/>
      <c r="D46" s="21"/>
      <c r="E46" s="21"/>
      <c r="F46" s="21"/>
      <c r="G46" s="21"/>
      <c r="H46" s="21"/>
    </row>
    <row r="47" spans="1:17">
      <c r="A47" s="24" t="s">
        <v>273</v>
      </c>
      <c r="B47" s="465" t="s">
        <v>245</v>
      </c>
      <c r="C47" s="466"/>
      <c r="D47" s="21"/>
      <c r="E47" s="21"/>
      <c r="F47" s="21"/>
      <c r="G47" s="21"/>
      <c r="H47" s="21"/>
    </row>
    <row r="48" spans="1:17">
      <c r="A48" s="21"/>
      <c r="B48" s="21"/>
      <c r="C48" s="21"/>
      <c r="D48" s="21"/>
      <c r="E48" s="21"/>
      <c r="F48" s="21"/>
      <c r="G48" s="21"/>
      <c r="H48" s="21"/>
    </row>
    <row r="49" spans="1:8">
      <c r="A49" s="21"/>
      <c r="B49" s="21"/>
      <c r="C49" s="23" t="s">
        <v>105</v>
      </c>
      <c r="D49" s="16">
        <v>15</v>
      </c>
      <c r="E49" s="21"/>
      <c r="F49" s="21"/>
      <c r="G49" s="21"/>
      <c r="H49" s="21"/>
    </row>
  </sheetData>
  <mergeCells count="8">
    <mergeCell ref="B47:C47"/>
    <mergeCell ref="A1:H1"/>
    <mergeCell ref="A4:H4"/>
    <mergeCell ref="A5:H5"/>
    <mergeCell ref="A6:H6"/>
    <mergeCell ref="A8:H8"/>
    <mergeCell ref="A9:H9"/>
    <mergeCell ref="A3:H3"/>
  </mergeCells>
  <phoneticPr fontId="0" type="noConversion"/>
  <pageMargins left="0.5" right="0.5" top="1" bottom="0.5" header="0.5" footer="0.5"/>
  <pageSetup scale="68" orientation="portrait" blackAndWhite="1" r:id="rId1"/>
  <headerFooter alignWithMargins="0">
    <oddHeader>&amp;RState of Kansas
City</oddHeader>
    <oddFooter>&amp;Lrevised 5/08/08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1"/>
  <sheetViews>
    <sheetView workbookViewId="0">
      <selection activeCell="B37" sqref="B37"/>
    </sheetView>
  </sheetViews>
  <sheetFormatPr defaultRowHeight="15.75"/>
  <cols>
    <col min="1" max="1" width="15.77734375" style="7" customWidth="1"/>
    <col min="2" max="2" width="20.77734375" style="7" customWidth="1"/>
    <col min="3" max="3" width="9.77734375" style="7" customWidth="1"/>
    <col min="4" max="4" width="15.109375" style="7" customWidth="1"/>
    <col min="5" max="5" width="15.77734375" style="7" customWidth="1"/>
    <col min="6" max="16384" width="8.88671875" style="7"/>
  </cols>
  <sheetData>
    <row r="1" spans="1:6">
      <c r="A1" s="422" t="s">
        <v>62</v>
      </c>
      <c r="B1" s="423"/>
      <c r="C1" s="423"/>
      <c r="D1" s="423"/>
      <c r="E1" s="423"/>
    </row>
    <row r="2" spans="1:6">
      <c r="A2" s="22" t="s">
        <v>392</v>
      </c>
      <c r="B2" s="21"/>
      <c r="C2" s="21"/>
      <c r="D2" s="236" t="s">
        <v>423</v>
      </c>
      <c r="E2" s="237"/>
    </row>
    <row r="3" spans="1:6">
      <c r="A3" s="22" t="s">
        <v>393</v>
      </c>
      <c r="B3" s="21"/>
      <c r="C3" s="21"/>
      <c r="D3" s="238" t="s">
        <v>424</v>
      </c>
      <c r="E3" s="239"/>
    </row>
    <row r="4" spans="1:6">
      <c r="A4" s="25"/>
      <c r="B4" s="21"/>
      <c r="C4" s="21"/>
      <c r="D4" s="161"/>
      <c r="E4" s="21"/>
    </row>
    <row r="5" spans="1:6">
      <c r="A5" s="22" t="s">
        <v>267</v>
      </c>
      <c r="B5" s="21"/>
      <c r="C5" s="235">
        <v>2013</v>
      </c>
      <c r="D5" s="161"/>
      <c r="E5" s="21"/>
    </row>
    <row r="6" spans="1:6">
      <c r="A6" s="21"/>
      <c r="B6" s="21"/>
      <c r="C6" s="21"/>
      <c r="D6" s="21"/>
      <c r="E6" s="21"/>
    </row>
    <row r="7" spans="1:6" ht="31.5">
      <c r="A7" s="108" t="s">
        <v>350</v>
      </c>
      <c r="B7" s="114"/>
      <c r="C7" s="114"/>
      <c r="D7" s="114"/>
      <c r="E7" s="114"/>
    </row>
    <row r="8" spans="1:6">
      <c r="A8" s="108" t="s">
        <v>349</v>
      </c>
      <c r="B8" s="114"/>
      <c r="C8" s="114"/>
      <c r="D8" s="114"/>
      <c r="E8" s="114"/>
    </row>
    <row r="9" spans="1:6">
      <c r="A9" s="108"/>
      <c r="B9" s="114"/>
      <c r="C9" s="114"/>
      <c r="D9" s="114"/>
      <c r="E9" s="114"/>
    </row>
    <row r="10" spans="1:6">
      <c r="A10" s="420" t="s">
        <v>331</v>
      </c>
      <c r="B10" s="421"/>
      <c r="C10" s="421"/>
      <c r="D10" s="421"/>
      <c r="E10" s="421"/>
    </row>
    <row r="11" spans="1:6">
      <c r="A11" s="21"/>
      <c r="B11" s="21"/>
      <c r="C11" s="21"/>
      <c r="D11" s="21"/>
      <c r="E11" s="21"/>
    </row>
    <row r="12" spans="1:6">
      <c r="A12" s="162" t="s">
        <v>332</v>
      </c>
      <c r="B12" s="124"/>
      <c r="C12" s="21"/>
      <c r="D12" s="21"/>
      <c r="E12" s="21"/>
    </row>
    <row r="13" spans="1:6">
      <c r="A13" s="121" t="str">
        <f>CONCATENATE("the ",C5-1," Budget, Certificate Page:")</f>
        <v>the 2012 Budget, Certificate Page:</v>
      </c>
      <c r="B13" s="122"/>
      <c r="C13" s="21"/>
      <c r="D13" s="21"/>
      <c r="E13" s="21"/>
    </row>
    <row r="14" spans="1:6">
      <c r="A14" s="21"/>
      <c r="B14" s="21"/>
      <c r="C14" s="21"/>
      <c r="D14" s="220" t="s">
        <v>296</v>
      </c>
      <c r="E14" s="147"/>
    </row>
    <row r="15" spans="1:6">
      <c r="A15" s="25" t="s">
        <v>63</v>
      </c>
      <c r="B15" s="21"/>
      <c r="C15" s="49" t="s">
        <v>64</v>
      </c>
      <c r="D15" s="221" t="str">
        <f>CONCATENATE("in ",C5-1," Budget")</f>
        <v>in 2012 Budget</v>
      </c>
      <c r="E15" s="147"/>
    </row>
    <row r="16" spans="1:6">
      <c r="A16" s="21"/>
      <c r="B16" s="44" t="s">
        <v>65</v>
      </c>
      <c r="C16" s="42" t="s">
        <v>234</v>
      </c>
      <c r="D16" s="9">
        <v>217667</v>
      </c>
      <c r="E16" s="147"/>
      <c r="F16" s="7" t="s">
        <v>487</v>
      </c>
    </row>
    <row r="17" spans="1:6">
      <c r="A17" s="21"/>
      <c r="B17" s="44" t="s">
        <v>260</v>
      </c>
      <c r="C17" s="42" t="s">
        <v>427</v>
      </c>
      <c r="D17" s="9">
        <v>0</v>
      </c>
      <c r="E17" s="147"/>
      <c r="F17" s="7" t="s">
        <v>487</v>
      </c>
    </row>
    <row r="18" spans="1:6">
      <c r="A18" s="25" t="s">
        <v>66</v>
      </c>
      <c r="B18" s="21"/>
      <c r="C18" s="21"/>
      <c r="D18" s="21"/>
      <c r="E18" s="147"/>
    </row>
    <row r="19" spans="1:6">
      <c r="A19" s="21"/>
      <c r="B19" s="8" t="s">
        <v>425</v>
      </c>
      <c r="C19" s="8" t="s">
        <v>426</v>
      </c>
      <c r="D19" s="9">
        <v>9144</v>
      </c>
      <c r="E19" s="147"/>
      <c r="F19" s="7" t="s">
        <v>487</v>
      </c>
    </row>
    <row r="20" spans="1:6">
      <c r="A20" s="21"/>
      <c r="B20" s="8"/>
      <c r="C20" s="8"/>
      <c r="D20" s="9"/>
      <c r="E20" s="147"/>
    </row>
    <row r="21" spans="1:6">
      <c r="A21" s="109" t="str">
        <f>CONCATENATE("Total Tax Levy Funds for ",C5-1," Budgeted Year")</f>
        <v>Total Tax Levy Funds for 2012 Budgeted Year</v>
      </c>
      <c r="B21" s="20"/>
      <c r="C21" s="115"/>
      <c r="D21" s="240">
        <f>SUM(D16:D20)</f>
        <v>226811</v>
      </c>
      <c r="E21" s="147"/>
    </row>
    <row r="22" spans="1:6">
      <c r="A22" s="128"/>
      <c r="B22" s="104"/>
      <c r="C22" s="104"/>
      <c r="D22" s="135"/>
      <c r="E22" s="147"/>
    </row>
    <row r="23" spans="1:6">
      <c r="A23" s="25" t="s">
        <v>272</v>
      </c>
      <c r="B23" s="21"/>
      <c r="C23" s="21"/>
      <c r="D23" s="21"/>
      <c r="E23" s="21"/>
    </row>
    <row r="24" spans="1:6">
      <c r="A24" s="21"/>
      <c r="B24" s="42" t="s">
        <v>209</v>
      </c>
      <c r="C24" s="21"/>
      <c r="D24" s="21"/>
      <c r="E24" s="21"/>
    </row>
    <row r="25" spans="1:6">
      <c r="A25" s="21"/>
      <c r="B25" s="8" t="s">
        <v>428</v>
      </c>
      <c r="C25" s="21"/>
      <c r="D25" s="21"/>
      <c r="E25" s="21"/>
    </row>
    <row r="26" spans="1:6">
      <c r="A26" s="21"/>
      <c r="B26" s="8" t="s">
        <v>429</v>
      </c>
      <c r="C26" s="21"/>
      <c r="D26" s="21"/>
      <c r="E26" s="21"/>
    </row>
    <row r="27" spans="1:6">
      <c r="A27" s="21"/>
      <c r="B27" s="8" t="s">
        <v>457</v>
      </c>
      <c r="C27" s="21"/>
      <c r="D27" s="21"/>
      <c r="E27" s="21"/>
    </row>
    <row r="28" spans="1:6">
      <c r="A28" s="21"/>
      <c r="B28" s="10"/>
      <c r="C28" s="21"/>
      <c r="D28" s="21"/>
      <c r="E28" s="21"/>
    </row>
    <row r="29" spans="1:6">
      <c r="A29" s="21" t="s">
        <v>302</v>
      </c>
      <c r="B29" s="170"/>
      <c r="C29" s="21"/>
      <c r="D29" s="21"/>
      <c r="E29" s="21"/>
    </row>
    <row r="30" spans="1:6">
      <c r="A30" s="21">
        <v>1</v>
      </c>
      <c r="B30" s="10" t="s">
        <v>51</v>
      </c>
      <c r="C30" s="21"/>
      <c r="D30" s="21"/>
      <c r="E30" s="21"/>
    </row>
    <row r="31" spans="1:6">
      <c r="A31" s="21">
        <v>2</v>
      </c>
      <c r="B31" s="10" t="s">
        <v>45</v>
      </c>
      <c r="C31" s="21"/>
      <c r="D31" s="21"/>
      <c r="E31" s="21"/>
    </row>
    <row r="32" spans="1:6">
      <c r="A32" s="21" t="s">
        <v>303</v>
      </c>
      <c r="B32" s="170"/>
      <c r="C32" s="21"/>
      <c r="D32" s="21"/>
      <c r="E32" s="21"/>
    </row>
    <row r="33" spans="1:6">
      <c r="A33" s="21">
        <v>1</v>
      </c>
      <c r="B33" s="10" t="s">
        <v>453</v>
      </c>
      <c r="C33" s="21"/>
      <c r="D33" s="21"/>
      <c r="E33" s="21"/>
    </row>
    <row r="34" spans="1:6">
      <c r="A34" s="21">
        <v>2</v>
      </c>
      <c r="B34" s="10" t="s">
        <v>460</v>
      </c>
      <c r="C34" s="21"/>
      <c r="D34" s="21"/>
      <c r="E34" s="21"/>
    </row>
    <row r="35" spans="1:6">
      <c r="A35" s="21">
        <v>3</v>
      </c>
      <c r="B35" s="369" t="s">
        <v>485</v>
      </c>
      <c r="C35" s="21"/>
      <c r="D35" s="21"/>
      <c r="E35" s="21"/>
    </row>
    <row r="36" spans="1:6">
      <c r="A36" s="376">
        <v>4</v>
      </c>
      <c r="B36" s="375" t="s">
        <v>501</v>
      </c>
      <c r="C36" s="104"/>
      <c r="D36" s="104"/>
      <c r="E36" s="148"/>
    </row>
    <row r="37" spans="1:6">
      <c r="A37" s="21"/>
      <c r="B37" s="21"/>
      <c r="C37" s="21"/>
      <c r="D37" s="21"/>
      <c r="E37" s="21"/>
    </row>
    <row r="38" spans="1:6">
      <c r="A38" s="21"/>
      <c r="B38" s="21"/>
      <c r="C38" s="21"/>
      <c r="D38" s="163" t="str">
        <f>CONCATENATE("",C5-3," Tax Levy Rate")</f>
        <v>2010 Tax Levy Rate</v>
      </c>
      <c r="E38" s="21"/>
    </row>
    <row r="39" spans="1:6">
      <c r="A39" s="121" t="str">
        <f>CONCATENATE("From the ",C5-1," Budget, Budget Summary Page")</f>
        <v>From the 2012 Budget, Budget Summary Page</v>
      </c>
      <c r="B39" s="122"/>
      <c r="C39" s="21"/>
      <c r="D39" s="164" t="str">
        <f>CONCATENATE("(",C5-2," Column)")</f>
        <v>(2011 Column)</v>
      </c>
      <c r="E39" s="21"/>
    </row>
    <row r="40" spans="1:6">
      <c r="A40" s="21"/>
      <c r="B40" s="40" t="str">
        <f>B16</f>
        <v>General</v>
      </c>
      <c r="C40" s="21"/>
      <c r="D40" s="10">
        <v>71.563000000000002</v>
      </c>
      <c r="E40" s="21"/>
      <c r="F40" s="7" t="s">
        <v>487</v>
      </c>
    </row>
    <row r="41" spans="1:6">
      <c r="A41" s="21"/>
      <c r="B41" s="40" t="str">
        <f>B17</f>
        <v>Bond &amp; Interest</v>
      </c>
      <c r="C41" s="21"/>
      <c r="D41" s="10">
        <v>0</v>
      </c>
      <c r="E41" s="21"/>
      <c r="F41" s="7" t="s">
        <v>487</v>
      </c>
    </row>
    <row r="42" spans="1:6">
      <c r="A42" s="21"/>
      <c r="B42" s="40" t="str">
        <f>B19</f>
        <v>Library</v>
      </c>
      <c r="C42" s="21"/>
      <c r="D42" s="10">
        <v>3.0059999999999998</v>
      </c>
      <c r="E42" s="21"/>
      <c r="F42" s="7" t="s">
        <v>487</v>
      </c>
    </row>
    <row r="43" spans="1:6">
      <c r="A43" s="109" t="s">
        <v>67</v>
      </c>
      <c r="B43" s="20"/>
      <c r="C43" s="115"/>
      <c r="D43" s="241">
        <f>SUM(D40:D42)</f>
        <v>74.569000000000003</v>
      </c>
      <c r="E43" s="21"/>
    </row>
    <row r="44" spans="1:6">
      <c r="A44" s="21"/>
      <c r="B44" s="21"/>
      <c r="C44" s="21"/>
      <c r="D44" s="21"/>
      <c r="E44" s="21"/>
    </row>
    <row r="45" spans="1:6">
      <c r="A45" s="216" t="str">
        <f>CONCATENATE("Total Levy Dollar Amount (",C5-2," budget column)")</f>
        <v>Total Levy Dollar Amount (2011 budget column)</v>
      </c>
      <c r="B45" s="217"/>
      <c r="C45" s="20"/>
      <c r="D45" s="115"/>
      <c r="E45" s="9">
        <v>221329</v>
      </c>
      <c r="F45" s="7" t="s">
        <v>487</v>
      </c>
    </row>
    <row r="46" spans="1:6">
      <c r="A46" s="218" t="str">
        <f>CONCATENATE("Assessed Valuation for ",C5-3," (",C5-2," budget column)")</f>
        <v>Assessed Valuation for 2010 (2011 budget column)</v>
      </c>
      <c r="B46" s="219"/>
      <c r="C46" s="113"/>
      <c r="D46" s="38"/>
      <c r="E46" s="9">
        <v>2968131</v>
      </c>
      <c r="F46" s="7" t="s">
        <v>487</v>
      </c>
    </row>
    <row r="47" spans="1:6">
      <c r="A47" s="128"/>
      <c r="B47" s="104"/>
      <c r="C47" s="104"/>
      <c r="D47" s="104"/>
      <c r="E47" s="148"/>
    </row>
    <row r="48" spans="1:6">
      <c r="A48" s="215" t="str">
        <f>CONCATENATE("From the ",C5-1," Budget, Budget Summary Page")</f>
        <v>From the 2012 Budget, Budget Summary Page</v>
      </c>
      <c r="B48" s="254"/>
      <c r="C48" s="21"/>
      <c r="D48" s="165"/>
      <c r="E48" s="65"/>
    </row>
    <row r="49" spans="1:6">
      <c r="A49" s="124" t="s">
        <v>348</v>
      </c>
      <c r="B49" s="124"/>
      <c r="C49" s="134"/>
      <c r="D49" s="166">
        <f>C5-3</f>
        <v>2010</v>
      </c>
      <c r="E49" s="167">
        <f>C5-2</f>
        <v>2011</v>
      </c>
    </row>
    <row r="50" spans="1:6">
      <c r="A50" s="255" t="s">
        <v>268</v>
      </c>
      <c r="B50" s="255"/>
      <c r="C50" s="168"/>
      <c r="D50" s="17">
        <v>0</v>
      </c>
      <c r="E50" s="17">
        <v>0</v>
      </c>
      <c r="F50" s="7" t="s">
        <v>487</v>
      </c>
    </row>
    <row r="51" spans="1:6">
      <c r="A51" s="256" t="s">
        <v>269</v>
      </c>
      <c r="B51" s="256"/>
      <c r="C51" s="169"/>
      <c r="D51" s="17">
        <v>0</v>
      </c>
      <c r="E51" s="17">
        <v>0</v>
      </c>
      <c r="F51" s="7" t="s">
        <v>487</v>
      </c>
    </row>
    <row r="52" spans="1:6">
      <c r="A52" s="256" t="s">
        <v>270</v>
      </c>
      <c r="B52" s="256"/>
      <c r="C52" s="169"/>
      <c r="D52" s="17">
        <v>0</v>
      </c>
      <c r="E52" s="17">
        <v>183545</v>
      </c>
      <c r="F52" s="7" t="s">
        <v>487</v>
      </c>
    </row>
    <row r="53" spans="1:6">
      <c r="A53" s="256" t="s">
        <v>271</v>
      </c>
      <c r="B53" s="256"/>
      <c r="C53" s="169"/>
      <c r="D53" s="17">
        <v>18944</v>
      </c>
      <c r="E53" s="17">
        <v>14427</v>
      </c>
      <c r="F53" s="7" t="s">
        <v>487</v>
      </c>
    </row>
    <row r="54" spans="1:6">
      <c r="A54"/>
      <c r="B54"/>
      <c r="C54"/>
      <c r="D54"/>
      <c r="E54"/>
    </row>
    <row r="55" spans="1:6">
      <c r="A55"/>
      <c r="B55"/>
      <c r="C55"/>
      <c r="D55"/>
      <c r="E55"/>
    </row>
    <row r="56" spans="1:6">
      <c r="A56"/>
      <c r="B56"/>
      <c r="C56"/>
      <c r="D56"/>
      <c r="E56"/>
    </row>
    <row r="57" spans="1:6">
      <c r="A57"/>
      <c r="B57"/>
      <c r="C57"/>
      <c r="D57"/>
      <c r="E57"/>
    </row>
    <row r="58" spans="1:6">
      <c r="A58"/>
      <c r="B58"/>
      <c r="C58"/>
      <c r="D58"/>
      <c r="E58"/>
    </row>
    <row r="59" spans="1:6">
      <c r="A59"/>
      <c r="B59"/>
      <c r="C59"/>
      <c r="D59"/>
      <c r="E59"/>
    </row>
    <row r="60" spans="1:6" customFormat="1" ht="15"/>
    <row r="61" spans="1:6">
      <c r="A61"/>
      <c r="B61"/>
      <c r="C61"/>
      <c r="D61"/>
      <c r="E61"/>
    </row>
    <row r="62" spans="1:6">
      <c r="A62"/>
      <c r="B62"/>
      <c r="C62"/>
      <c r="D62"/>
      <c r="E62"/>
    </row>
    <row r="63" spans="1:6">
      <c r="A63"/>
      <c r="B63"/>
      <c r="C63"/>
      <c r="D63"/>
      <c r="E63"/>
    </row>
    <row r="64" spans="1:6">
      <c r="A64"/>
      <c r="B64"/>
      <c r="C64"/>
      <c r="D64"/>
      <c r="E64"/>
    </row>
    <row r="65" spans="1:5">
      <c r="A65"/>
      <c r="B65"/>
      <c r="C65"/>
      <c r="D65"/>
      <c r="E65"/>
    </row>
    <row r="66" spans="1:5">
      <c r="A66"/>
      <c r="B66"/>
      <c r="C66"/>
      <c r="D66"/>
      <c r="E66"/>
    </row>
    <row r="67" spans="1:5">
      <c r="A67"/>
      <c r="B67"/>
      <c r="C67"/>
      <c r="D67"/>
      <c r="E67"/>
    </row>
    <row r="68" spans="1:5">
      <c r="A68"/>
      <c r="B68"/>
      <c r="C68"/>
      <c r="D68"/>
      <c r="E68"/>
    </row>
    <row r="69" spans="1:5">
      <c r="A69"/>
      <c r="B69"/>
      <c r="C69"/>
      <c r="D69"/>
      <c r="E69"/>
    </row>
    <row r="70" spans="1:5">
      <c r="A70"/>
      <c r="B70"/>
      <c r="C70"/>
      <c r="D70"/>
      <c r="E70"/>
    </row>
    <row r="71" spans="1:5">
      <c r="A71"/>
      <c r="B71"/>
      <c r="C71"/>
      <c r="D71"/>
      <c r="E71"/>
    </row>
  </sheetData>
  <mergeCells count="2">
    <mergeCell ref="A10:E10"/>
    <mergeCell ref="A1:E1"/>
  </mergeCells>
  <phoneticPr fontId="0" type="noConversion"/>
  <pageMargins left="0.5" right="0.5" top="1" bottom="0.5" header="0.5" footer="0.25"/>
  <pageSetup scale="96" fitToHeight="2" orientation="portrait" blackAndWhite="1" horizontalDpi="120" verticalDpi="144" r:id="rId1"/>
  <headerFooter alignWithMargins="0">
    <oddFooter>&amp;Lrevised 8/06/07</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workbookViewId="0">
      <selection activeCell="J12" sqref="J12"/>
    </sheetView>
  </sheetViews>
  <sheetFormatPr defaultRowHeight="15"/>
  <cols>
    <col min="1" max="1" width="10.109375" customWidth="1"/>
    <col min="2" max="2" width="16.33203125" customWidth="1"/>
    <col min="3" max="3" width="11.77734375" customWidth="1"/>
    <col min="4" max="4" width="12.77734375" customWidth="1"/>
    <col min="5" max="5" width="11.77734375" customWidth="1"/>
  </cols>
  <sheetData>
    <row r="1" spans="1:6" ht="15.75">
      <c r="A1" s="72" t="str">
        <f>inputPrYr!D2</f>
        <v>CITY OF BLUE RAPIDS</v>
      </c>
      <c r="B1" s="21"/>
      <c r="C1" s="21"/>
      <c r="D1" s="21"/>
      <c r="E1" s="21"/>
      <c r="F1" s="21">
        <f>inputPrYr!C5</f>
        <v>2013</v>
      </c>
    </row>
    <row r="2" spans="1:6" ht="15.75">
      <c r="A2" s="21"/>
      <c r="B2" s="21"/>
      <c r="C2" s="21"/>
      <c r="D2" s="21"/>
      <c r="E2" s="21"/>
      <c r="F2" s="21"/>
    </row>
    <row r="3" spans="1:6" ht="15.75">
      <c r="A3" s="21"/>
      <c r="B3" s="445" t="str">
        <f>CONCATENATE("",F1," Neighborhood Revitalization Rebate")</f>
        <v>2013 Neighborhood Revitalization Rebate</v>
      </c>
      <c r="C3" s="469"/>
      <c r="D3" s="469"/>
      <c r="E3" s="469"/>
      <c r="F3" s="21"/>
    </row>
    <row r="4" spans="1:6" ht="15.75">
      <c r="A4" s="21"/>
      <c r="B4" s="21"/>
      <c r="C4" s="21"/>
      <c r="D4" s="21"/>
      <c r="E4" s="21"/>
      <c r="F4" s="21"/>
    </row>
    <row r="5" spans="1:6" ht="51" customHeight="1">
      <c r="A5" s="21"/>
      <c r="B5" s="317" t="str">
        <f>CONCATENATE("Budgeted Funds for ",F1-1,"")</f>
        <v>Budgeted Funds for 2012</v>
      </c>
      <c r="C5" s="299" t="str">
        <f>CONCATENATE("",F1-1," Ad Valorem before Rebate")</f>
        <v>2012 Ad Valorem before Rebate</v>
      </c>
      <c r="D5" s="300" t="str">
        <f>CONCATENATE("",F1-1," Mil Rate before Rebate")</f>
        <v>2012 Mil Rate before Rebate</v>
      </c>
      <c r="E5" s="301" t="str">
        <f>CONCATENATE("Estimate ",F1," NR Rebate")</f>
        <v>Estimate 2013 NR Rebate</v>
      </c>
      <c r="F5" s="134"/>
    </row>
    <row r="6" spans="1:6" ht="15.75">
      <c r="A6" s="21"/>
      <c r="B6" s="44" t="str">
        <f>inputPrYr!B16</f>
        <v>General</v>
      </c>
      <c r="C6" s="312">
        <v>228275</v>
      </c>
      <c r="D6" s="302">
        <f>IF(C6&gt;0,C6/$D$23,"")</f>
        <v>74.956131248998503</v>
      </c>
      <c r="E6" s="191">
        <f>IF(C6&gt;0,D6*$D$27,"")</f>
        <v>1426.1903092746945</v>
      </c>
      <c r="F6" s="134"/>
    </row>
    <row r="7" spans="1:6" ht="15.75">
      <c r="A7" s="21"/>
      <c r="B7" s="44" t="str">
        <f>inputPrYr!B17</f>
        <v>Bond &amp; Interest</v>
      </c>
      <c r="C7" s="312">
        <v>16895</v>
      </c>
      <c r="D7" s="302">
        <f t="shared" ref="D7:D17" si="0">IF(C7&gt;0,C7/$D$23,"")</f>
        <v>5.5476238635497968</v>
      </c>
      <c r="E7" s="191">
        <f t="shared" ref="E7:E17" si="1">IF(C7&gt;0,D7*$D$27,"")</f>
        <v>105.55463925176198</v>
      </c>
      <c r="F7" s="134"/>
    </row>
    <row r="8" spans="1:6" ht="15.75">
      <c r="A8" s="21"/>
      <c r="B8" s="40" t="str">
        <f>inputPrYr!B19</f>
        <v>Library</v>
      </c>
      <c r="C8" s="312">
        <v>17446</v>
      </c>
      <c r="D8" s="302">
        <f t="shared" si="0"/>
        <v>5.7285496255394941</v>
      </c>
      <c r="E8" s="191">
        <f t="shared" si="1"/>
        <v>108.99711372513995</v>
      </c>
      <c r="F8" s="134"/>
    </row>
    <row r="9" spans="1:6" ht="15.75">
      <c r="A9" s="21"/>
      <c r="B9" s="40"/>
      <c r="C9" s="312"/>
      <c r="D9" s="302" t="str">
        <f t="shared" si="0"/>
        <v/>
      </c>
      <c r="E9" s="191" t="str">
        <f t="shared" si="1"/>
        <v/>
      </c>
      <c r="F9" s="134"/>
    </row>
    <row r="10" spans="1:6" ht="15.75">
      <c r="A10" s="21"/>
      <c r="B10" s="40"/>
      <c r="C10" s="312"/>
      <c r="D10" s="302" t="str">
        <f t="shared" si="0"/>
        <v/>
      </c>
      <c r="E10" s="191" t="str">
        <f t="shared" si="1"/>
        <v/>
      </c>
      <c r="F10" s="134"/>
    </row>
    <row r="11" spans="1:6" ht="15.75">
      <c r="A11" s="21"/>
      <c r="B11" s="40"/>
      <c r="C11" s="312"/>
      <c r="D11" s="302" t="str">
        <f t="shared" si="0"/>
        <v/>
      </c>
      <c r="E11" s="191" t="str">
        <f t="shared" si="1"/>
        <v/>
      </c>
      <c r="F11" s="134"/>
    </row>
    <row r="12" spans="1:6" ht="15.75">
      <c r="A12" s="21"/>
      <c r="B12" s="40"/>
      <c r="C12" s="313"/>
      <c r="D12" s="302" t="str">
        <f t="shared" si="0"/>
        <v/>
      </c>
      <c r="E12" s="191" t="str">
        <f t="shared" si="1"/>
        <v/>
      </c>
      <c r="F12" s="134"/>
    </row>
    <row r="13" spans="1:6" ht="15.75">
      <c r="A13" s="21"/>
      <c r="B13" s="40"/>
      <c r="C13" s="313"/>
      <c r="D13" s="302" t="str">
        <f t="shared" si="0"/>
        <v/>
      </c>
      <c r="E13" s="191" t="str">
        <f t="shared" si="1"/>
        <v/>
      </c>
      <c r="F13" s="134"/>
    </row>
    <row r="14" spans="1:6" ht="15.75">
      <c r="A14" s="21"/>
      <c r="B14" s="40"/>
      <c r="C14" s="313"/>
      <c r="D14" s="302" t="str">
        <f t="shared" si="0"/>
        <v/>
      </c>
      <c r="E14" s="191" t="str">
        <f t="shared" si="1"/>
        <v/>
      </c>
      <c r="F14" s="134"/>
    </row>
    <row r="15" spans="1:6" ht="15.75">
      <c r="A15" s="21"/>
      <c r="B15" s="40"/>
      <c r="C15" s="313"/>
      <c r="D15" s="302" t="str">
        <f t="shared" si="0"/>
        <v/>
      </c>
      <c r="E15" s="191" t="str">
        <f t="shared" si="1"/>
        <v/>
      </c>
      <c r="F15" s="134"/>
    </row>
    <row r="16" spans="1:6" ht="15.75">
      <c r="A16" s="21"/>
      <c r="B16" s="40"/>
      <c r="C16" s="313"/>
      <c r="D16" s="302" t="str">
        <f t="shared" si="0"/>
        <v/>
      </c>
      <c r="E16" s="191" t="str">
        <f t="shared" si="1"/>
        <v/>
      </c>
      <c r="F16" s="134"/>
    </row>
    <row r="17" spans="1:6" ht="15.75">
      <c r="A17" s="21"/>
      <c r="B17" s="40"/>
      <c r="C17" s="313"/>
      <c r="D17" s="302" t="str">
        <f t="shared" si="0"/>
        <v/>
      </c>
      <c r="E17" s="191" t="str">
        <f t="shared" si="1"/>
        <v/>
      </c>
      <c r="F17" s="134"/>
    </row>
    <row r="18" spans="1:6" ht="16.5" thickBot="1">
      <c r="A18" s="21"/>
      <c r="B18" s="42" t="s">
        <v>91</v>
      </c>
      <c r="C18" s="303">
        <f>SUM(C6:C17)</f>
        <v>262616</v>
      </c>
      <c r="D18" s="304">
        <f>SUM(D6:D17)</f>
        <v>86.232304738087805</v>
      </c>
      <c r="E18" s="303">
        <f>SUM(E6:E17)</f>
        <v>1640.7420622515965</v>
      </c>
      <c r="F18" s="134"/>
    </row>
    <row r="19" spans="1:6" ht="16.5" thickTop="1">
      <c r="A19" s="21"/>
      <c r="B19" s="21"/>
      <c r="C19" s="21"/>
      <c r="D19" s="21"/>
      <c r="E19" s="21"/>
      <c r="F19" s="134"/>
    </row>
    <row r="20" spans="1:6" ht="15.75">
      <c r="A20" s="21"/>
      <c r="B20" s="21"/>
      <c r="C20" s="21"/>
      <c r="D20" s="21"/>
      <c r="E20" s="21"/>
      <c r="F20" s="134"/>
    </row>
    <row r="21" spans="1:6" ht="15.75">
      <c r="A21" s="470" t="str">
        <f>CONCATENATE("",F1-1," Net Valuation (July 1 less NR Valuation)")</f>
        <v>2012 Net Valuation (July 1 less NR Valuation)</v>
      </c>
      <c r="B21" s="458"/>
      <c r="C21" s="470"/>
      <c r="D21" s="172">
        <f>inputOth!E6-inputOth!E16</f>
        <v>3045448</v>
      </c>
      <c r="E21" s="21"/>
      <c r="F21" s="134"/>
    </row>
    <row r="22" spans="1:6" ht="15.75">
      <c r="A22" s="21"/>
      <c r="B22" s="21"/>
      <c r="C22" s="21"/>
      <c r="D22" s="21"/>
      <c r="E22" s="21"/>
      <c r="F22" s="134"/>
    </row>
    <row r="23" spans="1:6" ht="15.75">
      <c r="A23" s="21"/>
      <c r="B23" s="470" t="s">
        <v>366</v>
      </c>
      <c r="C23" s="470"/>
      <c r="D23" s="305">
        <f>IF(D21&gt;0,(D21*0.001),"")</f>
        <v>3045.4479999999999</v>
      </c>
      <c r="E23" s="21"/>
      <c r="F23" s="134"/>
    </row>
    <row r="24" spans="1:6" ht="15.75">
      <c r="A24" s="21"/>
      <c r="B24" s="23"/>
      <c r="C24" s="23"/>
      <c r="D24" s="306"/>
      <c r="E24" s="21"/>
      <c r="F24" s="134"/>
    </row>
    <row r="25" spans="1:6" ht="15.75">
      <c r="A25" s="468" t="s">
        <v>367</v>
      </c>
      <c r="B25" s="471"/>
      <c r="C25" s="471"/>
      <c r="D25" s="307">
        <f>inputOth!E16</f>
        <v>19027</v>
      </c>
      <c r="E25" s="147"/>
      <c r="F25" s="147"/>
    </row>
    <row r="26" spans="1:6">
      <c r="A26" s="147"/>
      <c r="B26" s="147"/>
      <c r="C26" s="147"/>
      <c r="D26" s="308"/>
      <c r="E26" s="147"/>
      <c r="F26" s="147"/>
    </row>
    <row r="27" spans="1:6" ht="15.75">
      <c r="A27" s="147"/>
      <c r="B27" s="468" t="s">
        <v>368</v>
      </c>
      <c r="C27" s="458"/>
      <c r="D27" s="311">
        <f>IF(D25&gt;0,(D25*0.001),"")</f>
        <v>19.027000000000001</v>
      </c>
      <c r="E27" s="147"/>
      <c r="F27" s="147"/>
    </row>
    <row r="28" spans="1:6">
      <c r="A28" s="147"/>
      <c r="B28" s="147"/>
      <c r="C28" s="147"/>
      <c r="D28" s="147"/>
      <c r="E28" s="147"/>
      <c r="F28" s="147"/>
    </row>
    <row r="29" spans="1:6">
      <c r="A29" s="147"/>
      <c r="B29" s="147"/>
      <c r="C29" s="147"/>
      <c r="D29" s="147"/>
      <c r="E29" s="147"/>
      <c r="F29" s="147"/>
    </row>
    <row r="30" spans="1:6">
      <c r="A30" s="147"/>
      <c r="B30" s="147"/>
      <c r="C30" s="147"/>
      <c r="D30" s="147"/>
      <c r="E30" s="147"/>
      <c r="F30" s="147"/>
    </row>
    <row r="31" spans="1:6">
      <c r="A31" s="147"/>
      <c r="B31" s="147"/>
      <c r="C31" s="147"/>
      <c r="D31" s="147"/>
      <c r="E31" s="147"/>
      <c r="F31" s="147"/>
    </row>
    <row r="32" spans="1:6">
      <c r="A32" s="147"/>
      <c r="B32" s="147"/>
      <c r="C32" s="147"/>
      <c r="D32" s="147"/>
      <c r="E32" s="147"/>
      <c r="F32" s="147"/>
    </row>
    <row r="33" spans="1:6">
      <c r="A33" s="147"/>
      <c r="B33" s="147"/>
      <c r="C33" s="147"/>
      <c r="D33" s="147"/>
      <c r="E33" s="147"/>
      <c r="F33" s="147"/>
    </row>
    <row r="34" spans="1:6" ht="15.75">
      <c r="A34" s="147"/>
      <c r="B34" s="63" t="s">
        <v>114</v>
      </c>
      <c r="C34" s="16"/>
      <c r="D34" s="147"/>
      <c r="E34" s="147"/>
      <c r="F34" s="147"/>
    </row>
    <row r="35" spans="1:6" ht="15.75">
      <c r="A35" s="134"/>
      <c r="B35" s="21"/>
      <c r="C35" s="21"/>
      <c r="D35" s="309"/>
      <c r="E35" s="134"/>
      <c r="F35" s="134"/>
    </row>
  </sheetData>
  <mergeCells count="5">
    <mergeCell ref="B27:C27"/>
    <mergeCell ref="B3:E3"/>
    <mergeCell ref="A21:C21"/>
    <mergeCell ref="B23:C23"/>
    <mergeCell ref="A25:C25"/>
  </mergeCells>
  <phoneticPr fontId="11" type="noConversion"/>
  <pageMargins left="0.75" right="0.75" top="1" bottom="1" header="0.5" footer="0.5"/>
  <pageSetup scale="97" orientation="portrait" blackAndWhite="1" r:id="rId1"/>
  <headerFooter alignWithMargins="0">
    <oddHeader>&amp;RState of  Kansas
City</oddHeader>
    <oddFooter>&amp;Lrevised 8/06/07</oddFooter>
  </headerFooter>
</worksheet>
</file>

<file path=xl/worksheets/sheet21.xml><?xml version="1.0" encoding="utf-8"?>
<worksheet xmlns="http://schemas.openxmlformats.org/spreadsheetml/2006/main" xmlns:r="http://schemas.openxmlformats.org/officeDocument/2006/relationships">
  <dimension ref="A1:N40"/>
  <sheetViews>
    <sheetView workbookViewId="0">
      <selection activeCell="K18" sqref="K18"/>
    </sheetView>
  </sheetViews>
  <sheetFormatPr defaultRowHeight="15.75"/>
  <cols>
    <col min="1" max="16384" width="8.88671875" style="2"/>
  </cols>
  <sheetData>
    <row r="1" spans="1:14" ht="16.5" customHeight="1">
      <c r="A1" s="475" t="s">
        <v>240</v>
      </c>
      <c r="B1" s="475"/>
      <c r="C1" s="475"/>
      <c r="D1" s="475"/>
      <c r="E1" s="475"/>
      <c r="F1" s="475"/>
      <c r="G1" s="475"/>
    </row>
    <row r="2" spans="1:14" ht="16.5" customHeight="1">
      <c r="A2" s="475"/>
      <c r="B2" s="475"/>
      <c r="C2" s="475"/>
      <c r="D2" s="475"/>
      <c r="E2" s="475"/>
      <c r="F2" s="475"/>
      <c r="G2" s="475"/>
    </row>
    <row r="3" spans="1:14" ht="16.5" customHeight="1">
      <c r="A3" s="476"/>
      <c r="B3" s="476"/>
      <c r="C3" s="476"/>
      <c r="D3" s="476"/>
      <c r="E3" s="476"/>
      <c r="F3" s="476"/>
      <c r="G3" s="476"/>
    </row>
    <row r="4" spans="1:14" ht="16.5" customHeight="1">
      <c r="A4" s="473" t="str">
        <f>CONCATENATE("AN ORDINANCE ATTESTING TO AN INCREASE IN TAX REVENUES FOR BUDGET YEAR ",inputPrYr!C5," FOR THE ",(inputPrYr!$D$2))</f>
        <v>AN ORDINANCE ATTESTING TO AN INCREASE IN TAX REVENUES FOR BUDGET YEAR 2013 FOR THE CITY OF BLUE RAPIDS</v>
      </c>
      <c r="B4" s="473"/>
      <c r="C4" s="473"/>
      <c r="D4" s="473"/>
      <c r="E4" s="473"/>
      <c r="F4" s="473"/>
      <c r="G4" s="473"/>
    </row>
    <row r="5" spans="1:14" ht="16.5" customHeight="1">
      <c r="A5" s="473"/>
      <c r="B5" s="473"/>
      <c r="C5" s="473"/>
      <c r="D5" s="473"/>
      <c r="E5" s="473"/>
      <c r="F5" s="473"/>
      <c r="G5" s="473"/>
    </row>
    <row r="6" spans="1:14" ht="16.5" customHeight="1">
      <c r="A6" s="475"/>
      <c r="B6" s="475"/>
      <c r="C6" s="475"/>
      <c r="D6" s="475"/>
      <c r="E6" s="475"/>
      <c r="F6" s="475"/>
      <c r="G6" s="475"/>
    </row>
    <row r="7" spans="1:14" ht="16.5" customHeight="1">
      <c r="A7" s="473" t="str">
        <f>CONCATENATE("WHEREAS, the ",(inputPrYr!$D$2)," must continue to provide services to protect the health, safety, and welfare of the citizens of this community; and")</f>
        <v>WHEREAS, the CITY OF BLUE RAPIDS must continue to provide services to protect the health, safety, and welfare of the citizens of this community; and</v>
      </c>
      <c r="B7" s="473"/>
      <c r="C7" s="473"/>
      <c r="D7" s="473"/>
      <c r="E7" s="473"/>
      <c r="F7" s="473"/>
      <c r="G7" s="473"/>
      <c r="H7" s="212"/>
      <c r="I7" s="212"/>
      <c r="J7" s="212"/>
      <c r="K7" s="212"/>
      <c r="L7" s="212"/>
      <c r="M7" s="212"/>
      <c r="N7" s="212"/>
    </row>
    <row r="8" spans="1:14" ht="16.5" customHeight="1">
      <c r="A8" s="473"/>
      <c r="B8" s="473"/>
      <c r="C8" s="473"/>
      <c r="D8" s="473"/>
      <c r="E8" s="473"/>
      <c r="F8" s="473"/>
      <c r="G8" s="473"/>
      <c r="H8" s="212"/>
      <c r="I8" s="212"/>
      <c r="J8" s="212"/>
      <c r="K8" s="212"/>
      <c r="L8" s="212"/>
      <c r="M8" s="212"/>
      <c r="N8" s="212"/>
    </row>
    <row r="9" spans="1:14" ht="16.5" customHeight="1">
      <c r="A9" s="213"/>
      <c r="B9" s="213"/>
      <c r="C9" s="213"/>
      <c r="D9" s="213"/>
      <c r="E9" s="213"/>
      <c r="F9" s="213"/>
      <c r="G9" s="213"/>
    </row>
    <row r="10" spans="1:14" ht="16.5" customHeight="1">
      <c r="A10" s="473" t="s">
        <v>241</v>
      </c>
      <c r="B10" s="473"/>
      <c r="C10" s="473"/>
      <c r="D10" s="473"/>
      <c r="E10" s="473"/>
      <c r="F10" s="473"/>
      <c r="G10" s="473"/>
    </row>
    <row r="11" spans="1:14" ht="16.5" customHeight="1">
      <c r="A11" s="473"/>
      <c r="B11" s="473"/>
      <c r="C11" s="473"/>
      <c r="D11" s="473"/>
      <c r="E11" s="473"/>
      <c r="F11" s="473"/>
      <c r="G11" s="473"/>
    </row>
    <row r="12" spans="1:14" ht="16.5" customHeight="1">
      <c r="A12" s="213"/>
      <c r="B12" s="213"/>
      <c r="C12" s="213"/>
      <c r="D12" s="213"/>
      <c r="E12" s="213"/>
      <c r="F12" s="213"/>
      <c r="G12" s="213"/>
    </row>
    <row r="13" spans="1:14" ht="16.5" customHeight="1">
      <c r="A13" s="473" t="str">
        <f>CONCATENATE("NOW THEREFORE, be it ordained by the Governing Body of the ",(inputPrYr!$D$2),":")</f>
        <v>NOW THEREFORE, be it ordained by the Governing Body of the CITY OF BLUE RAPIDS:</v>
      </c>
      <c r="B13" s="473"/>
      <c r="C13" s="473"/>
      <c r="D13" s="473"/>
      <c r="E13" s="473"/>
      <c r="F13" s="473"/>
      <c r="G13" s="473"/>
      <c r="H13" s="212"/>
      <c r="I13" s="212"/>
      <c r="J13" s="212"/>
      <c r="K13" s="212"/>
      <c r="L13" s="212"/>
      <c r="M13" s="212"/>
      <c r="N13" s="212"/>
    </row>
    <row r="14" spans="1:14" ht="16.5" customHeight="1">
      <c r="A14" s="473"/>
      <c r="B14" s="473"/>
      <c r="C14" s="473"/>
      <c r="D14" s="473"/>
      <c r="E14" s="473"/>
      <c r="F14" s="473"/>
      <c r="G14" s="473"/>
      <c r="H14" s="212"/>
      <c r="I14" s="212"/>
      <c r="J14" s="212"/>
      <c r="K14" s="212"/>
      <c r="L14" s="212"/>
      <c r="M14" s="212"/>
      <c r="N14" s="212"/>
    </row>
    <row r="15" spans="1:14" ht="16.5" customHeight="1">
      <c r="A15" s="47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BLUE RAPIDS  has scheduled a public hearing and has prepared the proposed budget necessary to fund city services from January 1, 2013 until December 31, 2013.</v>
      </c>
      <c r="B15" s="473"/>
      <c r="C15" s="473"/>
      <c r="D15" s="473"/>
      <c r="E15" s="473"/>
      <c r="F15" s="473"/>
      <c r="G15" s="473"/>
      <c r="H15" s="212"/>
      <c r="I15" s="212"/>
      <c r="J15" s="212"/>
      <c r="K15" s="212"/>
      <c r="L15" s="212"/>
      <c r="M15" s="212"/>
      <c r="N15" s="212"/>
    </row>
    <row r="16" spans="1:14" ht="16.5" customHeight="1">
      <c r="A16" s="473"/>
      <c r="B16" s="473"/>
      <c r="C16" s="473"/>
      <c r="D16" s="473"/>
      <c r="E16" s="473"/>
      <c r="F16" s="473"/>
      <c r="G16" s="473"/>
      <c r="H16" s="212"/>
      <c r="I16" s="212"/>
      <c r="J16" s="212"/>
      <c r="K16" s="212"/>
      <c r="L16" s="212"/>
      <c r="M16" s="212"/>
      <c r="N16" s="212"/>
    </row>
    <row r="17" spans="1:14" ht="16.5" customHeight="1">
      <c r="A17" s="473"/>
      <c r="B17" s="473"/>
      <c r="C17" s="473"/>
      <c r="D17" s="473"/>
      <c r="E17" s="473"/>
      <c r="F17" s="473"/>
      <c r="G17" s="473"/>
      <c r="H17" s="212"/>
      <c r="I17" s="212"/>
      <c r="J17" s="212"/>
      <c r="K17" s="212"/>
      <c r="L17" s="212"/>
      <c r="M17" s="212"/>
      <c r="N17" s="212"/>
    </row>
    <row r="18" spans="1:14" ht="16.5" customHeight="1">
      <c r="A18" s="212"/>
      <c r="B18" s="212"/>
      <c r="C18" s="212"/>
      <c r="D18" s="212"/>
      <c r="E18" s="212"/>
      <c r="F18" s="212"/>
      <c r="G18" s="212"/>
    </row>
    <row r="19" spans="1:14" ht="16.5" customHeight="1">
      <c r="A19" s="474" t="s">
        <v>299</v>
      </c>
      <c r="B19" s="474"/>
      <c r="C19" s="474"/>
      <c r="D19" s="474"/>
      <c r="E19" s="474"/>
      <c r="F19" s="474"/>
      <c r="G19" s="474"/>
    </row>
    <row r="20" spans="1:14" ht="16.5" customHeight="1">
      <c r="A20" s="474" t="s">
        <v>300</v>
      </c>
      <c r="B20" s="474"/>
      <c r="C20" s="474"/>
      <c r="D20" s="474"/>
      <c r="E20" s="474"/>
      <c r="F20" s="474"/>
      <c r="G20" s="474"/>
    </row>
    <row r="21" spans="1:14" ht="16.5" customHeight="1">
      <c r="A21" s="474" t="str">
        <f>CONCATENATE("necessary to budget property tax revenues in an amount exceeding the levy in the ",inputPrYr!C5-1,"")</f>
        <v>necessary to budget property tax revenues in an amount exceeding the levy in the 2012</v>
      </c>
      <c r="B21" s="474"/>
      <c r="C21" s="474"/>
      <c r="D21" s="474"/>
      <c r="E21" s="474"/>
      <c r="F21" s="474"/>
      <c r="G21" s="474"/>
    </row>
    <row r="22" spans="1:14" ht="16.5" customHeight="1">
      <c r="A22" s="214" t="s">
        <v>301</v>
      </c>
      <c r="B22" s="214"/>
      <c r="C22" s="214"/>
      <c r="D22" s="214"/>
      <c r="E22" s="214"/>
      <c r="F22" s="214"/>
      <c r="G22" s="214"/>
    </row>
    <row r="23" spans="1:14" ht="16.5" customHeight="1">
      <c r="A23" s="212"/>
      <c r="B23" s="212"/>
      <c r="C23" s="212"/>
      <c r="D23" s="212"/>
      <c r="E23" s="212"/>
      <c r="F23" s="212"/>
      <c r="G23" s="212"/>
    </row>
    <row r="24" spans="1:14" ht="16.5" customHeight="1">
      <c r="A24" s="473" t="s">
        <v>242</v>
      </c>
      <c r="B24" s="473"/>
      <c r="C24" s="473"/>
      <c r="D24" s="473"/>
      <c r="E24" s="473"/>
      <c r="F24" s="473"/>
      <c r="G24" s="473"/>
    </row>
    <row r="25" spans="1:14" ht="16.5" customHeight="1">
      <c r="A25" s="473"/>
      <c r="B25" s="473"/>
      <c r="C25" s="473"/>
      <c r="D25" s="473"/>
      <c r="E25" s="473"/>
      <c r="F25" s="473"/>
      <c r="G25" s="473"/>
    </row>
    <row r="26" spans="1:14" ht="16.5" customHeight="1">
      <c r="A26" s="212"/>
      <c r="B26" s="212"/>
      <c r="C26" s="212"/>
      <c r="D26" s="212"/>
      <c r="E26" s="212"/>
      <c r="F26" s="212"/>
      <c r="G26" s="212"/>
    </row>
    <row r="27" spans="1:14" ht="16.5" customHeight="1">
      <c r="A27" s="473" t="str">
        <f>CONCATENATE("Passed and approved by the Governing Body on this ______ day of __________, ",inputPrYr!C5-1,".")</f>
        <v>Passed and approved by the Governing Body on this ______ day of __________, 2012.</v>
      </c>
      <c r="B27" s="473"/>
      <c r="C27" s="473"/>
      <c r="D27" s="473"/>
      <c r="E27" s="473"/>
      <c r="F27" s="473"/>
      <c r="G27" s="473"/>
    </row>
    <row r="28" spans="1:14" ht="16.5" customHeight="1">
      <c r="A28" s="473"/>
      <c r="B28" s="473"/>
      <c r="C28" s="473"/>
      <c r="D28" s="473"/>
      <c r="E28" s="473"/>
      <c r="F28" s="473"/>
      <c r="G28" s="473"/>
    </row>
    <row r="29" spans="1:14" ht="16.5" customHeight="1"/>
    <row r="30" spans="1:14" ht="16.5" customHeight="1">
      <c r="A30" s="472" t="s">
        <v>243</v>
      </c>
      <c r="B30" s="472"/>
      <c r="C30" s="472"/>
      <c r="D30" s="472"/>
      <c r="E30" s="472"/>
      <c r="F30" s="472"/>
      <c r="G30" s="472"/>
    </row>
    <row r="31" spans="1:14" ht="16.5" customHeight="1">
      <c r="A31" s="472" t="s">
        <v>248</v>
      </c>
      <c r="B31" s="472"/>
      <c r="C31" s="472"/>
      <c r="D31" s="472"/>
      <c r="E31" s="472"/>
      <c r="F31" s="472"/>
      <c r="G31" s="472"/>
    </row>
    <row r="32" spans="1:14" ht="16.5" customHeight="1">
      <c r="A32" s="2" t="s">
        <v>244</v>
      </c>
    </row>
    <row r="33" spans="1:2" ht="16.5" customHeight="1">
      <c r="B33" s="2" t="s">
        <v>245</v>
      </c>
    </row>
    <row r="34" spans="1:2" ht="16.5" customHeight="1"/>
    <row r="35" spans="1:2" ht="16.5" customHeight="1"/>
    <row r="36" spans="1:2" ht="16.5" customHeight="1">
      <c r="A36" s="2" t="s">
        <v>246</v>
      </c>
    </row>
    <row r="37" spans="1:2" ht="16.5" customHeight="1"/>
    <row r="38" spans="1:2" ht="16.5" customHeight="1"/>
    <row r="39" spans="1:2" ht="16.5" customHeight="1"/>
    <row r="40" spans="1:2" ht="16.5" customHeight="1">
      <c r="A40" s="2" t="s">
        <v>247</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honeticPr fontId="11" type="noConversion"/>
  <pageMargins left="1" right="1" top="1" bottom="1" header="0.5" footer="0.5"/>
  <pageSetup orientation="portrait" blackAndWhite="1" r:id="rId1"/>
  <headerFooter alignWithMargins="0">
    <oddFooter>&amp;Lrevised 8/06/07</oddFooter>
  </headerFooter>
</worksheet>
</file>

<file path=xl/worksheets/sheet22.xml><?xml version="1.0" encoding="utf-8"?>
<worksheet xmlns="http://schemas.openxmlformats.org/spreadsheetml/2006/main" xmlns:r="http://schemas.openxmlformats.org/officeDocument/2006/relationships">
  <dimension ref="A1:A42"/>
  <sheetViews>
    <sheetView workbookViewId="0">
      <selection activeCell="A8" sqref="A8"/>
    </sheetView>
  </sheetViews>
  <sheetFormatPr defaultRowHeight="15.75"/>
  <cols>
    <col min="1" max="1" width="80.109375" style="2" customWidth="1"/>
    <col min="2" max="16384" width="8.88671875" style="2"/>
  </cols>
  <sheetData>
    <row r="1" spans="1:1">
      <c r="A1" s="320" t="s">
        <v>416</v>
      </c>
    </row>
    <row r="2" spans="1:1">
      <c r="A2" s="2" t="s">
        <v>417</v>
      </c>
    </row>
    <row r="3" spans="1:1">
      <c r="A3" s="2" t="s">
        <v>418</v>
      </c>
    </row>
    <row r="4" spans="1:1" ht="31.5">
      <c r="A4" s="5" t="s">
        <v>419</v>
      </c>
    </row>
    <row r="5" spans="1:1">
      <c r="A5" s="2" t="s">
        <v>420</v>
      </c>
    </row>
    <row r="6" spans="1:1">
      <c r="A6" s="2" t="s">
        <v>421</v>
      </c>
    </row>
    <row r="7" spans="1:1">
      <c r="A7" s="2" t="s">
        <v>422</v>
      </c>
    </row>
    <row r="9" spans="1:1" ht="18" customHeight="1">
      <c r="A9" s="320" t="s">
        <v>304</v>
      </c>
    </row>
    <row r="10" spans="1:1" ht="48.75" customHeight="1">
      <c r="A10" s="5" t="s">
        <v>340</v>
      </c>
    </row>
    <row r="11" spans="1:1">
      <c r="A11" s="2" t="s">
        <v>305</v>
      </c>
    </row>
    <row r="12" spans="1:1">
      <c r="A12" s="2" t="s">
        <v>306</v>
      </c>
    </row>
    <row r="13" spans="1:1">
      <c r="A13" s="2" t="s">
        <v>341</v>
      </c>
    </row>
    <row r="14" spans="1:1">
      <c r="A14" s="2" t="s">
        <v>307</v>
      </c>
    </row>
    <row r="15" spans="1:1">
      <c r="A15" s="2" t="s">
        <v>308</v>
      </c>
    </row>
    <row r="16" spans="1:1">
      <c r="A16" s="2" t="s">
        <v>353</v>
      </c>
    </row>
    <row r="17" spans="1:1">
      <c r="A17" s="2" t="s">
        <v>309</v>
      </c>
    </row>
    <row r="18" spans="1:1">
      <c r="A18" s="2" t="s">
        <v>310</v>
      </c>
    </row>
    <row r="19" spans="1:1" ht="31.5">
      <c r="A19" s="5" t="s">
        <v>311</v>
      </c>
    </row>
    <row r="20" spans="1:1" ht="31.5">
      <c r="A20" s="5" t="s">
        <v>381</v>
      </c>
    </row>
    <row r="21" spans="1:1">
      <c r="A21" s="2" t="s">
        <v>312</v>
      </c>
    </row>
    <row r="22" spans="1:1">
      <c r="A22" s="2" t="s">
        <v>313</v>
      </c>
    </row>
    <row r="23" spans="1:1">
      <c r="A23" s="2" t="s">
        <v>342</v>
      </c>
    </row>
    <row r="24" spans="1:1">
      <c r="A24" s="2" t="s">
        <v>314</v>
      </c>
    </row>
    <row r="25" spans="1:1">
      <c r="A25" s="2" t="s">
        <v>343</v>
      </c>
    </row>
    <row r="26" spans="1:1" ht="31.5">
      <c r="A26" s="5" t="s">
        <v>344</v>
      </c>
    </row>
    <row r="27" spans="1:1">
      <c r="A27" s="2" t="s">
        <v>328</v>
      </c>
    </row>
    <row r="28" spans="1:1">
      <c r="A28" s="2" t="s">
        <v>329</v>
      </c>
    </row>
    <row r="29" spans="1:1" ht="31.5">
      <c r="A29" s="5" t="s">
        <v>330</v>
      </c>
    </row>
    <row r="30" spans="1:1">
      <c r="A30" s="2" t="s">
        <v>402</v>
      </c>
    </row>
    <row r="31" spans="1:1">
      <c r="A31" s="2" t="s">
        <v>403</v>
      </c>
    </row>
    <row r="32" spans="1:1">
      <c r="A32" s="2" t="s">
        <v>404</v>
      </c>
    </row>
    <row r="33" spans="1:1">
      <c r="A33" s="2" t="s">
        <v>405</v>
      </c>
    </row>
    <row r="34" spans="1:1">
      <c r="A34" s="2" t="s">
        <v>406</v>
      </c>
    </row>
    <row r="35" spans="1:1">
      <c r="A35" s="2" t="s">
        <v>407</v>
      </c>
    </row>
    <row r="36" spans="1:1">
      <c r="A36" s="2" t="s">
        <v>408</v>
      </c>
    </row>
    <row r="37" spans="1:1">
      <c r="A37" s="2" t="s">
        <v>409</v>
      </c>
    </row>
    <row r="38" spans="1:1">
      <c r="A38" s="2" t="s">
        <v>410</v>
      </c>
    </row>
    <row r="39" spans="1:1">
      <c r="A39" s="2" t="s">
        <v>412</v>
      </c>
    </row>
    <row r="40" spans="1:1">
      <c r="A40" s="2" t="s">
        <v>413</v>
      </c>
    </row>
    <row r="41" spans="1:1">
      <c r="A41" s="2" t="s">
        <v>415</v>
      </c>
    </row>
    <row r="42" spans="1:1">
      <c r="A42" s="2" t="s">
        <v>411</v>
      </c>
    </row>
  </sheetData>
  <sheetProtection sheet="1" objects="1" scenarios="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K70"/>
  <sheetViews>
    <sheetView topLeftCell="A52" workbookViewId="0">
      <selection activeCell="B66" sqref="B66"/>
    </sheetView>
  </sheetViews>
  <sheetFormatPr defaultRowHeight="15"/>
  <cols>
    <col min="1" max="1" width="15.77734375" customWidth="1"/>
    <col min="2" max="2" width="20.77734375" customWidth="1"/>
    <col min="3" max="3" width="9.77734375" customWidth="1"/>
    <col min="4" max="4" width="15.109375" customWidth="1"/>
    <col min="5" max="5" width="15.77734375" customWidth="1"/>
  </cols>
  <sheetData>
    <row r="1" spans="1:8">
      <c r="A1" s="146" t="str">
        <f>inputPrYr!$D$2</f>
        <v>CITY OF BLUE RAPIDS</v>
      </c>
      <c r="B1" s="147"/>
      <c r="C1" s="147"/>
      <c r="D1" s="147"/>
      <c r="E1" s="147">
        <f>inputPrYr!C5</f>
        <v>2013</v>
      </c>
    </row>
    <row r="2" spans="1:8">
      <c r="A2" s="147"/>
      <c r="B2" s="147"/>
      <c r="C2" s="147"/>
      <c r="D2" s="147"/>
      <c r="E2" s="147"/>
    </row>
    <row r="3" spans="1:8">
      <c r="A3" s="420" t="s">
        <v>331</v>
      </c>
      <c r="B3" s="421"/>
      <c r="C3" s="421"/>
      <c r="D3" s="421"/>
      <c r="E3" s="421"/>
    </row>
    <row r="4" spans="1:8">
      <c r="A4" s="147"/>
      <c r="B4" s="147"/>
      <c r="C4" s="147"/>
      <c r="D4" s="147"/>
      <c r="E4" s="147"/>
    </row>
    <row r="5" spans="1:8" ht="15.75">
      <c r="A5" s="121" t="str">
        <f>CONCATENATE("From the County Clerks ",E1," Budget Information:")</f>
        <v>From the County Clerks 2013 Budget Information:</v>
      </c>
      <c r="B5" s="122"/>
      <c r="C5" s="21"/>
      <c r="D5" s="21"/>
      <c r="E5" s="65"/>
    </row>
    <row r="6" spans="1:8" ht="15.75">
      <c r="A6" s="110" t="str">
        <f>CONCATENATE("Total Assessed Valuation for ",E1-1,"")</f>
        <v>Total Assessed Valuation for 2012</v>
      </c>
      <c r="B6" s="113"/>
      <c r="C6" s="113"/>
      <c r="D6" s="113"/>
      <c r="E6" s="9">
        <v>3064475</v>
      </c>
      <c r="F6" s="351" t="s">
        <v>489</v>
      </c>
      <c r="H6" s="333" t="s">
        <v>461</v>
      </c>
    </row>
    <row r="7" spans="1:8" ht="15.75">
      <c r="A7" s="110" t="str">
        <f>CONCATENATE("New Improvements for ",E1-1,"")</f>
        <v>New Improvements for 2012</v>
      </c>
      <c r="B7" s="113"/>
      <c r="C7" s="113"/>
      <c r="D7" s="113"/>
      <c r="E7" s="18">
        <v>9399</v>
      </c>
      <c r="F7" s="351" t="s">
        <v>489</v>
      </c>
      <c r="H7" s="333" t="s">
        <v>461</v>
      </c>
    </row>
    <row r="8" spans="1:8" ht="15.75">
      <c r="A8" s="110" t="str">
        <f>CONCATENATE("Personal Property excluding oil, gas, mobile homes - ",E1-1,"")</f>
        <v>Personal Property excluding oil, gas, mobile homes - 2012</v>
      </c>
      <c r="B8" s="113"/>
      <c r="C8" s="113"/>
      <c r="D8" s="113"/>
      <c r="E8" s="18">
        <v>140978</v>
      </c>
      <c r="F8" s="351" t="s">
        <v>489</v>
      </c>
      <c r="H8" s="333" t="s">
        <v>461</v>
      </c>
    </row>
    <row r="9" spans="1:8" ht="15.75">
      <c r="A9" s="111" t="s">
        <v>258</v>
      </c>
      <c r="B9" s="113"/>
      <c r="C9" s="113"/>
      <c r="D9" s="113"/>
      <c r="E9" s="40"/>
    </row>
    <row r="10" spans="1:8" ht="15.75">
      <c r="A10" s="110" t="s">
        <v>223</v>
      </c>
      <c r="B10" s="113"/>
      <c r="C10" s="113"/>
      <c r="D10" s="113"/>
      <c r="E10" s="18"/>
    </row>
    <row r="11" spans="1:8" ht="15.75">
      <c r="A11" s="110" t="s">
        <v>224</v>
      </c>
      <c r="B11" s="113"/>
      <c r="C11" s="113"/>
      <c r="D11" s="113"/>
      <c r="E11" s="18"/>
    </row>
    <row r="12" spans="1:8" ht="15.75">
      <c r="A12" s="110" t="s">
        <v>225</v>
      </c>
      <c r="B12" s="113"/>
      <c r="C12" s="113"/>
      <c r="D12" s="113"/>
      <c r="E12" s="18"/>
    </row>
    <row r="13" spans="1:8" ht="15.75">
      <c r="A13" s="110" t="str">
        <f>CONCATENATE("Property that has changed in use for ",E1-1,"")</f>
        <v>Property that has changed in use for 2012</v>
      </c>
      <c r="B13" s="113"/>
      <c r="C13" s="113"/>
      <c r="D13" s="113"/>
      <c r="E13" s="18">
        <v>3885</v>
      </c>
      <c r="F13" s="351" t="s">
        <v>489</v>
      </c>
      <c r="H13" s="333" t="s">
        <v>461</v>
      </c>
    </row>
    <row r="14" spans="1:8" ht="15.75">
      <c r="A14" s="110" t="str">
        <f>CONCATENATE("Personal Property  excluding oil, gas, mobile homes- ",E1-2,"")</f>
        <v>Personal Property  excluding oil, gas, mobile homes- 2011</v>
      </c>
      <c r="B14" s="113"/>
      <c r="C14" s="113"/>
      <c r="D14" s="113"/>
      <c r="E14" s="18">
        <v>146651</v>
      </c>
      <c r="F14" s="351" t="s">
        <v>489</v>
      </c>
      <c r="H14" s="333" t="s">
        <v>461</v>
      </c>
    </row>
    <row r="15" spans="1:8" ht="15.75">
      <c r="A15" s="110" t="str">
        <f>CONCATENATE("Gross earnings (intangible) tax estimate for ",E1,"")</f>
        <v>Gross earnings (intangible) tax estimate for 2013</v>
      </c>
      <c r="B15" s="113"/>
      <c r="C15" s="113"/>
      <c r="D15" s="38"/>
      <c r="E15" s="9">
        <v>6738</v>
      </c>
      <c r="F15" s="351" t="s">
        <v>489</v>
      </c>
      <c r="H15" s="333" t="s">
        <v>461</v>
      </c>
    </row>
    <row r="16" spans="1:8" ht="15.75">
      <c r="A16" s="110" t="s">
        <v>259</v>
      </c>
      <c r="B16" s="113"/>
      <c r="C16" s="113"/>
      <c r="D16" s="113"/>
      <c r="E16" s="17">
        <v>19027</v>
      </c>
      <c r="F16" s="351" t="s">
        <v>489</v>
      </c>
      <c r="H16" s="333" t="s">
        <v>461</v>
      </c>
    </row>
    <row r="17" spans="1:6" ht="15.75">
      <c r="A17" s="128"/>
      <c r="B17" s="104"/>
      <c r="C17" s="104"/>
      <c r="D17" s="104"/>
      <c r="E17" s="148"/>
    </row>
    <row r="18" spans="1:6" ht="15.75">
      <c r="A18" s="128" t="str">
        <f>CONCATENATE("Actual Tax Rates for the ",E1-1," Budget:")</f>
        <v>Actual Tax Rates for the 2012 Budget:</v>
      </c>
      <c r="B18" s="104"/>
      <c r="C18" s="104"/>
      <c r="D18" s="104"/>
      <c r="E18" s="148"/>
    </row>
    <row r="19" spans="1:6" ht="15.75">
      <c r="A19" s="426" t="s">
        <v>81</v>
      </c>
      <c r="B19" s="427"/>
      <c r="C19" s="147"/>
      <c r="D19" s="149" t="s">
        <v>140</v>
      </c>
      <c r="E19" s="148"/>
    </row>
    <row r="20" spans="1:6" ht="15.75">
      <c r="A20" s="109" t="s">
        <v>65</v>
      </c>
      <c r="B20" s="20"/>
      <c r="C20" s="104"/>
      <c r="D20" s="257">
        <v>72.302000000000007</v>
      </c>
      <c r="E20" s="148"/>
      <c r="F20" s="351" t="s">
        <v>489</v>
      </c>
    </row>
    <row r="21" spans="1:6" ht="15.75">
      <c r="A21" s="110" t="s">
        <v>260</v>
      </c>
      <c r="B21" s="113"/>
      <c r="C21" s="104"/>
      <c r="D21" s="258">
        <v>0</v>
      </c>
      <c r="E21" s="148"/>
      <c r="F21" s="351" t="s">
        <v>489</v>
      </c>
    </row>
    <row r="22" spans="1:6" ht="15.75">
      <c r="A22" s="110" t="str">
        <f>IF(inputPrYr!B19&gt;" ",(inputPrYr!B19)," ")</f>
        <v>Library</v>
      </c>
      <c r="B22" s="113"/>
      <c r="C22" s="104"/>
      <c r="D22" s="258">
        <v>3.0369999999999999</v>
      </c>
      <c r="E22" s="148"/>
      <c r="F22" s="351" t="s">
        <v>489</v>
      </c>
    </row>
    <row r="23" spans="1:6" ht="15.75">
      <c r="A23" s="110"/>
      <c r="B23" s="113"/>
      <c r="C23" s="104"/>
      <c r="D23" s="258"/>
      <c r="E23" s="148"/>
    </row>
    <row r="24" spans="1:6" ht="15.75">
      <c r="A24" s="110"/>
      <c r="B24" s="113"/>
      <c r="C24" s="104"/>
      <c r="D24" s="258"/>
      <c r="E24" s="148"/>
    </row>
    <row r="25" spans="1:6" ht="15.75">
      <c r="A25" s="110"/>
      <c r="B25" s="187"/>
      <c r="C25" s="104"/>
      <c r="D25" s="259"/>
      <c r="E25" s="148"/>
    </row>
    <row r="26" spans="1:6" ht="15.75">
      <c r="A26" s="110"/>
      <c r="B26" s="187"/>
      <c r="C26" s="104"/>
      <c r="D26" s="259"/>
      <c r="E26" s="148"/>
    </row>
    <row r="27" spans="1:6" ht="15.75">
      <c r="A27" s="110"/>
      <c r="B27" s="187"/>
      <c r="C27" s="104"/>
      <c r="D27" s="259"/>
      <c r="E27" s="148"/>
    </row>
    <row r="28" spans="1:6" ht="15.75">
      <c r="A28" s="110"/>
      <c r="B28" s="187"/>
      <c r="C28" s="104"/>
      <c r="D28" s="259"/>
      <c r="E28" s="148"/>
    </row>
    <row r="29" spans="1:6" ht="15.75">
      <c r="A29" s="110"/>
      <c r="B29" s="187"/>
      <c r="C29" s="104"/>
      <c r="D29" s="259"/>
      <c r="E29" s="148"/>
    </row>
    <row r="30" spans="1:6" ht="15.75">
      <c r="A30" s="110"/>
      <c r="B30" s="187"/>
      <c r="C30" s="104"/>
      <c r="D30" s="259"/>
      <c r="E30" s="148"/>
    </row>
    <row r="31" spans="1:6" ht="15.75">
      <c r="A31" s="110" t="str">
        <f>IF(inputPrYr!B20&gt;" ",(inputPrYr!B20)," ")</f>
        <v xml:space="preserve"> </v>
      </c>
      <c r="B31" s="187"/>
      <c r="C31" s="104"/>
      <c r="D31" s="259"/>
      <c r="E31" s="148"/>
    </row>
    <row r="32" spans="1:6" ht="15.75">
      <c r="A32" s="112"/>
      <c r="B32" s="42" t="s">
        <v>67</v>
      </c>
      <c r="C32" s="150"/>
      <c r="D32" s="129">
        <f>SUM(D20:D31)</f>
        <v>75.339000000000013</v>
      </c>
      <c r="E32" s="112"/>
    </row>
    <row r="33" spans="1:8">
      <c r="A33" s="112"/>
      <c r="B33" s="112"/>
      <c r="C33" s="112"/>
      <c r="D33" s="112"/>
      <c r="E33" s="112"/>
    </row>
    <row r="34" spans="1:8" ht="15.75">
      <c r="A34" s="20" t="str">
        <f>CONCATENATE("Final Assessed Valuation from the November 1, ",E1-2," Abstract")</f>
        <v>Final Assessed Valuation from the November 1, 2011 Abstract</v>
      </c>
      <c r="B34" s="151"/>
      <c r="C34" s="151"/>
      <c r="D34" s="151"/>
      <c r="E34" s="17">
        <v>3010539</v>
      </c>
      <c r="F34" s="351" t="s">
        <v>489</v>
      </c>
      <c r="H34" s="333"/>
    </row>
    <row r="35" spans="1:8">
      <c r="A35" s="112"/>
      <c r="B35" s="112"/>
      <c r="C35" s="112"/>
      <c r="D35" s="112"/>
      <c r="E35" s="112"/>
    </row>
    <row r="36" spans="1:8" ht="15.75">
      <c r="A36" s="123" t="str">
        <f>CONCATENATE("From the County Treasurer's Budget Information - ",E1," Budget Year Estimates:")</f>
        <v>From the County Treasurer's Budget Information - 2013 Budget Year Estimates:</v>
      </c>
      <c r="B36" s="124"/>
      <c r="C36" s="124"/>
      <c r="D36" s="125"/>
      <c r="E36" s="65"/>
    </row>
    <row r="37" spans="1:8" ht="15.75">
      <c r="A37" s="109" t="s">
        <v>68</v>
      </c>
      <c r="B37" s="20"/>
      <c r="C37" s="20"/>
      <c r="D37" s="116"/>
      <c r="E37" s="9">
        <v>44713</v>
      </c>
      <c r="F37" s="351" t="s">
        <v>489</v>
      </c>
      <c r="G37" s="351"/>
      <c r="H37" s="333"/>
    </row>
    <row r="38" spans="1:8" ht="15.75">
      <c r="A38" s="110" t="s">
        <v>69</v>
      </c>
      <c r="B38" s="113"/>
      <c r="C38" s="113"/>
      <c r="D38" s="117"/>
      <c r="E38" s="9">
        <v>1230</v>
      </c>
      <c r="F38" s="351" t="s">
        <v>489</v>
      </c>
      <c r="G38" s="351"/>
      <c r="H38" s="333"/>
    </row>
    <row r="39" spans="1:8" ht="15.75">
      <c r="A39" s="110" t="s">
        <v>261</v>
      </c>
      <c r="B39" s="113"/>
      <c r="C39" s="113"/>
      <c r="D39" s="117"/>
      <c r="E39" s="9">
        <v>689</v>
      </c>
      <c r="F39" s="351" t="s">
        <v>489</v>
      </c>
      <c r="G39" s="351"/>
      <c r="H39" s="333"/>
    </row>
    <row r="40" spans="1:8" ht="15.75">
      <c r="A40" s="110" t="s">
        <v>262</v>
      </c>
      <c r="B40" s="113"/>
      <c r="C40" s="113"/>
      <c r="D40" s="117"/>
      <c r="E40" s="9"/>
      <c r="F40" s="351"/>
      <c r="G40" s="351"/>
    </row>
    <row r="41" spans="1:8" ht="15.75">
      <c r="A41" s="110" t="s">
        <v>263</v>
      </c>
      <c r="B41" s="113"/>
      <c r="C41" s="113"/>
      <c r="D41" s="117"/>
      <c r="E41" s="9"/>
      <c r="F41" s="351"/>
      <c r="G41" s="351"/>
    </row>
    <row r="42" spans="1:8" ht="15.75">
      <c r="A42" s="109" t="s">
        <v>264</v>
      </c>
      <c r="B42" s="20"/>
      <c r="C42" s="20"/>
      <c r="D42" s="116"/>
      <c r="E42" s="9"/>
      <c r="F42" s="351"/>
      <c r="G42" s="351"/>
    </row>
    <row r="43" spans="1:8" ht="15.75">
      <c r="A43" s="21" t="s">
        <v>265</v>
      </c>
      <c r="B43" s="21"/>
      <c r="C43" s="21"/>
      <c r="D43" s="21"/>
      <c r="E43" s="21"/>
      <c r="F43" s="351"/>
      <c r="G43" s="351"/>
    </row>
    <row r="44" spans="1:8" ht="15.75">
      <c r="A44" s="22" t="s">
        <v>90</v>
      </c>
      <c r="B44" s="27"/>
      <c r="C44" s="27"/>
      <c r="D44" s="21"/>
      <c r="E44" s="21"/>
      <c r="F44" s="351"/>
      <c r="G44" s="351"/>
    </row>
    <row r="45" spans="1:8" ht="15.75">
      <c r="A45" s="128" t="str">
        <f>CONCATENATE("Actual Delinquency for ",E1-2," Tax")</f>
        <v>Actual Delinquency for 2011 Tax</v>
      </c>
      <c r="B45" s="104"/>
      <c r="C45" s="21"/>
      <c r="D45" s="21"/>
      <c r="E45" s="253"/>
      <c r="F45" s="351"/>
      <c r="G45" s="351"/>
    </row>
    <row r="46" spans="1:8" ht="15.75">
      <c r="A46" s="109" t="s">
        <v>266</v>
      </c>
      <c r="B46" s="109"/>
      <c r="C46" s="20"/>
      <c r="D46" s="20"/>
      <c r="E46" s="210"/>
      <c r="F46" s="351"/>
      <c r="G46" s="351"/>
    </row>
    <row r="47" spans="1:8" ht="15.75">
      <c r="A47" s="21"/>
      <c r="B47" s="21"/>
      <c r="C47" s="21"/>
      <c r="D47" s="21"/>
      <c r="E47" s="21"/>
      <c r="F47" s="351"/>
      <c r="G47" s="351"/>
    </row>
    <row r="48" spans="1:8" ht="15.75">
      <c r="A48" s="152" t="s">
        <v>351</v>
      </c>
      <c r="B48" s="153"/>
      <c r="C48" s="154"/>
      <c r="D48" s="154"/>
      <c r="E48" s="154"/>
      <c r="F48" s="351"/>
      <c r="G48" s="351"/>
    </row>
    <row r="49" spans="1:11" ht="15.75">
      <c r="A49" s="145" t="str">
        <f>CONCATENATE("",E1," State Distribution for Kansas Gas Tax")</f>
        <v>2013 State Distribution for Kansas Gas Tax</v>
      </c>
      <c r="B49" s="155"/>
      <c r="C49" s="155"/>
      <c r="D49" s="156"/>
      <c r="E49" s="17">
        <v>26520</v>
      </c>
      <c r="F49" s="351" t="s">
        <v>489</v>
      </c>
      <c r="G49" s="351"/>
    </row>
    <row r="50" spans="1:11" ht="15.75">
      <c r="A50" s="157" t="str">
        <f>CONCATENATE("",E1," County Transfers for Gas**")</f>
        <v>2013 County Transfers for Gas**</v>
      </c>
      <c r="B50" s="158"/>
      <c r="C50" s="158"/>
      <c r="D50" s="159"/>
      <c r="E50" s="17"/>
      <c r="F50" s="351"/>
      <c r="G50" s="351"/>
    </row>
    <row r="51" spans="1:11" ht="15.75">
      <c r="A51" s="157" t="str">
        <f>CONCATENATE("Adjusted ",E1-1," State Distribution for Kansas Gas Tax")</f>
        <v>Adjusted 2012 State Distribution for Kansas Gas Tax</v>
      </c>
      <c r="B51" s="158"/>
      <c r="C51" s="158"/>
      <c r="D51" s="159"/>
      <c r="E51" s="17">
        <v>26320</v>
      </c>
      <c r="F51" s="351" t="s">
        <v>489</v>
      </c>
      <c r="G51" s="351"/>
    </row>
    <row r="52" spans="1:11" ht="15.75">
      <c r="A52" s="157" t="str">
        <f>CONCATENATE("Adjusted ",E1-1," County Transfers for Gas**")</f>
        <v>Adjusted 2012 County Transfers for Gas**</v>
      </c>
      <c r="B52" s="158"/>
      <c r="C52" s="158"/>
      <c r="D52" s="159"/>
      <c r="E52" s="17"/>
      <c r="F52" s="351"/>
      <c r="G52" s="351"/>
    </row>
    <row r="53" spans="1:11" ht="15.75">
      <c r="A53" s="428" t="s">
        <v>326</v>
      </c>
      <c r="B53" s="429"/>
      <c r="C53" s="429"/>
      <c r="D53" s="429"/>
      <c r="E53" s="429"/>
    </row>
    <row r="54" spans="1:11">
      <c r="A54" s="160" t="s">
        <v>327</v>
      </c>
      <c r="B54" s="160"/>
      <c r="C54" s="160"/>
      <c r="D54" s="160"/>
      <c r="E54" s="160"/>
    </row>
    <row r="55" spans="1:11">
      <c r="A55" s="147"/>
      <c r="B55" s="147"/>
      <c r="C55" s="147"/>
      <c r="D55" s="147"/>
      <c r="E55" s="147"/>
    </row>
    <row r="56" spans="1:11" ht="15.75">
      <c r="A56" s="430" t="str">
        <f>CONCATENATE("From the ",E1-2," Budget Summary Page")</f>
        <v>From the 2011 Budget Summary Page</v>
      </c>
      <c r="B56" s="431"/>
      <c r="C56" s="147"/>
      <c r="D56" s="147"/>
      <c r="E56" s="147"/>
    </row>
    <row r="57" spans="1:11" ht="15.75">
      <c r="A57" s="291"/>
      <c r="B57" s="291" t="str">
        <f>CONCATENATE("",E1-2," Expenditure Amounts")</f>
        <v>2011 Expenditure Amounts</v>
      </c>
      <c r="C57" s="424" t="str">
        <f>CONCATENATE("Note: If the ",E1-2," budget was amended, then the")</f>
        <v>Note: If the 2011 budget was amended, then the</v>
      </c>
      <c r="D57" s="425"/>
      <c r="E57" s="425"/>
    </row>
    <row r="58" spans="1:11" ht="15.75">
      <c r="A58" s="292" t="s">
        <v>360</v>
      </c>
      <c r="B58" s="292" t="s">
        <v>361</v>
      </c>
      <c r="C58" s="293" t="s">
        <v>362</v>
      </c>
      <c r="D58" s="294"/>
      <c r="E58" s="294"/>
      <c r="F58" s="358" t="s">
        <v>474</v>
      </c>
      <c r="G58" s="358"/>
      <c r="H58" s="358"/>
      <c r="I58" s="358"/>
      <c r="J58" s="358"/>
      <c r="K58" s="358"/>
    </row>
    <row r="59" spans="1:11" ht="15.75">
      <c r="A59" s="295" t="str">
        <f>inputPrYr!B16</f>
        <v>General</v>
      </c>
      <c r="B59" s="17">
        <v>727881</v>
      </c>
      <c r="C59" s="293" t="s">
        <v>363</v>
      </c>
      <c r="D59" s="296"/>
      <c r="E59" s="296"/>
      <c r="F59" s="358" t="s">
        <v>475</v>
      </c>
      <c r="G59" s="358"/>
      <c r="H59" s="358"/>
      <c r="I59" s="358"/>
      <c r="J59" s="358"/>
      <c r="K59" s="358"/>
    </row>
    <row r="60" spans="1:11" ht="15.75">
      <c r="A60" s="295" t="str">
        <f>inputPrYr!B17</f>
        <v>Bond &amp; Interest</v>
      </c>
      <c r="B60" s="17">
        <v>0</v>
      </c>
      <c r="C60" s="293"/>
      <c r="D60" s="296"/>
      <c r="E60" s="296"/>
      <c r="F60" s="358" t="s">
        <v>476</v>
      </c>
      <c r="G60" s="358"/>
      <c r="H60" s="358"/>
      <c r="I60" s="358"/>
      <c r="J60" s="358"/>
      <c r="K60" s="358"/>
    </row>
    <row r="61" spans="1:11" ht="15.75">
      <c r="A61" s="295" t="str">
        <f>inputPrYr!B19</f>
        <v>Library</v>
      </c>
      <c r="B61" s="17">
        <v>10900</v>
      </c>
      <c r="C61" s="147"/>
      <c r="D61" s="147"/>
      <c r="E61" s="147"/>
      <c r="F61" s="358" t="s">
        <v>477</v>
      </c>
      <c r="G61" s="358"/>
      <c r="H61" s="358"/>
      <c r="I61" s="358"/>
      <c r="J61" s="358"/>
      <c r="K61" s="358"/>
    </row>
    <row r="62" spans="1:11" ht="15.75">
      <c r="A62" s="295" t="str">
        <f>inputPrYr!B24</f>
        <v>Special Highway</v>
      </c>
      <c r="B62" s="17">
        <v>32123</v>
      </c>
      <c r="C62" s="147"/>
      <c r="D62" s="147"/>
      <c r="E62" s="147"/>
      <c r="F62" s="358" t="s">
        <v>478</v>
      </c>
      <c r="G62" s="358"/>
      <c r="H62" s="358"/>
      <c r="I62" s="358"/>
      <c r="J62" s="358"/>
      <c r="K62" s="358"/>
    </row>
    <row r="63" spans="1:11" ht="15.75">
      <c r="A63" s="295" t="str">
        <f>inputPrYr!B25</f>
        <v>Water/Sewer/Refuse</v>
      </c>
      <c r="B63" s="17">
        <v>439919</v>
      </c>
      <c r="C63" s="147"/>
      <c r="D63" s="147"/>
      <c r="E63" s="147"/>
      <c r="F63" s="358" t="s">
        <v>479</v>
      </c>
      <c r="G63" s="358"/>
      <c r="H63" s="358"/>
      <c r="I63" s="358"/>
      <c r="J63" s="358"/>
      <c r="K63" s="358"/>
    </row>
    <row r="64" spans="1:11" ht="15.75">
      <c r="A64" s="295" t="str">
        <f>inputPrYr!B26</f>
        <v>Capital Improvement</v>
      </c>
      <c r="B64" s="17">
        <v>137239</v>
      </c>
      <c r="C64" s="147"/>
      <c r="D64" s="147"/>
      <c r="E64" s="147"/>
      <c r="F64" s="358"/>
      <c r="G64" s="358"/>
      <c r="H64" s="358"/>
      <c r="I64" s="358"/>
      <c r="J64" s="358"/>
      <c r="K64" s="358"/>
    </row>
    <row r="65" spans="1:6" ht="15.75">
      <c r="A65" s="295" t="str">
        <f>inputPrYr!B27</f>
        <v>Utility System Reserve</v>
      </c>
      <c r="B65" s="17">
        <v>151227</v>
      </c>
      <c r="C65" s="147"/>
      <c r="D65" s="147"/>
      <c r="E65" s="147"/>
    </row>
    <row r="66" spans="1:6" ht="15.75">
      <c r="A66" s="295" t="s">
        <v>45</v>
      </c>
      <c r="B66" s="17">
        <v>1200</v>
      </c>
      <c r="C66" s="147"/>
      <c r="D66" s="147"/>
      <c r="E66" s="147"/>
    </row>
    <row r="67" spans="1:6" ht="15.75">
      <c r="A67" s="295" t="s">
        <v>51</v>
      </c>
      <c r="B67" s="17">
        <v>0</v>
      </c>
      <c r="C67" s="147"/>
      <c r="D67" s="147"/>
      <c r="E67" s="147"/>
      <c r="F67" t="s">
        <v>490</v>
      </c>
    </row>
    <row r="68" spans="1:6" ht="15.75">
      <c r="A68" s="295" t="s">
        <v>453</v>
      </c>
      <c r="B68" s="17">
        <v>0</v>
      </c>
      <c r="C68" s="147"/>
      <c r="D68" s="147"/>
      <c r="E68" s="147"/>
    </row>
    <row r="69" spans="1:6" ht="15.75">
      <c r="A69" s="295" t="s">
        <v>460</v>
      </c>
      <c r="B69" s="17">
        <v>0</v>
      </c>
      <c r="C69" s="147"/>
      <c r="D69" s="147"/>
      <c r="E69" s="147"/>
    </row>
    <row r="70" spans="1:6" ht="15.75">
      <c r="A70" s="370" t="s">
        <v>485</v>
      </c>
      <c r="B70" s="371">
        <v>0</v>
      </c>
      <c r="C70" s="147"/>
      <c r="D70" s="147"/>
      <c r="E70" s="147"/>
    </row>
  </sheetData>
  <mergeCells count="5">
    <mergeCell ref="C57:E57"/>
    <mergeCell ref="A19:B19"/>
    <mergeCell ref="A53:E53"/>
    <mergeCell ref="A3:E3"/>
    <mergeCell ref="A56:B56"/>
  </mergeCells>
  <phoneticPr fontId="11" type="noConversion"/>
  <pageMargins left="0.75" right="0.75" top="1" bottom="1" header="0.5" footer="0.5"/>
  <pageSetup scale="50" orientation="portrait" blackAndWhite="1" r:id="rId1"/>
  <headerFooter alignWithMargins="0">
    <oddFooter>&amp;Lrevised 8/06/07</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H76"/>
  <sheetViews>
    <sheetView workbookViewId="0">
      <selection activeCell="H6" sqref="H6"/>
    </sheetView>
  </sheetViews>
  <sheetFormatPr defaultRowHeight="15.75"/>
  <cols>
    <col min="1" max="1" width="24.33203125" style="7" customWidth="1"/>
    <col min="2" max="2" width="10.77734375" style="7" customWidth="1"/>
    <col min="3" max="3" width="5.77734375" style="7" customWidth="1"/>
    <col min="4" max="4" width="14" style="7" customWidth="1"/>
    <col min="5" max="5" width="13.33203125" style="7" customWidth="1"/>
    <col min="6" max="6" width="12.33203125" style="7" customWidth="1"/>
  </cols>
  <sheetData>
    <row r="1" spans="1:8">
      <c r="A1" s="21"/>
      <c r="B1" s="21"/>
      <c r="C1" s="22" t="s">
        <v>168</v>
      </c>
      <c r="D1" s="21"/>
      <c r="E1" s="21"/>
      <c r="F1" s="23"/>
      <c r="H1">
        <f>inputPrYr!C5</f>
        <v>2013</v>
      </c>
    </row>
    <row r="2" spans="1:8">
      <c r="A2" s="435" t="str">
        <f>CONCATENATE("To the Clerk of ",(inputPrYr!D3),", State of Kansas")</f>
        <v>To the Clerk of MARSHALL COUNTY, State of Kansas</v>
      </c>
      <c r="B2" s="427"/>
      <c r="C2" s="427"/>
      <c r="D2" s="427"/>
      <c r="E2" s="427"/>
      <c r="F2" s="427"/>
    </row>
    <row r="3" spans="1:8">
      <c r="A3" s="26" t="s">
        <v>164</v>
      </c>
      <c r="B3" s="27"/>
      <c r="C3" s="27"/>
      <c r="D3" s="27"/>
      <c r="E3" s="27"/>
      <c r="F3" s="27"/>
    </row>
    <row r="4" spans="1:8">
      <c r="A4" s="432" t="str">
        <f>(inputPrYr!D2)</f>
        <v>CITY OF BLUE RAPIDS</v>
      </c>
      <c r="B4" s="433"/>
      <c r="C4" s="433"/>
      <c r="D4" s="433"/>
      <c r="E4" s="433"/>
      <c r="F4" s="433"/>
    </row>
    <row r="5" spans="1:8">
      <c r="A5" s="26" t="s">
        <v>70</v>
      </c>
      <c r="B5" s="27"/>
      <c r="C5" s="27"/>
      <c r="D5" s="27"/>
      <c r="E5" s="27"/>
      <c r="F5" s="27"/>
    </row>
    <row r="6" spans="1:8">
      <c r="A6" s="26" t="s">
        <v>71</v>
      </c>
      <c r="B6" s="27"/>
      <c r="C6" s="27"/>
      <c r="D6" s="27"/>
      <c r="E6" s="27"/>
      <c r="F6" s="27"/>
    </row>
    <row r="7" spans="1:8">
      <c r="A7" s="26" t="str">
        <f>CONCATENATE("maximum expenditures for the various funds for the year ",H1,"; and")</f>
        <v>maximum expenditures for the various funds for the year 2013; and</v>
      </c>
      <c r="B7" s="27"/>
      <c r="C7" s="27"/>
      <c r="D7" s="27"/>
      <c r="E7" s="27"/>
      <c r="F7" s="27"/>
    </row>
    <row r="8" spans="1:8">
      <c r="A8" s="26" t="str">
        <f>CONCATENATE("(3) the Amounts(s) of ",H1-1," Ad Valorem Tax are within statutory limitations.")</f>
        <v>(3) the Amounts(s) of 2012 Ad Valorem Tax are within statutory limitations.</v>
      </c>
      <c r="B8" s="27"/>
      <c r="C8" s="27"/>
      <c r="D8" s="27"/>
      <c r="E8" s="27"/>
      <c r="F8" s="27"/>
    </row>
    <row r="9" spans="1:8">
      <c r="A9" s="21"/>
      <c r="B9" s="21"/>
      <c r="C9" s="21"/>
      <c r="D9" s="28" t="str">
        <f>CONCATENATE("",H1," Adopted Budget")</f>
        <v>2013 Adopted Budget</v>
      </c>
      <c r="E9" s="29"/>
      <c r="F9" s="30"/>
    </row>
    <row r="10" spans="1:8" ht="21" customHeight="1">
      <c r="A10" s="21"/>
      <c r="B10" s="21"/>
      <c r="C10" s="31"/>
      <c r="D10" s="32" t="s">
        <v>72</v>
      </c>
      <c r="E10" s="33" t="str">
        <f>CONCATENATE("Amount of ",H1-1,"")</f>
        <v>Amount of 2012</v>
      </c>
      <c r="F10" s="33" t="s">
        <v>73</v>
      </c>
    </row>
    <row r="11" spans="1:8">
      <c r="A11" s="25"/>
      <c r="B11" s="21"/>
      <c r="C11" s="33" t="s">
        <v>74</v>
      </c>
      <c r="D11" s="34"/>
      <c r="E11" s="177" t="s">
        <v>275</v>
      </c>
      <c r="F11" s="34" t="s">
        <v>75</v>
      </c>
    </row>
    <row r="12" spans="1:8">
      <c r="A12" s="35" t="s">
        <v>76</v>
      </c>
      <c r="B12" s="20"/>
      <c r="C12" s="36" t="s">
        <v>77</v>
      </c>
      <c r="D12" s="36" t="s">
        <v>125</v>
      </c>
      <c r="E12" s="171" t="s">
        <v>276</v>
      </c>
      <c r="F12" s="36" t="s">
        <v>78</v>
      </c>
    </row>
    <row r="13" spans="1:8">
      <c r="A13" s="37" t="str">
        <f>CONCATENATE("Computation to Determine Limit for ",H1,"")</f>
        <v>Computation to Determine Limit for 2013</v>
      </c>
      <c r="B13" s="38"/>
      <c r="C13" s="137">
        <v>2</v>
      </c>
      <c r="D13" s="39"/>
      <c r="E13" s="39"/>
      <c r="F13" s="39"/>
    </row>
    <row r="14" spans="1:8">
      <c r="A14" s="37" t="s">
        <v>357</v>
      </c>
      <c r="B14" s="20"/>
      <c r="C14" s="36">
        <v>3</v>
      </c>
      <c r="D14" s="34"/>
      <c r="E14" s="34"/>
      <c r="F14" s="34"/>
    </row>
    <row r="15" spans="1:8">
      <c r="A15" s="37" t="s">
        <v>235</v>
      </c>
      <c r="B15" s="20"/>
      <c r="C15" s="36">
        <v>4</v>
      </c>
      <c r="D15" s="34"/>
      <c r="E15" s="34"/>
      <c r="F15" s="34"/>
    </row>
    <row r="16" spans="1:8">
      <c r="A16" s="37" t="s">
        <v>79</v>
      </c>
      <c r="B16" s="38"/>
      <c r="C16" s="137">
        <v>5</v>
      </c>
      <c r="D16" s="41"/>
      <c r="E16" s="41"/>
      <c r="F16" s="41"/>
    </row>
    <row r="17" spans="1:6">
      <c r="A17" s="37" t="s">
        <v>80</v>
      </c>
      <c r="B17" s="38"/>
      <c r="C17" s="137">
        <v>6</v>
      </c>
      <c r="D17" s="41"/>
      <c r="E17" s="41"/>
      <c r="F17" s="41"/>
    </row>
    <row r="18" spans="1:6">
      <c r="A18" s="37" t="s">
        <v>578</v>
      </c>
      <c r="B18" s="38"/>
      <c r="C18" s="137">
        <v>7</v>
      </c>
      <c r="D18" s="41"/>
      <c r="E18" s="41"/>
      <c r="F18" s="41"/>
    </row>
    <row r="19" spans="1:6">
      <c r="A19" s="262" t="s">
        <v>81</v>
      </c>
      <c r="B19" s="263" t="s">
        <v>82</v>
      </c>
      <c r="C19" s="82"/>
      <c r="D19" s="43"/>
      <c r="E19" s="43"/>
      <c r="F19" s="43"/>
    </row>
    <row r="20" spans="1:6">
      <c r="A20" s="44" t="s">
        <v>65</v>
      </c>
      <c r="B20" s="137" t="str">
        <f>IF(inputPrYr!C16&gt;0,(inputPrYr!C16),"  ")</f>
        <v>12-101a</v>
      </c>
      <c r="C20" s="137">
        <v>8</v>
      </c>
      <c r="D20" s="40">
        <f>IF(general!$E$82&lt;&gt;0,general!$E$82,"  ")</f>
        <v>823434</v>
      </c>
      <c r="E20" s="40">
        <f>IF(general!$E$88&lt;&gt;0,general!$E$88,"  ")</f>
        <v>229701</v>
      </c>
      <c r="F20" s="129" t="str">
        <f>IF(AND(general!E88=0,$D$38&gt;=0)," ",IF(AND(E20&gt;0,$D$38=0)," ",IF(AND(E20&gt;0,$D$38&gt;0),ROUND(E20/$D$38*1000,3))))</f>
        <v xml:space="preserve"> </v>
      </c>
    </row>
    <row r="21" spans="1:6">
      <c r="A21" s="44" t="str">
        <f>IF(inputPrYr!$B19&gt;"  ",(inputPrYr!$B19),"  ")</f>
        <v>Library</v>
      </c>
      <c r="B21" s="137" t="str">
        <f>IF(inputPrYr!C19&gt;0,(inputPrYr!C19),"  ")</f>
        <v>C.O.#1861</v>
      </c>
      <c r="C21" s="137">
        <f>IF(LibraryBondInt!C68&gt;0,LibraryBondInt!C68,"  ")</f>
        <v>9</v>
      </c>
      <c r="D21" s="40">
        <f>IF(LibraryBondInt!$E$24&gt;0,LibraryBondInt!$E$24,"  ")</f>
        <v>19094</v>
      </c>
      <c r="E21" s="40">
        <f>IF(LibraryBondInt!$E$30&lt;&gt;0,LibraryBondInt!$E$30,"  ")</f>
        <v>16969</v>
      </c>
      <c r="F21" s="129" t="str">
        <f>IF(AND(LibraryBondInt!$E$30=0,$D$38&gt;=0)," ",IF(AND(E22&gt;0,$D$38=0)," ",IF(AND(E22&gt;0,$D$38&gt;0),ROUND(E22/$D$38*1000,3))))</f>
        <v xml:space="preserve"> </v>
      </c>
    </row>
    <row r="22" spans="1:6">
      <c r="A22" s="40" t="str">
        <f>IF(inputPrYr!$B17&gt;"  ",(inputPrYr!$B17),"  ")</f>
        <v>Bond &amp; Interest</v>
      </c>
      <c r="B22" s="137" t="str">
        <f>IF(inputPrYr!C17&gt;0,(inputPrYr!C17),"  ")</f>
        <v>Ord.#1916</v>
      </c>
      <c r="C22" s="137">
        <f>IF(LibraryBondInt!C68&gt;0,LibraryBondInt!C68,"  ")</f>
        <v>9</v>
      </c>
      <c r="D22" s="337">
        <f>IF(LibraryBondInt!$E$59&gt;0,LibraryBondInt!$E$59," 0 ")</f>
        <v>29075</v>
      </c>
      <c r="E22" s="40">
        <f>IF(LibraryBondInt!$E$65&lt;&gt;0,LibraryBondInt!$E$65,"  ")</f>
        <v>17552</v>
      </c>
      <c r="F22" s="129"/>
    </row>
    <row r="23" spans="1:6">
      <c r="A23" s="40" t="str">
        <f>IF(inputPrYr!$B24&gt;"  ",(inputPrYr!$B24),"  ")</f>
        <v>Special Highway</v>
      </c>
      <c r="B23" s="82"/>
      <c r="C23" s="137">
        <f>IF(SpHiwayWaterSewerRefuse!C67&gt;0,SpHiwayWaterSewerRefuse!C67,"  ")</f>
        <v>10</v>
      </c>
      <c r="D23" s="40">
        <f>IF(SpHiwayWaterSewerRefuse!$E$22&gt;0,SpHiwayWaterSewerRefuse!$E$22,"  ")</f>
        <v>27470</v>
      </c>
      <c r="E23" s="42"/>
      <c r="F23" s="42"/>
    </row>
    <row r="24" spans="1:6">
      <c r="A24" s="40" t="str">
        <f>IF(inputPrYr!$B25&gt;"  ",(inputPrYr!$B25),"  ")</f>
        <v>Water/Sewer/Refuse</v>
      </c>
      <c r="B24" s="82"/>
      <c r="C24" s="137">
        <f>IF(SpHiwayWaterSewerRefuse!C67&gt;0,SpHiwayWaterSewerRefuse!C67,"  ")</f>
        <v>10</v>
      </c>
      <c r="D24" s="40">
        <f>IF(SpHiwayWaterSewerRefuse!$E$61&gt;0,SpHiwayWaterSewerRefuse!$E$61,"  ")</f>
        <v>508458</v>
      </c>
      <c r="E24" s="42"/>
      <c r="F24" s="42"/>
    </row>
    <row r="25" spans="1:6">
      <c r="A25" s="40" t="str">
        <f>IF(inputPrYr!$B26&gt;"  ",(inputPrYr!$B26),"  ")</f>
        <v>Capital Improvement</v>
      </c>
      <c r="B25" s="82" t="s">
        <v>56</v>
      </c>
      <c r="C25" s="137">
        <f>IF(CapImprUtilitySystemReserve!C50&gt;0,CapImprUtilitySystemReserve!C50,"  ")</f>
        <v>11</v>
      </c>
      <c r="D25" s="40">
        <f>IF(CapImprUtilitySystemReserve!$E$19&gt;0,CapImprUtilitySystemReserve!$E$19,"  ")</f>
        <v>103023</v>
      </c>
      <c r="E25" s="42"/>
      <c r="F25" s="42"/>
    </row>
    <row r="26" spans="1:6">
      <c r="A26" s="40" t="str">
        <f>IF(inputPrYr!$B27&gt;"  ",(inputPrYr!$B27),"  ")</f>
        <v>Utility System Reserve</v>
      </c>
      <c r="B26" s="82"/>
      <c r="C26" s="137">
        <f>IF(CapImprUtilitySystemReserve!C50&gt;0,CapImprUtilitySystemReserve!C50,"  ")</f>
        <v>11</v>
      </c>
      <c r="D26" s="40">
        <f>IF(CapImprUtilitySystemReserve!$E$44&gt;0,CapImprUtilitySystemReserve!$E$44,"  ")</f>
        <v>119587</v>
      </c>
      <c r="E26" s="42"/>
      <c r="F26" s="42"/>
    </row>
    <row r="27" spans="1:6">
      <c r="A27" s="40" t="str">
        <f>IF(inputPrYr!$B31&gt;"  ",(inputPrYr!$B31),"  ")</f>
        <v>Spec. Law Enf. Trust Fund</v>
      </c>
      <c r="B27" s="82" t="s">
        <v>56</v>
      </c>
      <c r="C27" s="137">
        <f>IF('SpecLawEnfTrustHousing Grant'!C49&gt;0,'SpecLawEnfTrustHousing Grant'!C49,"  ")</f>
        <v>12</v>
      </c>
      <c r="D27" s="40">
        <f>IF('SpecLawEnfTrustHousing Grant'!E17&gt;0,'SpecLawEnfTrustHousing Grant'!E17,"  ")</f>
        <v>2315</v>
      </c>
      <c r="E27" s="42"/>
      <c r="F27" s="42"/>
    </row>
    <row r="28" spans="1:6">
      <c r="A28" s="40" t="str">
        <f>IF(inputPrYr!$B33&gt;"  ",(inputPrYr!$B33),"  ")</f>
        <v>Water Storage Grant Fund</v>
      </c>
      <c r="B28" s="348" t="s">
        <v>56</v>
      </c>
      <c r="C28" s="137">
        <f>WaterStorageGrantStormSewerProj!C48</f>
        <v>13</v>
      </c>
      <c r="D28" s="337" t="str">
        <f>IF(WaterStorageGrantStormSewerProj!E20&gt;0,WaterStorageGrantStormSewerProj!E20," 0 ")</f>
        <v xml:space="preserve"> 0 </v>
      </c>
      <c r="E28" s="42"/>
      <c r="F28" s="42"/>
    </row>
    <row r="29" spans="1:6">
      <c r="A29" s="40" t="str">
        <f>IF(inputPrYr!$B34&gt;"  ",(inputPrYr!$B34),"  ")</f>
        <v>Storm Sewer Capital Project Fund</v>
      </c>
      <c r="B29" s="348" t="s">
        <v>56</v>
      </c>
      <c r="C29" s="137">
        <v>13</v>
      </c>
      <c r="D29" s="337" t="str">
        <f>IF(WaterStorageGrantStormSewerProj!E42&gt;0,WaterStorageGrantStormSewerProj!E42," 0 ")</f>
        <v xml:space="preserve"> 0 </v>
      </c>
      <c r="E29" s="42"/>
      <c r="F29" s="42"/>
    </row>
    <row r="30" spans="1:6">
      <c r="A30" s="40" t="str">
        <f>IF(inputPrYr!$B35&gt;"  ",(inputPrYr!$B35),"  ")</f>
        <v>Pool Improvement Fund</v>
      </c>
      <c r="B30" s="348" t="s">
        <v>56</v>
      </c>
      <c r="C30" s="137">
        <v>14</v>
      </c>
      <c r="D30" s="337">
        <f>IF(PoolImprovementStormSewer2012!E18&gt;0,PoolImprovementStormSewer2012!E18," 0 ")</f>
        <v>15801</v>
      </c>
      <c r="E30" s="42"/>
      <c r="F30" s="42"/>
    </row>
    <row r="31" spans="1:6">
      <c r="A31" s="40" t="str">
        <f>IF(inputPrYr!$B36&gt;"  ",(inputPrYr!$B36),"  ")</f>
        <v>Storm Sewer Capital Project 2012 Fund</v>
      </c>
      <c r="B31" s="348" t="s">
        <v>56</v>
      </c>
      <c r="C31" s="137">
        <v>14</v>
      </c>
      <c r="D31" s="337" t="str">
        <f>IF(PoolImprovementStormSewer2012!E40&gt;0,PoolImprovementStormSewer2012!E40," 0 ")</f>
        <v xml:space="preserve"> 0 </v>
      </c>
      <c r="E31" s="42"/>
      <c r="F31" s="42"/>
    </row>
    <row r="32" spans="1:6">
      <c r="A32" s="37" t="s">
        <v>83</v>
      </c>
      <c r="B32" s="38"/>
      <c r="C32" s="137" t="s">
        <v>84</v>
      </c>
      <c r="D32" s="40">
        <f>SUM(D20:D31)</f>
        <v>1648257</v>
      </c>
      <c r="E32" s="40">
        <f>SUM(E20:E30)</f>
        <v>264222</v>
      </c>
      <c r="F32" s="130" t="str">
        <f>IF(SUM(F20:F28)=0,"",SUM(F20:F27))</f>
        <v/>
      </c>
    </row>
    <row r="33" spans="1:6">
      <c r="A33" s="37" t="s">
        <v>333</v>
      </c>
      <c r="B33" s="38"/>
      <c r="C33" s="137">
        <v>15</v>
      </c>
      <c r="D33" s="21"/>
      <c r="E33" s="21"/>
      <c r="F33" s="21"/>
    </row>
    <row r="34" spans="1:6">
      <c r="A34" s="37" t="s">
        <v>369</v>
      </c>
      <c r="B34" s="38"/>
      <c r="C34" s="137" t="str">
        <f>IF(nhood!C34&gt;0,nhood!C34,"")</f>
        <v/>
      </c>
      <c r="D34" s="21"/>
      <c r="E34" s="21"/>
      <c r="F34" s="21"/>
    </row>
    <row r="35" spans="1:6">
      <c r="A35" s="229" t="s">
        <v>334</v>
      </c>
      <c r="B35" s="230"/>
      <c r="C35" s="231"/>
      <c r="D35" s="233"/>
      <c r="E35" s="232" t="str">
        <f>IF(E32&gt;computation!J40,"Yes","No")</f>
        <v>Yes</v>
      </c>
      <c r="F35" s="104"/>
    </row>
    <row r="36" spans="1:6">
      <c r="A36" s="128" t="s">
        <v>57</v>
      </c>
      <c r="B36" s="104"/>
      <c r="C36" s="135"/>
      <c r="D36" s="331"/>
      <c r="E36" s="332"/>
      <c r="F36" s="104"/>
    </row>
    <row r="37" spans="1:6">
      <c r="A37" s="128"/>
      <c r="B37" s="104"/>
      <c r="C37" s="21"/>
      <c r="D37" s="208" t="s">
        <v>239</v>
      </c>
      <c r="E37" s="104"/>
      <c r="F37" s="104"/>
    </row>
    <row r="38" spans="1:6">
      <c r="A38" s="128"/>
      <c r="B38" s="104"/>
      <c r="C38" s="21"/>
      <c r="D38" s="139"/>
      <c r="E38" s="20"/>
      <c r="F38" s="20"/>
    </row>
    <row r="39" spans="1:6">
      <c r="A39" s="21"/>
      <c r="B39" s="21"/>
      <c r="C39" s="25"/>
      <c r="D39" s="436" t="s">
        <v>335</v>
      </c>
      <c r="E39" s="21"/>
      <c r="F39" s="21"/>
    </row>
    <row r="40" spans="1:6">
      <c r="A40" s="32" t="s">
        <v>86</v>
      </c>
      <c r="B40" s="46"/>
      <c r="C40" s="21"/>
      <c r="D40" s="437"/>
      <c r="E40" s="31"/>
      <c r="F40" s="31"/>
    </row>
    <row r="41" spans="1:6">
      <c r="A41" s="47" t="s">
        <v>165</v>
      </c>
      <c r="B41" s="24"/>
      <c r="C41" s="104"/>
      <c r="D41" s="104"/>
      <c r="E41" s="134"/>
      <c r="F41" s="134"/>
    </row>
    <row r="42" spans="1:6">
      <c r="A42" s="47" t="s">
        <v>166</v>
      </c>
      <c r="B42" s="24" t="s">
        <v>85</v>
      </c>
      <c r="C42" s="12" t="s">
        <v>486</v>
      </c>
      <c r="D42" s="12"/>
      <c r="E42" s="138"/>
      <c r="F42" s="138"/>
    </row>
    <row r="43" spans="1:6">
      <c r="A43" s="48" t="s">
        <v>167</v>
      </c>
      <c r="B43" s="228"/>
      <c r="C43" s="227" t="s">
        <v>446</v>
      </c>
      <c r="D43" s="227"/>
      <c r="E43" s="134"/>
      <c r="F43" s="134"/>
    </row>
    <row r="44" spans="1:6">
      <c r="A44" s="104"/>
      <c r="B44" s="261" t="s">
        <v>254</v>
      </c>
      <c r="C44" s="16" t="s">
        <v>447</v>
      </c>
      <c r="D44" s="16"/>
      <c r="E44" s="138"/>
      <c r="F44" s="138"/>
    </row>
    <row r="45" spans="1:6">
      <c r="A45" s="25" t="s">
        <v>352</v>
      </c>
      <c r="B45" s="92">
        <f>H1-1</f>
        <v>2012</v>
      </c>
      <c r="C45" s="16"/>
      <c r="D45" s="16"/>
      <c r="E45" s="26"/>
      <c r="F45" s="21"/>
    </row>
    <row r="46" spans="1:6">
      <c r="A46" s="31"/>
      <c r="B46" s="21"/>
      <c r="C46" s="21"/>
      <c r="D46" s="21"/>
      <c r="E46" s="20"/>
      <c r="F46" s="20"/>
    </row>
    <row r="47" spans="1:6">
      <c r="A47" s="49" t="s">
        <v>88</v>
      </c>
      <c r="B47" s="21"/>
      <c r="C47" s="21"/>
      <c r="D47" s="21"/>
      <c r="E47" s="434" t="s">
        <v>87</v>
      </c>
      <c r="F47" s="434"/>
    </row>
    <row r="48" spans="1:6">
      <c r="A48" s="2"/>
    </row>
    <row r="58" spans="1:6" ht="15">
      <c r="A58"/>
      <c r="B58"/>
      <c r="C58"/>
      <c r="D58"/>
      <c r="E58"/>
      <c r="F58"/>
    </row>
    <row r="59" spans="1:6" ht="15">
      <c r="A59"/>
      <c r="B59"/>
      <c r="C59"/>
      <c r="D59"/>
      <c r="E59"/>
      <c r="F59"/>
    </row>
    <row r="60" spans="1:6" ht="15">
      <c r="A60"/>
      <c r="B60"/>
      <c r="C60"/>
      <c r="D60"/>
      <c r="E60"/>
      <c r="F60"/>
    </row>
    <row r="61" spans="1:6" ht="15">
      <c r="A61"/>
      <c r="B61"/>
      <c r="C61"/>
      <c r="D61"/>
      <c r="E61"/>
      <c r="F61"/>
    </row>
    <row r="62" spans="1:6" ht="15">
      <c r="A62"/>
      <c r="B62"/>
      <c r="C62"/>
      <c r="D62"/>
      <c r="E62"/>
      <c r="F62"/>
    </row>
    <row r="63" spans="1:6" ht="15">
      <c r="A63"/>
      <c r="B63"/>
      <c r="C63"/>
      <c r="D63"/>
      <c r="E63"/>
      <c r="F63"/>
    </row>
    <row r="64" spans="1:6" ht="15">
      <c r="A64"/>
      <c r="B64"/>
      <c r="C64"/>
      <c r="D64"/>
      <c r="E64"/>
      <c r="F64"/>
    </row>
    <row r="65" spans="1:6" ht="15">
      <c r="A65"/>
      <c r="B65"/>
      <c r="C65"/>
      <c r="D65"/>
      <c r="E65"/>
      <c r="F65"/>
    </row>
    <row r="66" spans="1:6" ht="15">
      <c r="A66"/>
      <c r="B66"/>
      <c r="C66"/>
      <c r="D66"/>
      <c r="E66"/>
      <c r="F66"/>
    </row>
    <row r="67" spans="1:6" ht="15">
      <c r="A67"/>
      <c r="B67"/>
      <c r="C67"/>
      <c r="D67"/>
      <c r="E67"/>
      <c r="F67"/>
    </row>
    <row r="68" spans="1:6" ht="15">
      <c r="A68"/>
      <c r="B68"/>
      <c r="C68"/>
      <c r="D68"/>
      <c r="E68"/>
      <c r="F68"/>
    </row>
    <row r="69" spans="1:6" ht="15">
      <c r="A69"/>
      <c r="B69"/>
      <c r="C69"/>
      <c r="D69"/>
      <c r="E69"/>
      <c r="F69"/>
    </row>
    <row r="70" spans="1:6" ht="15">
      <c r="A70"/>
      <c r="B70"/>
      <c r="C70"/>
      <c r="D70"/>
      <c r="E70"/>
      <c r="F70"/>
    </row>
    <row r="71" spans="1:6" ht="15">
      <c r="A71"/>
      <c r="B71"/>
      <c r="C71"/>
      <c r="D71"/>
      <c r="E71"/>
      <c r="F71"/>
    </row>
    <row r="72" spans="1:6" ht="15">
      <c r="A72"/>
      <c r="B72"/>
      <c r="C72"/>
      <c r="D72"/>
      <c r="E72"/>
      <c r="F72"/>
    </row>
    <row r="73" spans="1:6" ht="15">
      <c r="A73"/>
      <c r="B73"/>
      <c r="C73"/>
      <c r="D73"/>
      <c r="E73"/>
      <c r="F73"/>
    </row>
    <row r="76" spans="1:6">
      <c r="A76" s="2"/>
      <c r="B76" s="2"/>
      <c r="C76" s="2"/>
      <c r="D76" s="2"/>
      <c r="E76" s="2"/>
      <c r="F76" s="2"/>
    </row>
  </sheetData>
  <mergeCells count="4">
    <mergeCell ref="A4:F4"/>
    <mergeCell ref="E47:F47"/>
    <mergeCell ref="A2:F2"/>
    <mergeCell ref="D39:D40"/>
  </mergeCells>
  <phoneticPr fontId="0" type="noConversion"/>
  <pageMargins left="0.5" right="0.5" top="1" bottom="0.5" header="0.5" footer="0.25"/>
  <pageSetup scale="81" orientation="portrait" blackAndWhite="1" horizontalDpi="120" verticalDpi="144" r:id="rId1"/>
  <headerFooter alignWithMargins="0">
    <oddHeader xml:space="preserve">&amp;RState of Kansas
City
</oddHeader>
    <oddFooter>&amp;Lrevised 8/06/07&amp;C   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Normal="100" workbookViewId="0">
      <selection activeCell="J38" sqref="J38"/>
    </sheetView>
  </sheetViews>
  <sheetFormatPr defaultRowHeight="15.95" customHeight="1"/>
  <cols>
    <col min="1" max="2" width="3.33203125" style="2" customWidth="1"/>
    <col min="3" max="3" width="31.33203125" style="2" customWidth="1"/>
    <col min="4" max="4" width="2.33203125" style="2" customWidth="1"/>
    <col min="5" max="5" width="15.77734375" style="2" customWidth="1"/>
    <col min="6" max="6" width="2" style="2" customWidth="1"/>
    <col min="7" max="7" width="15.77734375" style="2" customWidth="1"/>
    <col min="8" max="8" width="1.88671875" style="2" customWidth="1"/>
    <col min="9" max="9" width="1.77734375" style="2" customWidth="1"/>
    <col min="10" max="10" width="15.77734375" style="2" customWidth="1"/>
    <col min="11" max="16384" width="8.88671875" style="2"/>
  </cols>
  <sheetData>
    <row r="1" spans="1:10" ht="15.95" customHeight="1">
      <c r="A1" s="50"/>
      <c r="B1" s="50"/>
      <c r="C1" s="51" t="str">
        <f>inputPrYr!D2</f>
        <v>CITY OF BLUE RAPIDS</v>
      </c>
      <c r="D1" s="50"/>
      <c r="E1" s="50"/>
      <c r="F1" s="50"/>
      <c r="G1" s="50"/>
      <c r="H1" s="50"/>
      <c r="I1" s="50"/>
      <c r="J1" s="50">
        <f>inputPrYr!C5</f>
        <v>2013</v>
      </c>
    </row>
    <row r="2" spans="1:10" ht="15.95" customHeight="1">
      <c r="A2" s="50"/>
      <c r="B2" s="50"/>
      <c r="C2" s="50"/>
      <c r="D2" s="50"/>
      <c r="E2" s="50"/>
      <c r="F2" s="50"/>
      <c r="G2" s="50"/>
      <c r="H2" s="50"/>
      <c r="I2" s="50"/>
      <c r="J2" s="50"/>
    </row>
    <row r="3" spans="1:10" ht="15.75">
      <c r="A3" s="439" t="str">
        <f>CONCATENATE("Computation to Determine Limit for ",J1,"")</f>
        <v>Computation to Determine Limit for 2013</v>
      </c>
      <c r="B3" s="440"/>
      <c r="C3" s="440"/>
      <c r="D3" s="440"/>
      <c r="E3" s="440"/>
      <c r="F3" s="440"/>
      <c r="G3" s="440"/>
      <c r="H3" s="440"/>
      <c r="I3" s="440"/>
      <c r="J3" s="440"/>
    </row>
    <row r="4" spans="1:10" ht="15.75">
      <c r="A4" s="50"/>
      <c r="B4" s="50"/>
      <c r="C4" s="50"/>
      <c r="D4" s="50"/>
      <c r="E4" s="440"/>
      <c r="F4" s="440"/>
      <c r="G4" s="440"/>
      <c r="H4" s="52"/>
      <c r="I4" s="50"/>
      <c r="J4" s="53" t="s">
        <v>183</v>
      </c>
    </row>
    <row r="5" spans="1:10" ht="15.75">
      <c r="A5" s="54" t="s">
        <v>184</v>
      </c>
      <c r="B5" s="50" t="str">
        <f>CONCATENATE("Total Tax Levy Amount in ",J1-1," Budget")</f>
        <v>Total Tax Levy Amount in 2012 Budget</v>
      </c>
      <c r="C5" s="50"/>
      <c r="D5" s="50"/>
      <c r="E5" s="55"/>
      <c r="F5" s="55"/>
      <c r="G5" s="55"/>
      <c r="H5" s="56" t="s">
        <v>185</v>
      </c>
      <c r="I5" s="55" t="s">
        <v>186</v>
      </c>
      <c r="J5" s="57">
        <f>inputPrYr!D21</f>
        <v>226811</v>
      </c>
    </row>
    <row r="6" spans="1:10" ht="15.75">
      <c r="A6" s="54" t="s">
        <v>187</v>
      </c>
      <c r="B6" s="50" t="str">
        <f>CONCATENATE("Debt Service Levy in ",J1-1," Budget")</f>
        <v>Debt Service Levy in 2012 Budget</v>
      </c>
      <c r="C6" s="50"/>
      <c r="D6" s="50"/>
      <c r="E6" s="55"/>
      <c r="F6" s="55"/>
      <c r="G6" s="55"/>
      <c r="H6" s="56" t="s">
        <v>188</v>
      </c>
      <c r="I6" s="55" t="s">
        <v>186</v>
      </c>
      <c r="J6" s="185">
        <f>inputPrYr!D17</f>
        <v>0</v>
      </c>
    </row>
    <row r="7" spans="1:10" ht="15.75">
      <c r="A7" s="54" t="s">
        <v>215</v>
      </c>
      <c r="B7" s="58" t="s">
        <v>212</v>
      </c>
      <c r="C7" s="50"/>
      <c r="D7" s="50"/>
      <c r="E7" s="55"/>
      <c r="F7" s="55"/>
      <c r="G7" s="55"/>
      <c r="H7" s="55"/>
      <c r="I7" s="55" t="s">
        <v>186</v>
      </c>
      <c r="J7" s="59">
        <f>J5-J6</f>
        <v>226811</v>
      </c>
    </row>
    <row r="8" spans="1:10" ht="15.75">
      <c r="A8" s="50"/>
      <c r="B8" s="50"/>
      <c r="C8" s="50"/>
      <c r="D8" s="50"/>
      <c r="E8" s="55"/>
      <c r="F8" s="55"/>
      <c r="G8" s="55"/>
      <c r="H8" s="55"/>
      <c r="I8" s="55"/>
      <c r="J8" s="55"/>
    </row>
    <row r="9" spans="1:10" ht="15.75">
      <c r="A9" s="50"/>
      <c r="B9" s="58" t="str">
        <f>CONCATENATE("",J1-1," Valuation Information for Valuation Adjustments:")</f>
        <v>2012 Valuation Information for Valuation Adjustments:</v>
      </c>
      <c r="C9" s="50"/>
      <c r="D9" s="50"/>
      <c r="E9" s="55"/>
      <c r="F9" s="55"/>
      <c r="G9" s="55"/>
      <c r="H9" s="55"/>
      <c r="I9" s="55"/>
      <c r="J9" s="55"/>
    </row>
    <row r="10" spans="1:10" ht="15.75">
      <c r="A10" s="50"/>
      <c r="B10" s="50"/>
      <c r="C10" s="58"/>
      <c r="D10" s="50"/>
      <c r="E10" s="55"/>
      <c r="F10" s="55"/>
      <c r="G10" s="55"/>
      <c r="H10" s="55"/>
      <c r="I10" s="55"/>
      <c r="J10" s="55"/>
    </row>
    <row r="11" spans="1:10" ht="15.75">
      <c r="A11" s="54" t="s">
        <v>189</v>
      </c>
      <c r="B11" s="58" t="str">
        <f>CONCATENATE("New Improvements for ",J1-1,":")</f>
        <v>New Improvements for 2012:</v>
      </c>
      <c r="C11" s="50"/>
      <c r="D11" s="50"/>
      <c r="E11" s="56"/>
      <c r="F11" s="56" t="s">
        <v>185</v>
      </c>
      <c r="G11" s="60">
        <f>inputOth!E7</f>
        <v>9399</v>
      </c>
      <c r="H11" s="61"/>
      <c r="I11" s="55"/>
      <c r="J11" s="55"/>
    </row>
    <row r="12" spans="1:10" ht="15.75">
      <c r="A12" s="54"/>
      <c r="B12" s="62"/>
      <c r="C12" s="50"/>
      <c r="D12" s="50"/>
      <c r="E12" s="56"/>
      <c r="F12" s="56"/>
      <c r="G12" s="61"/>
      <c r="H12" s="61"/>
      <c r="I12" s="55"/>
      <c r="J12" s="55"/>
    </row>
    <row r="13" spans="1:10" ht="15.75">
      <c r="A13" s="54" t="s">
        <v>190</v>
      </c>
      <c r="B13" s="58" t="str">
        <f>CONCATENATE("Increase in Personal Property for ",J1-1,":")</f>
        <v>Increase in Personal Property for 2012:</v>
      </c>
      <c r="C13" s="50"/>
      <c r="D13" s="50"/>
      <c r="E13" s="56"/>
      <c r="F13" s="56"/>
      <c r="G13" s="61"/>
      <c r="H13" s="61"/>
      <c r="I13" s="55"/>
      <c r="J13" s="55"/>
    </row>
    <row r="14" spans="1:10" ht="15.75">
      <c r="A14" s="63"/>
      <c r="B14" s="50" t="s">
        <v>191</v>
      </c>
      <c r="C14" s="50" t="str">
        <f>CONCATENATE("Personal Property ",J1-1,"")</f>
        <v>Personal Property 2012</v>
      </c>
      <c r="D14" s="62" t="s">
        <v>185</v>
      </c>
      <c r="E14" s="60">
        <f>inputOth!E8</f>
        <v>140978</v>
      </c>
      <c r="F14" s="56"/>
      <c r="G14" s="55"/>
      <c r="H14" s="55"/>
      <c r="I14" s="61"/>
      <c r="J14" s="55"/>
    </row>
    <row r="15" spans="1:10" ht="15.75">
      <c r="A15" s="62"/>
      <c r="B15" s="50" t="s">
        <v>192</v>
      </c>
      <c r="C15" s="50" t="str">
        <f>CONCATENATE("Personal Property ",J1-2,"")</f>
        <v>Personal Property 2011</v>
      </c>
      <c r="D15" s="62" t="s">
        <v>188</v>
      </c>
      <c r="E15" s="64">
        <f>inputOth!E14</f>
        <v>146651</v>
      </c>
      <c r="F15" s="56"/>
      <c r="G15" s="61"/>
      <c r="H15" s="61"/>
      <c r="I15" s="55"/>
      <c r="J15" s="55"/>
    </row>
    <row r="16" spans="1:10" ht="15.75">
      <c r="A16" s="62"/>
      <c r="B16" s="50" t="s">
        <v>193</v>
      </c>
      <c r="C16" s="50" t="s">
        <v>214</v>
      </c>
      <c r="D16" s="50"/>
      <c r="E16" s="55"/>
      <c r="F16" s="55" t="s">
        <v>185</v>
      </c>
      <c r="G16" s="57">
        <f>IF(E14&gt;E15,E14-E15,0)</f>
        <v>0</v>
      </c>
      <c r="H16" s="61"/>
      <c r="I16" s="55"/>
      <c r="J16" s="55"/>
    </row>
    <row r="17" spans="1:10" ht="15.75">
      <c r="A17" s="62"/>
      <c r="B17" s="62"/>
      <c r="C17" s="50"/>
      <c r="D17" s="50"/>
      <c r="E17" s="55"/>
      <c r="F17" s="55"/>
      <c r="G17" s="61" t="s">
        <v>206</v>
      </c>
      <c r="H17" s="61"/>
      <c r="I17" s="55"/>
      <c r="J17" s="55"/>
    </row>
    <row r="18" spans="1:10" ht="15.75">
      <c r="A18" s="62" t="s">
        <v>194</v>
      </c>
      <c r="B18" s="58" t="str">
        <f>CONCATENATE("Valuation of annexed territory for ",J1-1,"")</f>
        <v>Valuation of annexed territory for 2012</v>
      </c>
      <c r="C18" s="50"/>
      <c r="D18" s="50"/>
      <c r="E18" s="61"/>
      <c r="F18" s="55"/>
      <c r="G18" s="55"/>
      <c r="H18" s="55"/>
      <c r="I18" s="55"/>
      <c r="J18" s="55"/>
    </row>
    <row r="19" spans="1:10" ht="15.75">
      <c r="A19" s="62"/>
      <c r="B19" s="50" t="s">
        <v>195</v>
      </c>
      <c r="C19" s="50" t="s">
        <v>216</v>
      </c>
      <c r="D19" s="62" t="s">
        <v>185</v>
      </c>
      <c r="E19" s="60">
        <f>inputOth!E10</f>
        <v>0</v>
      </c>
      <c r="F19" s="55"/>
      <c r="G19" s="55"/>
      <c r="H19" s="55"/>
      <c r="I19" s="55"/>
      <c r="J19" s="55"/>
    </row>
    <row r="20" spans="1:10" ht="15.75">
      <c r="A20" s="62"/>
      <c r="B20" s="50" t="s">
        <v>196</v>
      </c>
      <c r="C20" s="50" t="s">
        <v>217</v>
      </c>
      <c r="D20" s="62" t="s">
        <v>185</v>
      </c>
      <c r="E20" s="60">
        <f>inputOth!E11</f>
        <v>0</v>
      </c>
      <c r="F20" s="55"/>
      <c r="G20" s="61"/>
      <c r="H20" s="61"/>
      <c r="I20" s="55"/>
      <c r="J20" s="55"/>
    </row>
    <row r="21" spans="1:10" ht="15.75">
      <c r="A21" s="62"/>
      <c r="B21" s="50" t="s">
        <v>197</v>
      </c>
      <c r="C21" s="50" t="s">
        <v>213</v>
      </c>
      <c r="D21" s="62" t="s">
        <v>188</v>
      </c>
      <c r="E21" s="60">
        <f>inputOth!E12</f>
        <v>0</v>
      </c>
      <c r="F21" s="55"/>
      <c r="G21" s="61"/>
      <c r="H21" s="61"/>
      <c r="I21" s="55"/>
      <c r="J21" s="55"/>
    </row>
    <row r="22" spans="1:10" ht="15.75">
      <c r="A22" s="62"/>
      <c r="B22" s="50" t="s">
        <v>198</v>
      </c>
      <c r="C22" s="50" t="s">
        <v>218</v>
      </c>
      <c r="D22" s="62"/>
      <c r="E22" s="61"/>
      <c r="F22" s="55" t="s">
        <v>185</v>
      </c>
      <c r="G22" s="57">
        <f>E19+E20-E21</f>
        <v>0</v>
      </c>
      <c r="H22" s="61"/>
      <c r="I22" s="55"/>
      <c r="J22" s="55"/>
    </row>
    <row r="23" spans="1:10" ht="15.75">
      <c r="A23" s="62"/>
      <c r="B23" s="62"/>
      <c r="C23" s="50"/>
      <c r="D23" s="62"/>
      <c r="E23" s="61"/>
      <c r="F23" s="55"/>
      <c r="G23" s="61"/>
      <c r="H23" s="61"/>
      <c r="I23" s="55"/>
      <c r="J23" s="55"/>
    </row>
    <row r="24" spans="1:10" ht="15.75">
      <c r="A24" s="62" t="s">
        <v>199</v>
      </c>
      <c r="B24" s="58" t="str">
        <f>CONCATENATE("Valuation of Property that has Changed in Use during ",J1-1,"")</f>
        <v>Valuation of Property that has Changed in Use during 2012</v>
      </c>
      <c r="C24" s="50"/>
      <c r="D24" s="50"/>
      <c r="E24" s="55"/>
      <c r="F24" s="55"/>
      <c r="G24" s="65">
        <f>inputOth!E13</f>
        <v>3885</v>
      </c>
      <c r="H24" s="55"/>
      <c r="I24" s="55"/>
      <c r="J24" s="55"/>
    </row>
    <row r="25" spans="1:10" ht="15.75">
      <c r="A25" s="50" t="s">
        <v>72</v>
      </c>
      <c r="B25" s="50"/>
      <c r="C25" s="50"/>
      <c r="D25" s="62"/>
      <c r="E25" s="61"/>
      <c r="F25" s="55"/>
      <c r="G25" s="66"/>
      <c r="H25" s="61"/>
      <c r="I25" s="55"/>
      <c r="J25" s="55"/>
    </row>
    <row r="26" spans="1:10" ht="18.75" customHeight="1">
      <c r="A26" s="62" t="s">
        <v>200</v>
      </c>
      <c r="B26" s="58" t="s">
        <v>219</v>
      </c>
      <c r="C26" s="50"/>
      <c r="D26" s="50"/>
      <c r="E26" s="55"/>
      <c r="F26" s="55"/>
      <c r="G26" s="57">
        <f>G11+G16+G22+G24</f>
        <v>13284</v>
      </c>
      <c r="H26" s="61"/>
      <c r="I26" s="55"/>
      <c r="J26" s="55"/>
    </row>
    <row r="27" spans="1:10" ht="15.75">
      <c r="A27" s="62"/>
      <c r="B27" s="62"/>
      <c r="C27" s="58"/>
      <c r="D27" s="50"/>
      <c r="E27" s="55"/>
      <c r="F27" s="55"/>
      <c r="G27" s="61"/>
      <c r="H27" s="61"/>
      <c r="I27" s="55"/>
      <c r="J27" s="55"/>
    </row>
    <row r="28" spans="1:10" ht="15.75">
      <c r="A28" s="62" t="s">
        <v>201</v>
      </c>
      <c r="B28" s="50" t="str">
        <f>CONCATENATE("Total Estimated Valuation July 1,",J1-1,"")</f>
        <v>Total Estimated Valuation July 1,2012</v>
      </c>
      <c r="C28" s="50"/>
      <c r="D28" s="50"/>
      <c r="E28" s="57">
        <f>inputOth!E6</f>
        <v>3064475</v>
      </c>
      <c r="F28" s="55"/>
      <c r="G28" s="55"/>
      <c r="H28" s="55"/>
      <c r="I28" s="56"/>
      <c r="J28" s="55"/>
    </row>
    <row r="29" spans="1:10" ht="15.75">
      <c r="A29" s="62"/>
      <c r="B29" s="62"/>
      <c r="C29" s="50"/>
      <c r="D29" s="50"/>
      <c r="E29" s="61"/>
      <c r="F29" s="55"/>
      <c r="G29" s="55"/>
      <c r="H29" s="55"/>
      <c r="I29" s="56"/>
      <c r="J29" s="55"/>
    </row>
    <row r="30" spans="1:10" ht="15.75">
      <c r="A30" s="62" t="s">
        <v>202</v>
      </c>
      <c r="B30" s="58" t="s">
        <v>220</v>
      </c>
      <c r="C30" s="50"/>
      <c r="D30" s="50"/>
      <c r="E30" s="55"/>
      <c r="F30" s="55"/>
      <c r="G30" s="57">
        <f>E28-G26</f>
        <v>3051191</v>
      </c>
      <c r="H30" s="61"/>
      <c r="I30" s="56"/>
      <c r="J30" s="55"/>
    </row>
    <row r="31" spans="1:10" ht="15.75">
      <c r="A31" s="62"/>
      <c r="B31" s="62"/>
      <c r="C31" s="58"/>
      <c r="D31" s="50"/>
      <c r="E31" s="50"/>
      <c r="F31" s="50"/>
      <c r="G31" s="67"/>
      <c r="H31" s="68"/>
      <c r="I31" s="62"/>
      <c r="J31" s="50"/>
    </row>
    <row r="32" spans="1:10" ht="15.75">
      <c r="A32" s="62" t="s">
        <v>203</v>
      </c>
      <c r="B32" s="50" t="s">
        <v>221</v>
      </c>
      <c r="C32" s="50"/>
      <c r="D32" s="50"/>
      <c r="E32" s="50"/>
      <c r="F32" s="50"/>
      <c r="G32" s="69">
        <f>IF(G30&gt;0,G26/G30,0)</f>
        <v>4.3537097480950884E-3</v>
      </c>
      <c r="H32" s="68"/>
      <c r="I32" s="50"/>
      <c r="J32" s="50"/>
    </row>
    <row r="33" spans="1:10" ht="15.75">
      <c r="A33" s="62"/>
      <c r="B33" s="62"/>
      <c r="C33" s="50"/>
      <c r="D33" s="50"/>
      <c r="E33" s="50"/>
      <c r="F33" s="50"/>
      <c r="G33" s="68"/>
      <c r="H33" s="68"/>
      <c r="I33" s="50"/>
      <c r="J33" s="50"/>
    </row>
    <row r="34" spans="1:10" ht="15.75">
      <c r="A34" s="62" t="s">
        <v>204</v>
      </c>
      <c r="B34" s="50" t="s">
        <v>222</v>
      </c>
      <c r="C34" s="50"/>
      <c r="D34" s="50"/>
      <c r="E34" s="50"/>
      <c r="F34" s="50"/>
      <c r="G34" s="68"/>
      <c r="H34" s="70" t="s">
        <v>185</v>
      </c>
      <c r="I34" s="50" t="s">
        <v>186</v>
      </c>
      <c r="J34" s="57">
        <f>G32*J7</f>
        <v>987.46926167519507</v>
      </c>
    </row>
    <row r="35" spans="1:10" ht="15.75">
      <c r="A35" s="62"/>
      <c r="B35" s="62"/>
      <c r="C35" s="50"/>
      <c r="D35" s="50"/>
      <c r="E35" s="50"/>
      <c r="F35" s="50"/>
      <c r="G35" s="68"/>
      <c r="H35" s="70"/>
      <c r="I35" s="50"/>
      <c r="J35" s="61"/>
    </row>
    <row r="36" spans="1:10" ht="16.5" thickBot="1">
      <c r="A36" s="62" t="s">
        <v>205</v>
      </c>
      <c r="B36" s="58" t="s">
        <v>228</v>
      </c>
      <c r="C36" s="50"/>
      <c r="D36" s="50"/>
      <c r="E36" s="50"/>
      <c r="F36" s="50"/>
      <c r="G36" s="50"/>
      <c r="H36" s="50"/>
      <c r="I36" s="50" t="s">
        <v>186</v>
      </c>
      <c r="J36" s="71">
        <f>J7+J34</f>
        <v>227798.4692616752</v>
      </c>
    </row>
    <row r="37" spans="1:10" ht="16.5" thickTop="1">
      <c r="A37" s="50"/>
      <c r="B37" s="50"/>
      <c r="C37" s="50"/>
      <c r="D37" s="50"/>
      <c r="E37" s="50"/>
      <c r="F37" s="50"/>
      <c r="G37" s="50"/>
      <c r="H37" s="50"/>
      <c r="I37" s="50"/>
      <c r="J37" s="50"/>
    </row>
    <row r="38" spans="1:10" ht="15.75">
      <c r="A38" s="62" t="s">
        <v>226</v>
      </c>
      <c r="B38" s="58" t="str">
        <f>CONCATENATE("Debt Service in this ",J1," Budget")</f>
        <v>Debt Service in this 2013 Budget</v>
      </c>
      <c r="C38" s="50"/>
      <c r="D38" s="50"/>
      <c r="E38" s="50"/>
      <c r="F38" s="50"/>
      <c r="G38" s="50"/>
      <c r="H38" s="50"/>
      <c r="I38" s="50"/>
      <c r="J38" s="186">
        <f>LibraryBondInt!E65</f>
        <v>17552</v>
      </c>
    </row>
    <row r="39" spans="1:10" ht="15.75">
      <c r="A39" s="62"/>
      <c r="B39" s="58"/>
      <c r="C39" s="50"/>
      <c r="D39" s="50"/>
      <c r="E39" s="50"/>
      <c r="F39" s="50"/>
      <c r="G39" s="50"/>
      <c r="H39" s="50"/>
      <c r="I39" s="50"/>
      <c r="J39" s="68"/>
    </row>
    <row r="40" spans="1:10" ht="16.5" thickBot="1">
      <c r="A40" s="62" t="s">
        <v>227</v>
      </c>
      <c r="B40" s="58" t="s">
        <v>229</v>
      </c>
      <c r="C40" s="50"/>
      <c r="D40" s="50"/>
      <c r="E40" s="50"/>
      <c r="F40" s="50"/>
      <c r="G40" s="50"/>
      <c r="H40" s="50"/>
      <c r="I40" s="50"/>
      <c r="J40" s="71">
        <f>J36+J38</f>
        <v>245350.4692616752</v>
      </c>
    </row>
    <row r="41" spans="1:10" ht="16.5" thickTop="1">
      <c r="A41" s="50"/>
      <c r="B41" s="50"/>
      <c r="C41" s="50"/>
      <c r="D41" s="50"/>
      <c r="E41" s="50"/>
      <c r="F41" s="50"/>
      <c r="G41" s="50"/>
      <c r="H41" s="50"/>
      <c r="I41" s="50"/>
      <c r="J41" s="50"/>
    </row>
    <row r="42" spans="1:10" s="19" customFormat="1" ht="18.75">
      <c r="A42" s="438" t="str">
        <f>CONCATENATE("If the ",J1," budget includes tax levies exceeding the total on line 15, you must")</f>
        <v>If the 2013 budget includes tax levies exceeding the total on line 15, you must</v>
      </c>
      <c r="B42" s="438"/>
      <c r="C42" s="438"/>
      <c r="D42" s="438"/>
      <c r="E42" s="438"/>
      <c r="F42" s="438"/>
      <c r="G42" s="438"/>
      <c r="H42" s="438"/>
      <c r="I42" s="438"/>
      <c r="J42" s="438"/>
    </row>
    <row r="43" spans="1:10" s="19" customFormat="1" ht="18.75">
      <c r="A43" s="438" t="s">
        <v>294</v>
      </c>
      <c r="B43" s="438"/>
      <c r="C43" s="438"/>
      <c r="D43" s="438"/>
      <c r="E43" s="438"/>
      <c r="F43" s="438"/>
      <c r="G43" s="438"/>
      <c r="H43" s="438"/>
      <c r="I43" s="438"/>
      <c r="J43" s="438"/>
    </row>
    <row r="44" spans="1:10" s="19" customFormat="1" ht="18.75">
      <c r="A44" s="438" t="s">
        <v>295</v>
      </c>
      <c r="B44" s="438"/>
      <c r="C44" s="438"/>
      <c r="D44" s="438"/>
      <c r="E44" s="438"/>
      <c r="F44" s="438"/>
      <c r="G44" s="438"/>
      <c r="H44" s="438"/>
      <c r="I44" s="438"/>
      <c r="J44" s="438"/>
    </row>
  </sheetData>
  <mergeCells count="5">
    <mergeCell ref="A42:J42"/>
    <mergeCell ref="A44:J44"/>
    <mergeCell ref="A3:J3"/>
    <mergeCell ref="E4:G4"/>
    <mergeCell ref="A43:J43"/>
  </mergeCells>
  <phoneticPr fontId="0" type="noConversion"/>
  <pageMargins left="0.5" right="0.5" top="1" bottom="0.5" header="0.5" footer="0.5"/>
  <pageSetup scale="85" orientation="portrait" blackAndWhite="1" r:id="rId1"/>
  <headerFooter alignWithMargins="0">
    <oddHeader xml:space="preserve">&amp;RState of Kansas
City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9"/>
  <sheetViews>
    <sheetView zoomScaleNormal="100" workbookViewId="0">
      <selection activeCell="A8" sqref="A8"/>
    </sheetView>
  </sheetViews>
  <sheetFormatPr defaultRowHeight="15.75"/>
  <cols>
    <col min="1" max="1" width="17.88671875" style="7" customWidth="1"/>
    <col min="2" max="2" width="16.109375" style="7" customWidth="1"/>
    <col min="3" max="5" width="12.77734375" style="7" customWidth="1"/>
    <col min="6" max="6" width="10.21875" style="7" customWidth="1"/>
    <col min="7" max="16384" width="8.88671875" style="7"/>
  </cols>
  <sheetData>
    <row r="1" spans="1:6">
      <c r="A1" s="72" t="str">
        <f>inputPrYr!D2</f>
        <v>CITY OF BLUE RAPIDS</v>
      </c>
      <c r="B1" s="72"/>
      <c r="C1" s="21"/>
      <c r="D1" s="21"/>
      <c r="E1" s="21"/>
      <c r="F1" s="21">
        <f>inputPrYr!C5</f>
        <v>2013</v>
      </c>
    </row>
    <row r="2" spans="1:6">
      <c r="A2" s="21"/>
      <c r="B2" s="21"/>
      <c r="C2" s="21"/>
      <c r="D2" s="21"/>
      <c r="E2" s="21"/>
      <c r="F2" s="21"/>
    </row>
    <row r="3" spans="1:6">
      <c r="A3" s="441" t="s">
        <v>358</v>
      </c>
      <c r="B3" s="441"/>
      <c r="C3" s="441"/>
      <c r="D3" s="441"/>
      <c r="E3" s="441"/>
      <c r="F3" s="21"/>
    </row>
    <row r="4" spans="1:6">
      <c r="A4" s="21"/>
      <c r="B4" s="127"/>
      <c r="C4" s="127"/>
      <c r="D4" s="127"/>
      <c r="E4" s="21"/>
      <c r="F4" s="21"/>
    </row>
    <row r="5" spans="1:6" ht="21" customHeight="1">
      <c r="A5" s="76" t="s">
        <v>293</v>
      </c>
      <c r="B5" s="184" t="s">
        <v>292</v>
      </c>
      <c r="C5" s="442" t="str">
        <f>CONCATENATE("Allocation for Year ",F1,"")</f>
        <v>Allocation for Year 2013</v>
      </c>
      <c r="D5" s="443"/>
      <c r="E5" s="443"/>
      <c r="F5" s="444"/>
    </row>
    <row r="6" spans="1:6">
      <c r="A6" s="80" t="str">
        <f>CONCATENATE("for ",F1-1,"")</f>
        <v>for 2012</v>
      </c>
      <c r="B6" s="80" t="str">
        <f>CONCATENATE("for ",F1-1,"")</f>
        <v>for 2012</v>
      </c>
      <c r="C6" s="36" t="s">
        <v>178</v>
      </c>
      <c r="D6" s="36" t="s">
        <v>179</v>
      </c>
      <c r="E6" s="36" t="s">
        <v>177</v>
      </c>
      <c r="F6" s="82" t="s">
        <v>264</v>
      </c>
    </row>
    <row r="7" spans="1:6">
      <c r="A7" s="40" t="str">
        <f>(inputPrYr!B16)</f>
        <v>General</v>
      </c>
      <c r="B7" s="137">
        <f>(inputPrYr!D16)</f>
        <v>217667</v>
      </c>
      <c r="C7" s="137">
        <f>IF(inputPrYr!D16=0,0,C21-SUM(C9:C18))</f>
        <v>42910</v>
      </c>
      <c r="D7" s="137">
        <f>IF(inputPrYr!D16=0,0,D22-SUM(D9:D18))</f>
        <v>1180</v>
      </c>
      <c r="E7" s="137">
        <f>IF(inputPrYr!D16=0,0,E23-SUM(E9:E18))</f>
        <v>661</v>
      </c>
      <c r="F7" s="137">
        <f>IF(inputPrYr!D16=0,0,F24-SUM(F9:F18))</f>
        <v>0</v>
      </c>
    </row>
    <row r="8" spans="1:6">
      <c r="A8" s="40" t="str">
        <f>IF(inputPrYr!$B17&gt;"  ",(inputPrYr!$B17),"  ")</f>
        <v>Bond &amp; Interest</v>
      </c>
      <c r="B8" s="137" t="str">
        <f>IF(inputPrYr!$D17&gt;0,(inputPrYr!$D17),"  ")</f>
        <v xml:space="preserve">  </v>
      </c>
      <c r="C8" s="137" t="str">
        <f>IF(inputPrYr!D17&gt;0,ROUND(B8*$C$25,0),"  ")</f>
        <v xml:space="preserve">  </v>
      </c>
      <c r="D8" s="137" t="str">
        <f>IF(inputPrYr!D17&gt;0,ROUND(+B8*D$26,0)," ")</f>
        <v xml:space="preserve"> </v>
      </c>
      <c r="E8" s="137" t="str">
        <f>IF(inputPrYr!D17&gt;0,ROUND(+B8*E$27,0)," ")</f>
        <v xml:space="preserve"> </v>
      </c>
      <c r="F8" s="137" t="str">
        <f>IF(inputPrYr!D17&gt;0,ROUND(+B8*F$28,0)," ")</f>
        <v xml:space="preserve"> </v>
      </c>
    </row>
    <row r="9" spans="1:6">
      <c r="A9" s="40" t="str">
        <f>IF(inputPrYr!$B19&gt;"  ",(inputPrYr!$B19),"  ")</f>
        <v>Library</v>
      </c>
      <c r="B9" s="137">
        <f>IF(inputPrYr!$D19&gt;0,(inputPrYr!$D19),"  ")</f>
        <v>9144</v>
      </c>
      <c r="C9" s="137">
        <f>IF(inputPrYr!D19&gt;0,ROUND(B9*$C$25,0),"  ")</f>
        <v>1803</v>
      </c>
      <c r="D9" s="137">
        <f>IF(inputPrYr!D19&gt;0,ROUND(+B9*D$26,0)," ")</f>
        <v>50</v>
      </c>
      <c r="E9" s="137">
        <f>IF(inputPrYr!D19&gt;0,ROUND(+B9*E$27,0)," ")</f>
        <v>28</v>
      </c>
      <c r="F9" s="137">
        <f>IF(inputPrYr!D19&gt;0,ROUND(+B9*F$28,0)," ")</f>
        <v>0</v>
      </c>
    </row>
    <row r="10" spans="1:6">
      <c r="A10" s="40"/>
      <c r="B10" s="137"/>
      <c r="C10" s="137"/>
      <c r="D10" s="137"/>
      <c r="E10" s="137"/>
      <c r="F10" s="137"/>
    </row>
    <row r="11" spans="1:6">
      <c r="A11" s="40"/>
      <c r="B11" s="137"/>
      <c r="C11" s="137"/>
      <c r="D11" s="137"/>
      <c r="E11" s="137"/>
      <c r="F11" s="137"/>
    </row>
    <row r="12" spans="1:6">
      <c r="A12" s="40"/>
      <c r="B12" s="137"/>
      <c r="C12" s="137"/>
      <c r="D12" s="137"/>
      <c r="E12" s="137"/>
      <c r="F12" s="137"/>
    </row>
    <row r="13" spans="1:6">
      <c r="A13" s="40"/>
      <c r="B13" s="336"/>
      <c r="C13" s="336"/>
      <c r="D13" s="336"/>
      <c r="E13" s="336"/>
      <c r="F13" s="137"/>
    </row>
    <row r="14" spans="1:6">
      <c r="A14" s="40"/>
      <c r="B14" s="336"/>
      <c r="C14" s="336"/>
      <c r="D14" s="336"/>
      <c r="E14" s="336"/>
      <c r="F14" s="137"/>
    </row>
    <row r="15" spans="1:6">
      <c r="A15" s="40"/>
      <c r="B15" s="336"/>
      <c r="C15" s="336"/>
      <c r="D15" s="336"/>
      <c r="E15" s="336"/>
      <c r="F15" s="137"/>
    </row>
    <row r="16" spans="1:6">
      <c r="A16" s="40"/>
      <c r="B16" s="336"/>
      <c r="C16" s="137"/>
      <c r="D16" s="137"/>
      <c r="E16" s="137"/>
      <c r="F16" s="137"/>
    </row>
    <row r="17" spans="1:6">
      <c r="A17" s="40"/>
      <c r="B17" s="137"/>
      <c r="C17" s="137"/>
      <c r="D17" s="137"/>
      <c r="E17" s="137"/>
      <c r="F17" s="137"/>
    </row>
    <row r="18" spans="1:6">
      <c r="A18" s="40" t="str">
        <f>IF(inputPrYr!$B20&gt;"  ",(inputPrYr!$B20),"  ")</f>
        <v xml:space="preserve">  </v>
      </c>
      <c r="B18" s="137" t="str">
        <f>IF(inputPrYr!$D20&gt;0,(inputPrYr!$D20),"  ")</f>
        <v xml:space="preserve">  </v>
      </c>
      <c r="C18" s="137" t="str">
        <f>IF(inputPrYr!D20&gt;0,ROUND(B18*$C$25,0),"  ")</f>
        <v xml:space="preserve">  </v>
      </c>
      <c r="D18" s="137" t="str">
        <f>IF(inputPrYr!D20&gt;0,ROUND(+B18*D$26,0)," ")</f>
        <v xml:space="preserve"> </v>
      </c>
      <c r="E18" s="137" t="str">
        <f>IF(inputPrYr!D20&gt;0,ROUND(+B18*E$27,0)," ")</f>
        <v xml:space="preserve"> </v>
      </c>
      <c r="F18" s="137" t="str">
        <f>IF(inputPrYr!D20&gt;0,ROUND(+B18*F$28,0)," ")</f>
        <v xml:space="preserve"> </v>
      </c>
    </row>
    <row r="19" spans="1:6" ht="16.5" thickBot="1">
      <c r="A19" s="21" t="s">
        <v>91</v>
      </c>
      <c r="B19" s="248">
        <f>SUM(B7:B18)</f>
        <v>226811</v>
      </c>
      <c r="C19" s="248">
        <f>SUM(C7:C18)</f>
        <v>44713</v>
      </c>
      <c r="D19" s="248">
        <f>SUM(D7:D18)</f>
        <v>1230</v>
      </c>
      <c r="E19" s="248">
        <f>SUM(E7:E18)</f>
        <v>689</v>
      </c>
      <c r="F19" s="316">
        <f>SUM(F7:F18)</f>
        <v>0</v>
      </c>
    </row>
    <row r="20" spans="1:6" ht="16.5" thickTop="1">
      <c r="A20" s="21"/>
      <c r="B20" s="135"/>
      <c r="C20" s="135"/>
      <c r="D20" s="135"/>
      <c r="E20" s="135"/>
      <c r="F20" s="21"/>
    </row>
    <row r="21" spans="1:6">
      <c r="A21" s="25" t="s">
        <v>92</v>
      </c>
      <c r="B21" s="94"/>
      <c r="C21" s="74">
        <f>(inputOth!E37)</f>
        <v>44713</v>
      </c>
      <c r="D21" s="94"/>
      <c r="E21" s="21"/>
      <c r="F21" s="21"/>
    </row>
    <row r="22" spans="1:6">
      <c r="A22" s="25" t="s">
        <v>93</v>
      </c>
      <c r="B22" s="21"/>
      <c r="C22" s="21"/>
      <c r="D22" s="74">
        <f>(inputOth!E38)</f>
        <v>1230</v>
      </c>
      <c r="E22" s="21"/>
      <c r="F22" s="21"/>
    </row>
    <row r="23" spans="1:6">
      <c r="A23" s="25" t="s">
        <v>180</v>
      </c>
      <c r="B23" s="21"/>
      <c r="C23" s="21"/>
      <c r="D23" s="21"/>
      <c r="E23" s="74">
        <f>inputOth!E39</f>
        <v>689</v>
      </c>
      <c r="F23" s="21"/>
    </row>
    <row r="24" spans="1:6">
      <c r="A24" s="25" t="s">
        <v>354</v>
      </c>
      <c r="B24" s="21"/>
      <c r="C24" s="21"/>
      <c r="D24" s="21"/>
      <c r="E24" s="135"/>
      <c r="F24" s="60">
        <f>inputOth!E42</f>
        <v>0</v>
      </c>
    </row>
    <row r="25" spans="1:6">
      <c r="A25" s="25" t="s">
        <v>94</v>
      </c>
      <c r="B25" s="21"/>
      <c r="C25" s="249">
        <f>IF(B19=0,0,C21/B19)</f>
        <v>0.19713770496139957</v>
      </c>
      <c r="D25" s="21"/>
      <c r="E25" s="21"/>
      <c r="F25" s="21"/>
    </row>
    <row r="26" spans="1:6">
      <c r="A26" s="21"/>
      <c r="B26" s="25" t="s">
        <v>95</v>
      </c>
      <c r="C26" s="21"/>
      <c r="D26" s="249">
        <f>IF(B19=0,0,D22/B19)</f>
        <v>5.4230174021542166E-3</v>
      </c>
      <c r="E26" s="21"/>
      <c r="F26" s="21"/>
    </row>
    <row r="27" spans="1:6">
      <c r="A27" s="21"/>
      <c r="B27" s="21"/>
      <c r="C27" s="25" t="s">
        <v>181</v>
      </c>
      <c r="D27" s="21"/>
      <c r="E27" s="249">
        <f>IF(B19=0,0,E23/B19)</f>
        <v>3.0377715366538662E-3</v>
      </c>
      <c r="F27" s="21"/>
    </row>
    <row r="28" spans="1:6">
      <c r="A28" s="21"/>
      <c r="B28" s="21"/>
      <c r="C28" s="21"/>
      <c r="D28" s="21" t="s">
        <v>355</v>
      </c>
      <c r="E28" s="21"/>
      <c r="F28" s="249">
        <f>IF(B19=0,0,F24/B19)</f>
        <v>0</v>
      </c>
    </row>
    <row r="29" spans="1:6">
      <c r="A29" s="147"/>
      <c r="B29" s="147"/>
      <c r="C29" s="147"/>
      <c r="D29" s="147"/>
      <c r="E29" s="147"/>
      <c r="F29" s="147"/>
    </row>
  </sheetData>
  <mergeCells count="2">
    <mergeCell ref="A3:E3"/>
    <mergeCell ref="C5:F5"/>
  </mergeCells>
  <phoneticPr fontId="0" type="noConversion"/>
  <pageMargins left="0.5" right="0.5" top="1" bottom="0.5" header="0.5" footer="0.5"/>
  <pageSetup scale="97" orientation="portrait" blackAndWhite="1" horizontalDpi="120" verticalDpi="144" r:id="rId1"/>
  <headerFooter alignWithMargins="0">
    <oddHeader xml:space="preserve">&amp;RState of Kansas
City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Normal="100" workbookViewId="0">
      <selection activeCell="A15" sqref="A15"/>
    </sheetView>
  </sheetViews>
  <sheetFormatPr defaultRowHeight="15.75"/>
  <cols>
    <col min="1" max="2" width="17.77734375" style="2" customWidth="1"/>
    <col min="3" max="6" width="12.77734375" style="2" customWidth="1"/>
    <col min="7" max="16384" width="8.88671875" style="2"/>
  </cols>
  <sheetData>
    <row r="1" spans="1:9">
      <c r="A1" s="51" t="str">
        <f>inputPrYr!D2</f>
        <v>CITY OF BLUE RAPIDS</v>
      </c>
      <c r="B1" s="51"/>
      <c r="C1" s="50"/>
      <c r="D1" s="50"/>
      <c r="E1" s="50"/>
      <c r="F1" s="50">
        <f>inputPrYr!$C$5</f>
        <v>2013</v>
      </c>
    </row>
    <row r="2" spans="1:9">
      <c r="A2" s="50"/>
      <c r="B2" s="50"/>
      <c r="C2" s="50"/>
      <c r="D2" s="50"/>
      <c r="E2" s="50"/>
      <c r="F2" s="50"/>
    </row>
    <row r="3" spans="1:9">
      <c r="A3" s="445" t="s">
        <v>235</v>
      </c>
      <c r="B3" s="445"/>
      <c r="C3" s="445"/>
      <c r="D3" s="445"/>
      <c r="E3" s="445"/>
      <c r="F3" s="445"/>
    </row>
    <row r="4" spans="1:9">
      <c r="A4" s="132"/>
      <c r="B4" s="132"/>
      <c r="C4" s="132"/>
      <c r="D4" s="132"/>
      <c r="E4" s="132"/>
      <c r="F4" s="132"/>
    </row>
    <row r="5" spans="1:9">
      <c r="A5" s="133" t="s">
        <v>249</v>
      </c>
      <c r="B5" s="133" t="s">
        <v>249</v>
      </c>
      <c r="C5" s="133" t="s">
        <v>121</v>
      </c>
      <c r="D5" s="133" t="s">
        <v>250</v>
      </c>
      <c r="E5" s="133" t="s">
        <v>251</v>
      </c>
      <c r="F5" s="133" t="s">
        <v>282</v>
      </c>
    </row>
    <row r="6" spans="1:9">
      <c r="A6" s="180" t="s">
        <v>283</v>
      </c>
      <c r="B6" s="180" t="s">
        <v>284</v>
      </c>
      <c r="C6" s="180" t="s">
        <v>285</v>
      </c>
      <c r="D6" s="180" t="s">
        <v>285</v>
      </c>
      <c r="E6" s="180" t="s">
        <v>285</v>
      </c>
      <c r="F6" s="180" t="s">
        <v>286</v>
      </c>
    </row>
    <row r="7" spans="1:9" ht="15" customHeight="1">
      <c r="A7" s="181" t="s">
        <v>287</v>
      </c>
      <c r="B7" s="181" t="s">
        <v>288</v>
      </c>
      <c r="C7" s="143">
        <f>F1-2</f>
        <v>2011</v>
      </c>
      <c r="D7" s="143">
        <f>F1-1</f>
        <v>2012</v>
      </c>
      <c r="E7" s="143">
        <f>F1</f>
        <v>2013</v>
      </c>
      <c r="F7" s="181" t="s">
        <v>289</v>
      </c>
    </row>
    <row r="8" spans="1:9" ht="15" customHeight="1">
      <c r="A8" s="120" t="s">
        <v>428</v>
      </c>
      <c r="B8" s="120" t="s">
        <v>458</v>
      </c>
      <c r="C8" s="189">
        <v>5000</v>
      </c>
      <c r="D8" s="189">
        <v>5000</v>
      </c>
      <c r="E8" s="189">
        <v>5000</v>
      </c>
      <c r="F8" s="188" t="s">
        <v>430</v>
      </c>
      <c r="G8" s="338" t="s">
        <v>488</v>
      </c>
      <c r="I8" s="2" t="s">
        <v>506</v>
      </c>
    </row>
    <row r="9" spans="1:9" ht="15" customHeight="1">
      <c r="A9" s="120" t="s">
        <v>428</v>
      </c>
      <c r="B9" s="120" t="s">
        <v>65</v>
      </c>
      <c r="C9" s="189">
        <v>140000</v>
      </c>
      <c r="D9" s="189">
        <v>160000</v>
      </c>
      <c r="E9" s="189">
        <v>160000</v>
      </c>
      <c r="F9" s="188" t="s">
        <v>430</v>
      </c>
      <c r="G9" s="338" t="s">
        <v>488</v>
      </c>
      <c r="I9" s="2" t="s">
        <v>506</v>
      </c>
    </row>
    <row r="10" spans="1:9" ht="15" customHeight="1">
      <c r="A10" s="120" t="s">
        <v>498</v>
      </c>
      <c r="B10" s="120" t="s">
        <v>458</v>
      </c>
      <c r="C10" s="189">
        <v>25</v>
      </c>
      <c r="D10" s="189">
        <v>0</v>
      </c>
      <c r="E10" s="189">
        <v>0</v>
      </c>
      <c r="F10" s="188" t="s">
        <v>456</v>
      </c>
      <c r="G10" s="338" t="s">
        <v>488</v>
      </c>
      <c r="I10" s="2" t="s">
        <v>506</v>
      </c>
    </row>
    <row r="11" spans="1:9" ht="15" customHeight="1">
      <c r="A11" s="120" t="s">
        <v>471</v>
      </c>
      <c r="B11" s="120" t="s">
        <v>260</v>
      </c>
      <c r="C11" s="189">
        <v>26855</v>
      </c>
      <c r="D11" s="189">
        <v>0</v>
      </c>
      <c r="E11" s="189">
        <v>0</v>
      </c>
      <c r="F11" s="188" t="s">
        <v>456</v>
      </c>
      <c r="G11" s="338" t="s">
        <v>488</v>
      </c>
      <c r="I11" s="2" t="s">
        <v>506</v>
      </c>
    </row>
    <row r="12" spans="1:9" ht="15" customHeight="1">
      <c r="A12" s="120" t="s">
        <v>498</v>
      </c>
      <c r="B12" s="120" t="s">
        <v>65</v>
      </c>
      <c r="C12" s="189">
        <v>5100</v>
      </c>
      <c r="D12" s="189">
        <v>0</v>
      </c>
      <c r="E12" s="189">
        <v>0</v>
      </c>
      <c r="F12" s="188" t="s">
        <v>456</v>
      </c>
      <c r="G12" s="338" t="s">
        <v>488</v>
      </c>
      <c r="I12" s="2" t="s">
        <v>506</v>
      </c>
    </row>
    <row r="13" spans="1:9" ht="15" customHeight="1">
      <c r="A13" s="120" t="s">
        <v>517</v>
      </c>
      <c r="B13" s="120" t="s">
        <v>428</v>
      </c>
      <c r="C13" s="189">
        <v>0</v>
      </c>
      <c r="D13" s="189">
        <v>75000</v>
      </c>
      <c r="E13" s="189">
        <v>0</v>
      </c>
      <c r="F13" s="188" t="s">
        <v>579</v>
      </c>
      <c r="G13" s="338" t="s">
        <v>488</v>
      </c>
      <c r="I13" s="2" t="s">
        <v>506</v>
      </c>
    </row>
    <row r="14" spans="1:9" ht="15" customHeight="1">
      <c r="A14" s="120" t="s">
        <v>428</v>
      </c>
      <c r="B14" s="120" t="s">
        <v>518</v>
      </c>
      <c r="C14" s="189">
        <v>0</v>
      </c>
      <c r="D14" s="189">
        <v>75000</v>
      </c>
      <c r="E14" s="189">
        <v>0</v>
      </c>
      <c r="F14" s="188" t="s">
        <v>430</v>
      </c>
      <c r="G14" s="338" t="s">
        <v>488</v>
      </c>
      <c r="I14" s="2" t="s">
        <v>506</v>
      </c>
    </row>
    <row r="15" spans="1:9" ht="15" customHeight="1">
      <c r="A15" s="120"/>
      <c r="B15" s="120"/>
      <c r="C15" s="189"/>
      <c r="D15" s="189"/>
      <c r="E15" s="189"/>
      <c r="F15" s="188"/>
    </row>
    <row r="16" spans="1:9" ht="15" customHeight="1">
      <c r="A16" s="120"/>
      <c r="B16" s="120"/>
      <c r="C16" s="189"/>
      <c r="D16" s="189"/>
      <c r="E16" s="189"/>
      <c r="F16" s="188"/>
    </row>
    <row r="17" spans="1:6" ht="15" customHeight="1">
      <c r="A17" s="120"/>
      <c r="B17" s="120"/>
      <c r="C17" s="189"/>
      <c r="D17" s="189"/>
      <c r="E17" s="189"/>
      <c r="F17" s="188"/>
    </row>
    <row r="18" spans="1:6" ht="15" customHeight="1">
      <c r="A18" s="120"/>
      <c r="B18" s="120"/>
      <c r="C18" s="189"/>
      <c r="D18" s="189"/>
      <c r="E18" s="189"/>
      <c r="F18" s="188"/>
    </row>
    <row r="19" spans="1:6" ht="15" customHeight="1">
      <c r="A19" s="120"/>
      <c r="B19" s="120"/>
      <c r="C19" s="189"/>
      <c r="D19" s="189"/>
      <c r="E19" s="189"/>
      <c r="F19" s="188"/>
    </row>
    <row r="20" spans="1:6" ht="15" customHeight="1">
      <c r="A20" s="120"/>
      <c r="B20" s="120"/>
      <c r="C20" s="189"/>
      <c r="D20" s="189"/>
      <c r="E20" s="189"/>
      <c r="F20" s="188"/>
    </row>
    <row r="21" spans="1:6" ht="15" customHeight="1">
      <c r="A21" s="120"/>
      <c r="B21" s="120"/>
      <c r="C21" s="189"/>
      <c r="D21" s="189"/>
      <c r="E21" s="189"/>
      <c r="F21" s="188"/>
    </row>
    <row r="22" spans="1:6" ht="15" customHeight="1">
      <c r="A22" s="134"/>
      <c r="B22" s="182" t="s">
        <v>83</v>
      </c>
      <c r="C22" s="247">
        <f>SUM(C8:C21)</f>
        <v>176980</v>
      </c>
      <c r="D22" s="247">
        <f>SUM(D8:D21)</f>
        <v>315000</v>
      </c>
      <c r="E22" s="247">
        <f>SUM(E8:E21)</f>
        <v>165000</v>
      </c>
      <c r="F22" s="192"/>
    </row>
    <row r="23" spans="1:6" ht="15" customHeight="1">
      <c r="A23" s="134"/>
      <c r="B23" s="183" t="s">
        <v>290</v>
      </c>
      <c r="C23" s="82"/>
      <c r="D23" s="190"/>
      <c r="E23" s="190"/>
      <c r="F23" s="192"/>
    </row>
    <row r="24" spans="1:6" ht="15" customHeight="1">
      <c r="A24" s="134"/>
      <c r="B24" s="182" t="s">
        <v>291</v>
      </c>
      <c r="C24" s="247">
        <f>C22</f>
        <v>176980</v>
      </c>
      <c r="D24" s="247">
        <f>SUM(D22-D23)</f>
        <v>315000</v>
      </c>
      <c r="E24" s="247">
        <f>SUM(E22-E23)</f>
        <v>165000</v>
      </c>
      <c r="F24" s="192"/>
    </row>
    <row r="25" spans="1:6" ht="15" customHeight="1">
      <c r="A25" s="134"/>
      <c r="B25" s="134"/>
      <c r="C25" s="134"/>
      <c r="D25" s="134"/>
      <c r="E25" s="134"/>
      <c r="F25" s="134"/>
    </row>
    <row r="26" spans="1:6" ht="20.25" customHeight="1">
      <c r="A26" s="315" t="s">
        <v>365</v>
      </c>
      <c r="B26" s="315"/>
      <c r="C26" s="315"/>
      <c r="D26" s="315"/>
      <c r="E26" s="315"/>
      <c r="F26" s="134"/>
    </row>
    <row r="27" spans="1:6" ht="15" customHeight="1"/>
  </sheetData>
  <mergeCells count="1">
    <mergeCell ref="A3:F3"/>
  </mergeCells>
  <phoneticPr fontId="11" type="noConversion"/>
  <pageMargins left="0.75" right="0.75" top="1" bottom="1" header="0.5" footer="0.5"/>
  <pageSetup orientation="landscape" blackAndWhite="1" r:id="rId1"/>
  <headerFooter alignWithMargins="0">
    <oddHeader>&amp;RState of Kansas
City</oddHeader>
    <oddFooter>&amp;Lrevised 5/08/08&amp;CPage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0"/>
  <sheetViews>
    <sheetView tabSelected="1" topLeftCell="A13" zoomScaleNormal="100" workbookViewId="0">
      <selection activeCell="D24" sqref="D24"/>
    </sheetView>
  </sheetViews>
  <sheetFormatPr defaultRowHeight="15.75"/>
  <cols>
    <col min="1" max="1" width="20.77734375" style="7" customWidth="1"/>
    <col min="2" max="3" width="7.77734375" style="7" customWidth="1"/>
    <col min="4" max="4" width="8.77734375" style="7" customWidth="1"/>
    <col min="5" max="6" width="12.77734375" style="7" customWidth="1"/>
    <col min="7" max="12" width="9.77734375" style="7" customWidth="1"/>
    <col min="13" max="16384" width="8.88671875" style="7"/>
  </cols>
  <sheetData>
    <row r="1" spans="1:12">
      <c r="A1" s="72" t="str">
        <f>inputPrYr!$D$2</f>
        <v>CITY OF BLUE RAPIDS</v>
      </c>
      <c r="B1" s="21"/>
      <c r="C1" s="21"/>
      <c r="D1" s="21"/>
      <c r="E1" s="21"/>
      <c r="F1" s="21"/>
      <c r="G1" s="21"/>
      <c r="H1" s="21"/>
      <c r="I1" s="21"/>
      <c r="J1" s="21"/>
      <c r="K1" s="21"/>
      <c r="L1" s="141">
        <f>inputPrYr!$C$5</f>
        <v>2013</v>
      </c>
    </row>
    <row r="2" spans="1:12">
      <c r="A2" s="72"/>
      <c r="B2" s="21"/>
      <c r="C2" s="21"/>
      <c r="D2" s="21"/>
      <c r="E2" s="21"/>
      <c r="F2" s="21"/>
      <c r="G2" s="21"/>
      <c r="H2" s="21"/>
      <c r="I2" s="21"/>
      <c r="J2" s="21"/>
      <c r="K2" s="21"/>
      <c r="L2" s="24"/>
    </row>
    <row r="3" spans="1:12">
      <c r="A3" s="75" t="s">
        <v>176</v>
      </c>
      <c r="B3" s="27"/>
      <c r="C3" s="27"/>
      <c r="D3" s="27"/>
      <c r="E3" s="27"/>
      <c r="F3" s="27"/>
      <c r="G3" s="27"/>
      <c r="H3" s="27"/>
      <c r="I3" s="27"/>
      <c r="J3" s="27"/>
      <c r="K3" s="27"/>
      <c r="L3" s="27"/>
    </row>
    <row r="4" spans="1:12">
      <c r="A4" s="21"/>
      <c r="B4" s="87"/>
      <c r="C4" s="87"/>
      <c r="D4" s="87"/>
      <c r="E4" s="87"/>
      <c r="F4" s="87"/>
      <c r="G4" s="87"/>
      <c r="H4" s="87"/>
      <c r="I4" s="87"/>
      <c r="J4" s="87"/>
      <c r="K4" s="87"/>
      <c r="L4" s="87"/>
    </row>
    <row r="5" spans="1:12">
      <c r="A5" s="21"/>
      <c r="B5" s="76" t="s">
        <v>137</v>
      </c>
      <c r="C5" s="76" t="s">
        <v>137</v>
      </c>
      <c r="D5" s="76" t="s">
        <v>152</v>
      </c>
      <c r="E5" s="76"/>
      <c r="F5" s="76" t="s">
        <v>277</v>
      </c>
      <c r="G5" s="21"/>
      <c r="H5" s="21"/>
      <c r="I5" s="78" t="s">
        <v>138</v>
      </c>
      <c r="J5" s="77"/>
      <c r="K5" s="78" t="s">
        <v>138</v>
      </c>
      <c r="L5" s="77"/>
    </row>
    <row r="6" spans="1:12">
      <c r="A6" s="21"/>
      <c r="B6" s="79" t="s">
        <v>139</v>
      </c>
      <c r="C6" s="79" t="s">
        <v>278</v>
      </c>
      <c r="D6" s="79" t="s">
        <v>140</v>
      </c>
      <c r="E6" s="79" t="s">
        <v>89</v>
      </c>
      <c r="F6" s="79" t="s">
        <v>279</v>
      </c>
      <c r="G6" s="446" t="s">
        <v>141</v>
      </c>
      <c r="H6" s="447"/>
      <c r="I6" s="448">
        <f>L1-1</f>
        <v>2012</v>
      </c>
      <c r="J6" s="449"/>
      <c r="K6" s="448">
        <f>L1</f>
        <v>2013</v>
      </c>
      <c r="L6" s="449"/>
    </row>
    <row r="7" spans="1:12">
      <c r="A7" s="83" t="s">
        <v>142</v>
      </c>
      <c r="B7" s="80" t="s">
        <v>143</v>
      </c>
      <c r="C7" s="80" t="s">
        <v>280</v>
      </c>
      <c r="D7" s="80" t="s">
        <v>113</v>
      </c>
      <c r="E7" s="80" t="s">
        <v>144</v>
      </c>
      <c r="F7" s="178" t="str">
        <f>CONCATENATE("Jan 1,",L1-1,"")</f>
        <v>Jan 1,2012</v>
      </c>
      <c r="G7" s="82" t="s">
        <v>152</v>
      </c>
      <c r="H7" s="82" t="s">
        <v>154</v>
      </c>
      <c r="I7" s="82" t="s">
        <v>152</v>
      </c>
      <c r="J7" s="82" t="s">
        <v>154</v>
      </c>
      <c r="K7" s="82" t="s">
        <v>152</v>
      </c>
      <c r="L7" s="82" t="s">
        <v>154</v>
      </c>
    </row>
    <row r="8" spans="1:12">
      <c r="A8" s="83" t="s">
        <v>145</v>
      </c>
      <c r="B8" s="42"/>
      <c r="C8" s="42"/>
      <c r="D8" s="84"/>
      <c r="E8" s="85"/>
      <c r="F8" s="85"/>
      <c r="G8" s="42"/>
      <c r="H8" s="42"/>
      <c r="I8" s="85"/>
      <c r="J8" s="85"/>
      <c r="K8" s="85"/>
      <c r="L8" s="85"/>
    </row>
    <row r="9" spans="1:12">
      <c r="A9" s="8" t="s">
        <v>462</v>
      </c>
      <c r="B9" s="193">
        <v>40568</v>
      </c>
      <c r="C9" s="193">
        <v>11567</v>
      </c>
      <c r="D9" s="194">
        <v>4.25</v>
      </c>
      <c r="E9" s="195">
        <v>196000</v>
      </c>
      <c r="F9" s="196">
        <v>196000</v>
      </c>
      <c r="G9" s="197" t="s">
        <v>451</v>
      </c>
      <c r="H9" s="197">
        <v>40787</v>
      </c>
      <c r="I9" s="196">
        <v>13328</v>
      </c>
      <c r="J9" s="196">
        <v>2000</v>
      </c>
      <c r="K9" s="196">
        <v>8245</v>
      </c>
      <c r="L9" s="196">
        <v>7000</v>
      </c>
    </row>
    <row r="10" spans="1:12">
      <c r="A10" s="8" t="s">
        <v>519</v>
      </c>
      <c r="B10" s="193">
        <v>41183</v>
      </c>
      <c r="C10" s="193">
        <v>44835</v>
      </c>
      <c r="D10" s="194">
        <v>4</v>
      </c>
      <c r="E10" s="195">
        <v>50660</v>
      </c>
      <c r="F10" s="196">
        <v>0</v>
      </c>
      <c r="G10" s="197" t="s">
        <v>520</v>
      </c>
      <c r="H10" s="197">
        <v>41183</v>
      </c>
      <c r="I10" s="196">
        <v>0</v>
      </c>
      <c r="J10" s="196">
        <v>0</v>
      </c>
      <c r="K10" s="196">
        <v>2026</v>
      </c>
      <c r="L10" s="196">
        <v>4220</v>
      </c>
    </row>
    <row r="11" spans="1:12">
      <c r="A11" s="8"/>
      <c r="B11" s="193"/>
      <c r="C11" s="193"/>
      <c r="D11" s="194"/>
      <c r="E11" s="195"/>
      <c r="F11" s="196"/>
      <c r="G11" s="197"/>
      <c r="H11" s="197"/>
      <c r="I11" s="196"/>
      <c r="J11" s="196"/>
      <c r="K11" s="196"/>
      <c r="L11" s="196"/>
    </row>
    <row r="12" spans="1:12">
      <c r="A12" s="8"/>
      <c r="B12" s="193"/>
      <c r="C12" s="193"/>
      <c r="D12" s="194"/>
      <c r="E12" s="195"/>
      <c r="F12" s="196"/>
      <c r="G12" s="197"/>
      <c r="H12" s="197"/>
      <c r="I12" s="196"/>
      <c r="J12" s="196"/>
      <c r="K12" s="196"/>
      <c r="L12" s="196"/>
    </row>
    <row r="13" spans="1:12">
      <c r="A13" s="8"/>
      <c r="B13" s="193"/>
      <c r="C13" s="193"/>
      <c r="D13" s="194"/>
      <c r="E13" s="195"/>
      <c r="F13" s="196"/>
      <c r="G13" s="197"/>
      <c r="H13" s="197"/>
      <c r="I13" s="196"/>
      <c r="J13" s="196"/>
      <c r="K13" s="196"/>
      <c r="L13" s="196"/>
    </row>
    <row r="14" spans="1:12">
      <c r="A14" s="8"/>
      <c r="B14" s="193"/>
      <c r="C14" s="193"/>
      <c r="D14" s="194"/>
      <c r="E14" s="195"/>
      <c r="F14" s="196"/>
      <c r="G14" s="197"/>
      <c r="H14" s="197"/>
      <c r="I14" s="196"/>
      <c r="J14" s="196"/>
      <c r="K14" s="196"/>
      <c r="L14" s="196"/>
    </row>
    <row r="15" spans="1:12">
      <c r="A15" s="8"/>
      <c r="B15" s="193"/>
      <c r="C15" s="193"/>
      <c r="D15" s="194"/>
      <c r="E15" s="195"/>
      <c r="F15" s="196"/>
      <c r="G15" s="197"/>
      <c r="H15" s="197"/>
      <c r="I15" s="196"/>
      <c r="J15" s="196"/>
      <c r="K15" s="196"/>
      <c r="L15" s="196"/>
    </row>
    <row r="16" spans="1:12">
      <c r="A16" s="8"/>
      <c r="B16" s="193"/>
      <c r="C16" s="193"/>
      <c r="D16" s="194"/>
      <c r="E16" s="195"/>
      <c r="F16" s="196"/>
      <c r="G16" s="197"/>
      <c r="H16" s="197"/>
      <c r="I16" s="196"/>
      <c r="J16" s="196"/>
      <c r="K16" s="196"/>
      <c r="L16" s="196"/>
    </row>
    <row r="17" spans="1:12">
      <c r="A17" s="86" t="s">
        <v>146</v>
      </c>
      <c r="B17" s="198"/>
      <c r="C17" s="198"/>
      <c r="D17" s="199"/>
      <c r="E17" s="200"/>
      <c r="F17" s="250">
        <f>SUM(F9:F16)</f>
        <v>196000</v>
      </c>
      <c r="G17" s="201"/>
      <c r="H17" s="201"/>
      <c r="I17" s="250">
        <f>SUM(I9:I16)</f>
        <v>13328</v>
      </c>
      <c r="J17" s="250">
        <f>SUM(J9:J16)</f>
        <v>2000</v>
      </c>
      <c r="K17" s="250">
        <f>SUM(K9:K16)</f>
        <v>10271</v>
      </c>
      <c r="L17" s="250">
        <f>SUM(L9:L16)</f>
        <v>11220</v>
      </c>
    </row>
    <row r="18" spans="1:12">
      <c r="A18" s="83" t="s">
        <v>147</v>
      </c>
      <c r="B18" s="202"/>
      <c r="C18" s="202"/>
      <c r="D18" s="203"/>
      <c r="E18" s="191"/>
      <c r="F18" s="191"/>
      <c r="G18" s="204"/>
      <c r="H18" s="204"/>
      <c r="I18" s="191"/>
      <c r="J18" s="191"/>
      <c r="K18" s="191"/>
      <c r="L18" s="191"/>
    </row>
    <row r="19" spans="1:12">
      <c r="A19" s="8" t="s">
        <v>450</v>
      </c>
      <c r="B19" s="193"/>
      <c r="C19" s="193"/>
      <c r="D19" s="194"/>
      <c r="E19" s="195"/>
      <c r="F19" s="196"/>
      <c r="G19" s="197"/>
      <c r="H19" s="197"/>
      <c r="I19" s="196"/>
      <c r="J19" s="196"/>
      <c r="K19" s="196"/>
      <c r="L19" s="196"/>
    </row>
    <row r="20" spans="1:12">
      <c r="A20" s="8"/>
      <c r="B20" s="193"/>
      <c r="C20" s="193"/>
      <c r="D20" s="194"/>
      <c r="E20" s="195"/>
      <c r="F20" s="196"/>
      <c r="G20" s="197"/>
      <c r="H20" s="197"/>
      <c r="I20" s="196"/>
      <c r="J20" s="196"/>
      <c r="K20" s="196"/>
      <c r="L20" s="196"/>
    </row>
    <row r="21" spans="1:12">
      <c r="A21" s="8"/>
      <c r="B21" s="193"/>
      <c r="C21" s="193"/>
      <c r="D21" s="194"/>
      <c r="E21" s="195"/>
      <c r="F21" s="196"/>
      <c r="G21" s="197"/>
      <c r="H21" s="197"/>
      <c r="I21" s="196"/>
      <c r="J21" s="196"/>
      <c r="K21" s="196"/>
      <c r="L21" s="196"/>
    </row>
    <row r="22" spans="1:12">
      <c r="A22" s="8"/>
      <c r="B22" s="193"/>
      <c r="C22" s="193"/>
      <c r="D22" s="194"/>
      <c r="E22" s="195"/>
      <c r="F22" s="196"/>
      <c r="G22" s="197"/>
      <c r="H22" s="197"/>
      <c r="I22" s="196"/>
      <c r="J22" s="196"/>
      <c r="K22" s="196"/>
      <c r="L22" s="196"/>
    </row>
    <row r="23" spans="1:12">
      <c r="A23" s="8"/>
      <c r="B23" s="193"/>
      <c r="C23" s="193"/>
      <c r="D23" s="194"/>
      <c r="E23" s="195"/>
      <c r="F23" s="196"/>
      <c r="G23" s="197"/>
      <c r="H23" s="197"/>
      <c r="I23" s="196"/>
      <c r="J23" s="196"/>
      <c r="K23" s="196"/>
      <c r="L23" s="196"/>
    </row>
    <row r="24" spans="1:12">
      <c r="A24" s="8"/>
      <c r="B24" s="193"/>
      <c r="C24" s="193"/>
      <c r="D24" s="194"/>
      <c r="E24" s="195"/>
      <c r="F24" s="196"/>
      <c r="G24" s="197"/>
      <c r="H24" s="197"/>
      <c r="I24" s="196"/>
      <c r="J24" s="196"/>
      <c r="K24" s="196"/>
      <c r="L24" s="196"/>
    </row>
    <row r="25" spans="1:12">
      <c r="A25" s="86" t="s">
        <v>148</v>
      </c>
      <c r="B25" s="198"/>
      <c r="C25" s="198"/>
      <c r="D25" s="205"/>
      <c r="E25" s="200"/>
      <c r="F25" s="251">
        <f>SUM(F19:F24)</f>
        <v>0</v>
      </c>
      <c r="G25" s="201"/>
      <c r="H25" s="201"/>
      <c r="I25" s="251">
        <f>SUM(I19:I24)</f>
        <v>0</v>
      </c>
      <c r="J25" s="251">
        <f>SUM(J19:J24)</f>
        <v>0</v>
      </c>
      <c r="K25" s="250">
        <f>SUM(K19:K24)</f>
        <v>0</v>
      </c>
      <c r="L25" s="251">
        <f>SUM(L19:L24)</f>
        <v>0</v>
      </c>
    </row>
    <row r="26" spans="1:12">
      <c r="A26" s="83" t="s">
        <v>149</v>
      </c>
      <c r="B26" s="202"/>
      <c r="C26" s="202"/>
      <c r="D26" s="203"/>
      <c r="E26" s="191"/>
      <c r="F26" s="206"/>
      <c r="G26" s="204"/>
      <c r="H26" s="204"/>
      <c r="I26" s="191"/>
      <c r="J26" s="191"/>
      <c r="K26" s="191"/>
      <c r="L26" s="191"/>
    </row>
    <row r="27" spans="1:12">
      <c r="A27" s="8" t="s">
        <v>463</v>
      </c>
      <c r="B27" s="193">
        <v>40574</v>
      </c>
      <c r="C27" s="193">
        <v>11536</v>
      </c>
      <c r="D27" s="194">
        <v>3.79</v>
      </c>
      <c r="E27" s="195">
        <v>211585</v>
      </c>
      <c r="F27" s="196">
        <v>211585</v>
      </c>
      <c r="G27" s="197" t="s">
        <v>464</v>
      </c>
      <c r="H27" s="197" t="s">
        <v>464</v>
      </c>
      <c r="I27" s="196">
        <v>7952</v>
      </c>
      <c r="J27" s="196">
        <v>7234</v>
      </c>
      <c r="K27" s="196">
        <v>7674</v>
      </c>
      <c r="L27" s="196">
        <v>7512</v>
      </c>
    </row>
    <row r="28" spans="1:12">
      <c r="A28" s="8"/>
      <c r="B28" s="193"/>
      <c r="C28" s="193"/>
      <c r="D28" s="194"/>
      <c r="E28" s="195"/>
      <c r="F28" s="196"/>
      <c r="G28" s="197"/>
      <c r="H28" s="197"/>
      <c r="I28" s="196"/>
      <c r="J28" s="196"/>
      <c r="K28" s="196"/>
      <c r="L28" s="196"/>
    </row>
    <row r="29" spans="1:12">
      <c r="A29" s="8"/>
      <c r="B29" s="193"/>
      <c r="C29" s="193"/>
      <c r="D29" s="194"/>
      <c r="E29" s="195"/>
      <c r="F29" s="196"/>
      <c r="G29" s="197"/>
      <c r="H29" s="197"/>
      <c r="I29" s="196"/>
      <c r="J29" s="196"/>
      <c r="K29" s="196"/>
      <c r="L29" s="196"/>
    </row>
    <row r="30" spans="1:12">
      <c r="A30" s="8"/>
      <c r="B30" s="193"/>
      <c r="C30" s="193"/>
      <c r="D30" s="194"/>
      <c r="E30" s="195"/>
      <c r="F30" s="196"/>
      <c r="G30" s="197"/>
      <c r="H30" s="197"/>
      <c r="I30" s="196"/>
      <c r="J30" s="196"/>
      <c r="K30" s="196"/>
      <c r="L30" s="196"/>
    </row>
    <row r="31" spans="1:12">
      <c r="A31" s="8"/>
      <c r="B31" s="193"/>
      <c r="C31" s="193"/>
      <c r="D31" s="194"/>
      <c r="E31" s="195"/>
      <c r="F31" s="196"/>
      <c r="G31" s="197"/>
      <c r="H31" s="197"/>
      <c r="I31" s="196"/>
      <c r="J31" s="196"/>
      <c r="K31" s="196"/>
      <c r="L31" s="196"/>
    </row>
    <row r="32" spans="1:12">
      <c r="A32" s="8"/>
      <c r="B32" s="193"/>
      <c r="C32" s="193"/>
      <c r="D32" s="194"/>
      <c r="E32" s="195"/>
      <c r="F32" s="196"/>
      <c r="G32" s="197"/>
      <c r="H32" s="197"/>
      <c r="I32" s="196"/>
      <c r="J32" s="196"/>
      <c r="K32" s="196"/>
      <c r="L32" s="196"/>
    </row>
    <row r="33" spans="1:28">
      <c r="A33" s="8"/>
      <c r="B33" s="193"/>
      <c r="C33" s="193"/>
      <c r="D33" s="194"/>
      <c r="E33" s="195"/>
      <c r="F33" s="196"/>
      <c r="G33" s="197"/>
      <c r="H33" s="197"/>
      <c r="I33" s="196"/>
      <c r="J33" s="196"/>
      <c r="K33" s="196"/>
      <c r="L33" s="196"/>
      <c r="M33" s="2"/>
      <c r="N33" s="2"/>
      <c r="O33" s="2"/>
      <c r="P33" s="2"/>
      <c r="Q33" s="2"/>
      <c r="R33" s="2"/>
      <c r="S33" s="2"/>
      <c r="T33" s="2"/>
      <c r="U33" s="2"/>
      <c r="V33" s="2"/>
      <c r="W33" s="2"/>
      <c r="X33" s="2"/>
      <c r="Y33" s="2"/>
      <c r="Z33" s="2"/>
      <c r="AA33" s="2"/>
      <c r="AB33" s="2"/>
    </row>
    <row r="34" spans="1:28">
      <c r="A34" s="86" t="s">
        <v>281</v>
      </c>
      <c r="B34" s="182"/>
      <c r="C34" s="182"/>
      <c r="D34" s="205"/>
      <c r="E34" s="200"/>
      <c r="F34" s="251">
        <f>SUM(F27:F33)</f>
        <v>211585</v>
      </c>
      <c r="G34" s="200"/>
      <c r="H34" s="200"/>
      <c r="I34" s="251">
        <f>SUM(I27:I33)</f>
        <v>7952</v>
      </c>
      <c r="J34" s="251">
        <f>SUM(J27:J33)</f>
        <v>7234</v>
      </c>
      <c r="K34" s="251">
        <f>SUM(K27:K33)</f>
        <v>7674</v>
      </c>
      <c r="L34" s="251">
        <f>SUM(L27:L33)</f>
        <v>7512</v>
      </c>
    </row>
    <row r="35" spans="1:28">
      <c r="A35" s="86" t="s">
        <v>150</v>
      </c>
      <c r="B35" s="182"/>
      <c r="C35" s="182"/>
      <c r="D35" s="182"/>
      <c r="E35" s="200"/>
      <c r="F35" s="251">
        <f>SUM(F17+F25+F34)</f>
        <v>407585</v>
      </c>
      <c r="G35" s="200"/>
      <c r="H35" s="200"/>
      <c r="I35" s="251">
        <f>SUM(I17+I25+I34)</f>
        <v>21280</v>
      </c>
      <c r="J35" s="251">
        <f>SUM(J17+J25+J34)</f>
        <v>9234</v>
      </c>
      <c r="K35" s="251">
        <f>SUM(K17+K25+K34)</f>
        <v>17945</v>
      </c>
      <c r="L35" s="251">
        <f>SUM(L17+L25+L34)</f>
        <v>18732</v>
      </c>
    </row>
    <row r="36" spans="1:28">
      <c r="A36" s="2"/>
      <c r="B36" s="2"/>
      <c r="C36" s="2"/>
      <c r="D36" s="2"/>
      <c r="E36" s="2"/>
      <c r="F36" s="2"/>
      <c r="G36" s="2"/>
      <c r="H36" s="2"/>
      <c r="I36" s="2"/>
      <c r="J36" s="2"/>
      <c r="K36" s="2"/>
      <c r="L36" s="2"/>
    </row>
    <row r="37" spans="1:28">
      <c r="E37" s="11"/>
      <c r="F37" s="11"/>
      <c r="I37" s="11"/>
      <c r="J37" s="11"/>
      <c r="K37" s="11"/>
      <c r="L37" s="11"/>
    </row>
    <row r="38" spans="1:28">
      <c r="E38" s="2"/>
      <c r="G38" s="179"/>
      <c r="M38" s="2"/>
    </row>
    <row r="39" spans="1:28">
      <c r="A39" s="2"/>
      <c r="B39" s="2"/>
      <c r="C39" s="2"/>
      <c r="D39" s="2"/>
      <c r="E39" s="2"/>
      <c r="F39" s="2"/>
      <c r="G39" s="2"/>
      <c r="H39" s="2"/>
      <c r="I39" s="2"/>
      <c r="J39" s="2"/>
      <c r="K39" s="2"/>
      <c r="L39" s="2"/>
    </row>
    <row r="40" spans="1:28">
      <c r="A40" s="2"/>
      <c r="B40" s="2"/>
      <c r="C40" s="2"/>
      <c r="D40" s="2"/>
      <c r="E40" s="2"/>
      <c r="F40" s="2"/>
      <c r="G40" s="2"/>
      <c r="H40" s="2"/>
      <c r="I40" s="2"/>
      <c r="J40" s="2"/>
      <c r="K40" s="2"/>
      <c r="L40" s="2"/>
    </row>
  </sheetData>
  <mergeCells count="3">
    <mergeCell ref="G6:H6"/>
    <mergeCell ref="I6:J6"/>
    <mergeCell ref="K6:L6"/>
  </mergeCells>
  <phoneticPr fontId="0" type="noConversion"/>
  <pageMargins left="0.25" right="0.25" top="1" bottom="0.5" header="0.5" footer="0.5"/>
  <pageSetup scale="81" orientation="landscape" blackAndWhite="1" horizontalDpi="120" verticalDpi="144" r:id="rId1"/>
  <headerFooter alignWithMargins="0">
    <oddHeader>&amp;RState of Kansas
City</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0"/>
  <sheetViews>
    <sheetView zoomScaleNormal="100" workbookViewId="0">
      <selection activeCell="J9" sqref="J9:K16"/>
    </sheetView>
  </sheetViews>
  <sheetFormatPr defaultRowHeight="15.75"/>
  <cols>
    <col min="1" max="1" width="23.5546875" style="7" customWidth="1"/>
    <col min="2" max="4" width="9.77734375" style="7" customWidth="1"/>
    <col min="5" max="5" width="18.33203125" style="7" customWidth="1"/>
    <col min="6" max="8" width="15.77734375" style="7" customWidth="1"/>
    <col min="9" max="16384" width="8.88671875" style="7"/>
  </cols>
  <sheetData>
    <row r="1" spans="1:10">
      <c r="A1" s="72" t="str">
        <f>inputPrYr!$D$2</f>
        <v>CITY OF BLUE RAPIDS</v>
      </c>
      <c r="B1" s="21"/>
      <c r="C1" s="21"/>
      <c r="D1" s="21"/>
      <c r="E1" s="21"/>
      <c r="F1" s="21"/>
      <c r="G1" s="21"/>
      <c r="H1" s="136">
        <f>inputPrYr!C5</f>
        <v>2013</v>
      </c>
    </row>
    <row r="2" spans="1:10">
      <c r="A2" s="72"/>
      <c r="B2" s="21"/>
      <c r="C2" s="21"/>
      <c r="D2" s="21"/>
      <c r="E2" s="21"/>
      <c r="F2" s="21"/>
      <c r="G2" s="21"/>
      <c r="H2" s="24"/>
    </row>
    <row r="3" spans="1:10">
      <c r="A3" s="21"/>
      <c r="B3" s="21"/>
      <c r="C3" s="21"/>
      <c r="D3" s="21"/>
      <c r="E3" s="21"/>
      <c r="F3" s="21"/>
      <c r="G3" s="21"/>
      <c r="H3" s="23"/>
    </row>
    <row r="4" spans="1:10">
      <c r="A4" s="75" t="s">
        <v>169</v>
      </c>
      <c r="B4" s="27"/>
      <c r="C4" s="27"/>
      <c r="D4" s="27"/>
      <c r="E4" s="27"/>
      <c r="F4" s="27"/>
      <c r="G4" s="27"/>
      <c r="H4" s="27"/>
    </row>
    <row r="5" spans="1:10">
      <c r="A5" s="20"/>
      <c r="B5" s="87"/>
      <c r="C5" s="87"/>
      <c r="D5" s="87"/>
      <c r="E5" s="87"/>
      <c r="F5" s="87"/>
      <c r="G5" s="87"/>
      <c r="H5" s="87"/>
    </row>
    <row r="6" spans="1:10">
      <c r="A6" s="21"/>
      <c r="B6" s="39"/>
      <c r="C6" s="39"/>
      <c r="D6" s="39"/>
      <c r="E6" s="76" t="s">
        <v>67</v>
      </c>
      <c r="F6" s="39"/>
      <c r="G6" s="39"/>
      <c r="H6" s="39"/>
    </row>
    <row r="7" spans="1:10">
      <c r="A7" s="21"/>
      <c r="B7" s="79"/>
      <c r="C7" s="79" t="s">
        <v>151</v>
      </c>
      <c r="D7" s="79" t="s">
        <v>152</v>
      </c>
      <c r="E7" s="79" t="s">
        <v>89</v>
      </c>
      <c r="F7" s="79" t="s">
        <v>154</v>
      </c>
      <c r="G7" s="79" t="s">
        <v>155</v>
      </c>
      <c r="H7" s="79" t="s">
        <v>155</v>
      </c>
    </row>
    <row r="8" spans="1:10">
      <c r="A8" s="21"/>
      <c r="B8" s="79" t="s">
        <v>156</v>
      </c>
      <c r="C8" s="79" t="s">
        <v>157</v>
      </c>
      <c r="D8" s="79" t="s">
        <v>140</v>
      </c>
      <c r="E8" s="79" t="s">
        <v>158</v>
      </c>
      <c r="F8" s="79" t="s">
        <v>211</v>
      </c>
      <c r="G8" s="79" t="s">
        <v>159</v>
      </c>
      <c r="H8" s="79" t="s">
        <v>159</v>
      </c>
    </row>
    <row r="9" spans="1:10">
      <c r="A9" s="88" t="s">
        <v>160</v>
      </c>
      <c r="B9" s="80" t="s">
        <v>137</v>
      </c>
      <c r="C9" s="126" t="s">
        <v>161</v>
      </c>
      <c r="D9" s="80" t="s">
        <v>113</v>
      </c>
      <c r="E9" s="126" t="s">
        <v>236</v>
      </c>
      <c r="F9" s="81" t="str">
        <f>CONCATENATE("Jan 1,",H1-1,"")</f>
        <v>Jan 1,2012</v>
      </c>
      <c r="G9" s="80">
        <f>H1-1</f>
        <v>2012</v>
      </c>
      <c r="H9" s="80">
        <f>H1</f>
        <v>2013</v>
      </c>
    </row>
    <row r="10" spans="1:10">
      <c r="A10" s="8" t="s">
        <v>60</v>
      </c>
      <c r="B10" s="265">
        <v>39881</v>
      </c>
      <c r="C10" s="207">
        <v>48</v>
      </c>
      <c r="D10" s="194">
        <v>4</v>
      </c>
      <c r="E10" s="195">
        <v>18944</v>
      </c>
      <c r="F10" s="195">
        <v>9783</v>
      </c>
      <c r="G10" s="195">
        <v>5219</v>
      </c>
      <c r="H10" s="195">
        <v>5219</v>
      </c>
    </row>
    <row r="11" spans="1:10">
      <c r="A11" s="8" t="s">
        <v>507</v>
      </c>
      <c r="B11" s="265">
        <v>40995</v>
      </c>
      <c r="C11" s="207">
        <v>60</v>
      </c>
      <c r="D11" s="194">
        <v>3.75</v>
      </c>
      <c r="E11" s="195">
        <v>64450</v>
      </c>
      <c r="F11" s="195">
        <v>0</v>
      </c>
      <c r="G11" s="195">
        <v>0</v>
      </c>
      <c r="H11" s="195">
        <v>14599</v>
      </c>
      <c r="J11" s="340"/>
    </row>
    <row r="12" spans="1:10">
      <c r="A12" s="8"/>
      <c r="B12" s="265"/>
      <c r="C12" s="207"/>
      <c r="D12" s="194"/>
      <c r="E12" s="195"/>
      <c r="F12" s="195"/>
      <c r="G12" s="195"/>
      <c r="H12" s="195"/>
      <c r="J12" s="340"/>
    </row>
    <row r="13" spans="1:10">
      <c r="A13" s="8"/>
      <c r="B13" s="265"/>
      <c r="C13" s="207"/>
      <c r="D13" s="194"/>
      <c r="E13" s="195"/>
      <c r="F13" s="195"/>
      <c r="G13" s="195"/>
      <c r="H13" s="195"/>
    </row>
    <row r="14" spans="1:10">
      <c r="A14" s="8"/>
      <c r="B14" s="265"/>
      <c r="C14" s="207"/>
      <c r="D14" s="194"/>
      <c r="E14" s="195"/>
      <c r="F14" s="195"/>
      <c r="G14" s="195"/>
      <c r="H14" s="195"/>
    </row>
    <row r="15" spans="1:10">
      <c r="A15" s="8"/>
      <c r="B15" s="265"/>
      <c r="C15" s="207"/>
      <c r="D15" s="194"/>
      <c r="E15" s="195"/>
      <c r="F15" s="195"/>
      <c r="G15" s="195"/>
      <c r="H15" s="195"/>
    </row>
    <row r="16" spans="1:10">
      <c r="A16" s="8"/>
      <c r="B16" s="265"/>
      <c r="C16" s="207"/>
      <c r="D16" s="194"/>
      <c r="E16" s="195"/>
      <c r="F16" s="195"/>
      <c r="G16" s="195"/>
      <c r="H16" s="195"/>
    </row>
    <row r="17" spans="1:8">
      <c r="A17" s="8"/>
      <c r="B17" s="265"/>
      <c r="C17" s="207"/>
      <c r="D17" s="194"/>
      <c r="E17" s="195"/>
      <c r="F17" s="195"/>
      <c r="G17" s="195"/>
      <c r="H17" s="195"/>
    </row>
    <row r="18" spans="1:8">
      <c r="A18" s="8"/>
      <c r="B18" s="265"/>
      <c r="C18" s="207"/>
      <c r="D18" s="194"/>
      <c r="E18" s="195"/>
      <c r="F18" s="195"/>
      <c r="G18" s="195"/>
      <c r="H18" s="195"/>
    </row>
    <row r="19" spans="1:8">
      <c r="A19" s="8"/>
      <c r="B19" s="265"/>
      <c r="C19" s="207"/>
      <c r="D19" s="194"/>
      <c r="E19" s="195"/>
      <c r="F19" s="195"/>
      <c r="G19" s="195"/>
      <c r="H19" s="195"/>
    </row>
    <row r="20" spans="1:8">
      <c r="A20" s="8"/>
      <c r="B20" s="265"/>
      <c r="C20" s="207"/>
      <c r="D20" s="194"/>
      <c r="E20" s="195"/>
      <c r="F20" s="195"/>
      <c r="G20" s="195"/>
      <c r="H20" s="195"/>
    </row>
    <row r="21" spans="1:8">
      <c r="A21" s="8"/>
      <c r="B21" s="265"/>
      <c r="C21" s="207"/>
      <c r="D21" s="194"/>
      <c r="E21" s="195"/>
      <c r="F21" s="195"/>
      <c r="G21" s="195"/>
      <c r="H21" s="195"/>
    </row>
    <row r="22" spans="1:8">
      <c r="A22" s="8"/>
      <c r="B22" s="265"/>
      <c r="C22" s="207"/>
      <c r="D22" s="194"/>
      <c r="E22" s="195"/>
      <c r="F22" s="195"/>
      <c r="G22" s="195"/>
      <c r="H22" s="195"/>
    </row>
    <row r="23" spans="1:8">
      <c r="A23" s="8"/>
      <c r="B23" s="265"/>
      <c r="C23" s="207"/>
      <c r="D23" s="194"/>
      <c r="E23" s="195"/>
      <c r="F23" s="195"/>
      <c r="G23" s="195"/>
      <c r="H23" s="195"/>
    </row>
    <row r="24" spans="1:8">
      <c r="A24" s="8"/>
      <c r="B24" s="265"/>
      <c r="C24" s="207"/>
      <c r="D24" s="194"/>
      <c r="E24" s="195"/>
      <c r="F24" s="195"/>
      <c r="G24" s="195"/>
      <c r="H24" s="195"/>
    </row>
    <row r="25" spans="1:8">
      <c r="A25" s="8"/>
      <c r="B25" s="265"/>
      <c r="C25" s="207"/>
      <c r="D25" s="194"/>
      <c r="E25" s="195"/>
      <c r="F25" s="195"/>
      <c r="G25" s="195"/>
      <c r="H25" s="195"/>
    </row>
    <row r="26" spans="1:8">
      <c r="A26" s="8"/>
      <c r="B26" s="265"/>
      <c r="C26" s="207"/>
      <c r="D26" s="194"/>
      <c r="E26" s="195"/>
      <c r="F26" s="195"/>
      <c r="G26" s="195"/>
      <c r="H26" s="195"/>
    </row>
    <row r="27" spans="1:8">
      <c r="A27" s="8"/>
      <c r="B27" s="265"/>
      <c r="C27" s="207"/>
      <c r="D27" s="194"/>
      <c r="E27" s="195"/>
      <c r="F27" s="195"/>
      <c r="G27" s="195"/>
      <c r="H27" s="195"/>
    </row>
    <row r="28" spans="1:8" ht="16.5" thickBot="1">
      <c r="A28" s="89" t="s">
        <v>83</v>
      </c>
      <c r="B28" s="131"/>
      <c r="C28" s="131"/>
      <c r="D28" s="131"/>
      <c r="E28" s="131"/>
      <c r="F28" s="252">
        <f>SUM(F10:F27)</f>
        <v>9783</v>
      </c>
      <c r="G28" s="252">
        <f>SUM(G10:G27)</f>
        <v>5219</v>
      </c>
      <c r="H28" s="252">
        <f>SUM(H10:H27)</f>
        <v>19818</v>
      </c>
    </row>
    <row r="29" spans="1:8" ht="16.5" thickTop="1">
      <c r="A29" s="21"/>
      <c r="B29" s="21"/>
      <c r="C29" s="21"/>
      <c r="D29" s="21"/>
      <c r="E29" s="21"/>
      <c r="F29" s="21"/>
      <c r="G29" s="72"/>
      <c r="H29" s="72"/>
    </row>
    <row r="30" spans="1:8">
      <c r="A30" s="318" t="s">
        <v>401</v>
      </c>
      <c r="B30" s="319"/>
      <c r="C30" s="319"/>
      <c r="D30" s="319"/>
      <c r="E30" s="319"/>
      <c r="F30" s="319"/>
      <c r="G30" s="72"/>
      <c r="H30" s="72"/>
    </row>
  </sheetData>
  <sheetProtection sheet="1" objects="1" scenarios="1"/>
  <phoneticPr fontId="0" type="noConversion"/>
  <pageMargins left="0.25" right="0.25" top="1" bottom="0.5" header="0.5" footer="0.5"/>
  <pageSetup scale="85" orientation="landscape" blackAndWhite="1" horizontalDpi="120" verticalDpi="144" r:id="rId1"/>
  <headerFooter alignWithMargins="0">
    <oddHeader>&amp;RState of Kansas
City</oddHeader>
    <oddFooter>&amp;Lrevised 8/06/07&amp;CPage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14</vt:i4>
      </vt:variant>
    </vt:vector>
  </HeadingPairs>
  <TitlesOfParts>
    <vt:vector size="36" baseType="lpstr">
      <vt:lpstr>Instructions</vt:lpstr>
      <vt:lpstr>inputPrYr</vt:lpstr>
      <vt:lpstr>inputOth</vt:lpstr>
      <vt:lpstr>cert</vt:lpstr>
      <vt:lpstr>computation</vt:lpstr>
      <vt:lpstr>mvalloc</vt:lpstr>
      <vt:lpstr>transfers</vt:lpstr>
      <vt:lpstr>debt</vt:lpstr>
      <vt:lpstr>lpform</vt:lpstr>
      <vt:lpstr>Library Grant </vt:lpstr>
      <vt:lpstr>general</vt:lpstr>
      <vt:lpstr>general-detail</vt:lpstr>
      <vt:lpstr>LibraryBondInt</vt:lpstr>
      <vt:lpstr>SpHiwayWaterSewerRefuse</vt:lpstr>
      <vt:lpstr>CapImprUtilitySystemReserve</vt:lpstr>
      <vt:lpstr>SpecLawEnfTrustHousing Grant</vt:lpstr>
      <vt:lpstr>WaterStorageGrantStormSewerProj</vt:lpstr>
      <vt:lpstr>PoolImprovementStormSewer2012</vt:lpstr>
      <vt:lpstr>summ</vt:lpstr>
      <vt:lpstr>nhood</vt:lpstr>
      <vt:lpstr>ordinance</vt:lpstr>
      <vt:lpstr>legend</vt:lpstr>
      <vt:lpstr>CapImprUtilitySystemReserve!Print_Area</vt:lpstr>
      <vt:lpstr>debt!Print_Area</vt:lpstr>
      <vt:lpstr>general!Print_Area</vt:lpstr>
      <vt:lpstr>'general-detail'!Print_Area</vt:lpstr>
      <vt:lpstr>inputPrYr!Print_Area</vt:lpstr>
      <vt:lpstr>'Library Grant '!Print_Area</vt:lpstr>
      <vt:lpstr>LibraryBondInt!Print_Area</vt:lpstr>
      <vt:lpstr>lpform!Print_Area</vt:lpstr>
      <vt:lpstr>PoolImprovementStormSewer2012!Print_Area</vt:lpstr>
      <vt:lpstr>'SpecLawEnfTrustHousing Grant'!Print_Area</vt:lpstr>
      <vt:lpstr>SpHiwayWaterSewerRefuse!Print_Area</vt:lpstr>
      <vt:lpstr>summ!Print_Area</vt:lpstr>
      <vt:lpstr>transfers!Print_Area</vt:lpstr>
      <vt:lpstr>WaterStorageGrantStormSewerProj!Print_Area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2012-08-21T21:21:33Z</cp:lastPrinted>
  <dcterms:created xsi:type="dcterms:W3CDTF">1999-08-03T13:11:47Z</dcterms:created>
  <dcterms:modified xsi:type="dcterms:W3CDTF">2014-01-21T14:58:15Z</dcterms:modified>
</cp:coreProperties>
</file>