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bldg-cem" sheetId="12" r:id="rId12"/>
    <sheet name="summ" sheetId="13" r:id="rId13"/>
    <sheet name="DebtService" sheetId="14" r:id="rId14"/>
    <sheet name="road"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4">'road'!$B$1:$F$68</definedName>
    <definedName name="_xlnm.Print_Area" localSheetId="12">'summ'!$B$1:$I$60</definedName>
  </definedNames>
  <calcPr fullCalcOnLoad="1"/>
</workbook>
</file>

<file path=xl/sharedStrings.xml><?xml version="1.0" encoding="utf-8"?>
<sst xmlns="http://schemas.openxmlformats.org/spreadsheetml/2006/main" count="1381" uniqueCount="830">
  <si>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</si>
  <si>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</si>
  <si>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</si>
  <si>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</si>
  <si>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</si>
  <si>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</si>
  <si>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</si>
  <si>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</si>
  <si>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</si>
  <si>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</si>
  <si>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</si>
  <si>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</si>
  <si>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</si>
  <si>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</si>
  <si>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</si>
  <si>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</si>
  <si>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</si>
  <si>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</si>
  <si>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</si>
  <si>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</si>
  <si>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</si>
  <si>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</si>
  <si>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</si>
  <si>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</si>
  <si>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</si>
  <si>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</si>
  <si>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</si>
  <si>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</si>
  <si>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</si>
  <si>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</si>
  <si>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</si>
  <si>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</si>
  <si>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</si>
  <si>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</si>
  <si>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</si>
  <si>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</si>
  <si>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</si>
  <si>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</si>
  <si>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</si>
  <si>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</si>
  <si>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</si>
  <si>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</si>
  <si>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</si>
  <si>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</si>
  <si>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</si>
  <si>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</si>
  <si>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</si>
  <si>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</si>
  <si>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</si>
  <si>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</si>
  <si>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</si>
  <si>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</si>
  <si>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</si>
  <si>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</si>
  <si>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</si>
  <si>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</si>
  <si>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</si>
  <si>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</si>
  <si>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</si>
  <si>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</si>
  <si>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</si>
  <si>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</si>
  <si>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</si>
  <si>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</si>
  <si>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</si>
  <si>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</si>
  <si>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</si>
  <si>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</si>
  <si>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</si>
  <si>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</si>
  <si>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</si>
  <si>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</si>
  <si>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</si>
  <si>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</si>
  <si>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</si>
  <si>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</si>
  <si>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</si>
  <si>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</si>
  <si>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</si>
  <si>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</si>
  <si>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</si>
  <si>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</si>
  <si>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</si>
  <si>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</si>
  <si>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</si>
  <si>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</si>
  <si>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</si>
  <si>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</si>
  <si>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</si>
  <si>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</si>
  <si>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</si>
  <si>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</si>
  <si>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</si>
  <si>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</si>
  <si>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</si>
  <si>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</si>
  <si>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</si>
  <si>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</si>
  <si>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</si>
  <si>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</si>
  <si>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</si>
  <si>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</si>
  <si>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</si>
  <si>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</si>
  <si>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</si>
  <si>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</si>
  <si>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</si>
  <si>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</si>
  <si>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</si>
  <si>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</si>
  <si>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</si>
  <si>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</si>
  <si>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</si>
  <si>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</si>
  <si>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</si>
  <si>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</si>
  <si>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</si>
  <si>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</si>
  <si>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</si>
  <si>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</si>
  <si>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</si>
  <si>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</si>
  <si>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</si>
  <si>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</si>
  <si>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</si>
  <si>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</si>
  <si>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</si>
  <si>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</si>
  <si>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</si>
  <si>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</si>
  <si>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</si>
  <si>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</si>
  <si>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</si>
  <si>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</si>
  <si>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</si>
  <si>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</si>
  <si>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</si>
  <si>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</si>
  <si>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</si>
  <si>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</si>
  <si>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</si>
  <si>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</si>
  <si>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</si>
  <si>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</si>
  <si>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</si>
  <si>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</si>
  <si>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</si>
  <si>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</si>
  <si>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</si>
  <si>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</si>
  <si>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</si>
  <si>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</si>
  <si>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</si>
  <si>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</si>
  <si>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</si>
  <si>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</si>
  <si>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</si>
  <si>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</si>
  <si>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</si>
  <si>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</si>
  <si>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</si>
  <si>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</si>
  <si>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</si>
  <si>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</si>
  <si>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</si>
  <si>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</si>
  <si>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</si>
  <si>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</si>
  <si>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</si>
  <si>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</si>
  <si>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</si>
  <si>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</si>
  <si>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</si>
  <si>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</si>
  <si>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</si>
  <si>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</si>
  <si>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</si>
  <si>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</si>
  <si>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</si>
  <si>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</si>
  <si>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</si>
  <si>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</si>
  <si>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</si>
  <si>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</si>
  <si>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</si>
  <si>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</si>
  <si>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</si>
  <si>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</si>
  <si>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</si>
  <si>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</si>
  <si>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</si>
  <si>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</si>
  <si>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</si>
  <si>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</si>
  <si>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</si>
  <si>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</si>
  <si>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</si>
  <si>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</si>
  <si>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</si>
  <si>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</si>
  <si>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</si>
  <si>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</si>
  <si>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</si>
  <si>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</si>
  <si>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</si>
  <si>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</si>
  <si>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</si>
  <si>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</si>
  <si>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</si>
  <si>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</si>
  <si>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</si>
  <si>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</si>
  <si>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</si>
  <si>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</si>
  <si>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</si>
  <si>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</si>
  <si>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</si>
  <si>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</si>
  <si>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</si>
  <si>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</si>
  <si>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</si>
  <si>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</si>
  <si>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</si>
  <si>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</si>
  <si>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</si>
  <si>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</si>
  <si>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</si>
  <si>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</si>
  <si>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</si>
  <si>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</si>
  <si>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</si>
  <si>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</si>
  <si>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</si>
  <si>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</si>
  <si>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</si>
  <si>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</si>
  <si>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</si>
  <si>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</si>
  <si>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</si>
  <si>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</si>
  <si>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</si>
  <si>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</si>
  <si>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</si>
  <si>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</si>
  <si>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</si>
  <si>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</si>
  <si>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</si>
  <si>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</si>
  <si>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</si>
  <si>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</si>
  <si>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</si>
  <si>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</si>
  <si>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</si>
  <si>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</si>
  <si>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</si>
  <si>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</si>
  <si>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</si>
  <si>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</si>
  <si>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</si>
  <si>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</si>
  <si>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</si>
  <si>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</si>
  <si>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</si>
  <si>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</si>
  <si>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</si>
  <si>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</si>
  <si>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</si>
  <si>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</si>
  <si>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</si>
  <si>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</si>
  <si>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</si>
  <si>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</si>
  <si>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</si>
  <si>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</si>
  <si>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</si>
  <si>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</si>
  <si>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</si>
  <si>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</si>
  <si>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</si>
  <si>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</si>
  <si>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</si>
  <si>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</si>
  <si>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</si>
  <si>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</si>
  <si>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</si>
  <si>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</si>
  <si>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</si>
  <si>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</si>
  <si>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</si>
  <si>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</si>
  <si>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</si>
  <si>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</si>
  <si>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</si>
  <si>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</si>
  <si>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</si>
  <si>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</si>
  <si>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</si>
  <si>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</si>
  <si>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</si>
  <si>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</si>
  <si>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</si>
  <si>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</si>
  <si>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</si>
  <si>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</si>
  <si>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</si>
  <si>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</si>
  <si>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</si>
  <si>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</si>
  <si>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</si>
  <si>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</si>
  <si>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</si>
  <si>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</si>
  <si>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</si>
  <si>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</si>
  <si>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</si>
  <si>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</si>
  <si>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</si>
  <si>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</si>
  <si>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</si>
  <si>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</si>
  <si>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</si>
  <si>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</si>
  <si>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</si>
  <si>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</si>
  <si>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</si>
  <si>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</si>
  <si>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</si>
  <si>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</si>
  <si>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</si>
  <si>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</si>
  <si>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</si>
  <si>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</si>
  <si>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</si>
  <si>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</si>
  <si>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</si>
  <si>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</si>
  <si>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</si>
  <si>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</si>
  <si>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</si>
  <si>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</si>
  <si>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</si>
  <si>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</si>
  <si>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</si>
  <si>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</si>
  <si>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</si>
  <si>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</si>
  <si>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</si>
  <si>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</si>
  <si>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</si>
  <si>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</si>
  <si>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</si>
  <si>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</si>
  <si>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</si>
  <si>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</si>
  <si>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</si>
  <si>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</si>
  <si>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</si>
  <si>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</si>
  <si>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</si>
  <si>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</si>
  <si>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</si>
  <si>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</si>
  <si>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</si>
  <si>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</si>
  <si>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</si>
  <si>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</si>
  <si>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</si>
  <si>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</si>
  <si>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</si>
  <si>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</si>
  <si>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</si>
  <si>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</si>
  <si>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</si>
  <si>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</si>
  <si>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</si>
  <si>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</si>
  <si>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</si>
  <si>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</si>
  <si>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</si>
  <si>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</si>
  <si>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</si>
  <si>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</si>
  <si>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</si>
  <si>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</si>
  <si>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</si>
  <si>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</si>
  <si>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</si>
  <si>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</si>
  <si>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</si>
  <si>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</si>
  <si>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</si>
  <si>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</si>
  <si>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</si>
  <si>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</si>
  <si>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</si>
  <si>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</si>
  <si>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</si>
  <si>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</si>
  <si>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</si>
  <si>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</si>
  <si>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</si>
  <si>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</si>
  <si>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</si>
  <si>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</si>
  <si>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</si>
  <si>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</si>
  <si>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</si>
  <si>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</si>
  <si>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</si>
  <si>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</si>
  <si>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</si>
  <si>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</si>
  <si>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</si>
  <si>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</si>
  <si>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</si>
  <si>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</si>
  <si>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</si>
  <si>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</si>
  <si>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</si>
  <si>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</si>
  <si>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</si>
  <si>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</si>
  <si>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</si>
  <si>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</si>
  <si>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</si>
  <si>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</si>
  <si>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</si>
  <si>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</si>
  <si>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</si>
  <si>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</si>
  <si>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</si>
  <si>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</si>
  <si>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</si>
  <si>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</si>
  <si>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</si>
  <si>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</si>
  <si>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</si>
  <si>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</si>
  <si>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</si>
  <si>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</si>
  <si>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</si>
  <si>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</si>
  <si>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</si>
  <si>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</si>
  <si>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</si>
  <si>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</si>
  <si>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</si>
  <si>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</si>
  <si>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</si>
  <si>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</si>
  <si>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</si>
  <si>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</si>
  <si>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</si>
  <si>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</si>
  <si>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</si>
  <si>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</si>
  <si>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</si>
  <si>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</si>
  <si>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</si>
  <si>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</si>
  <si>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</si>
  <si>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</si>
  <si>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</si>
  <si>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</si>
  <si>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</si>
  <si>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</si>
  <si>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</si>
  <si>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</si>
  <si>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</si>
  <si>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</si>
  <si>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</si>
  <si>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</si>
  <si>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</si>
  <si>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</si>
  <si>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</si>
  <si>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</si>
  <si>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</si>
  <si>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</si>
  <si>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</si>
  <si>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</si>
  <si>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</si>
  <si>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</si>
  <si>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</si>
  <si>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</si>
  <si>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</si>
  <si>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</si>
  <si>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</si>
  <si>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</si>
  <si>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</si>
  <si>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</si>
  <si>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</si>
  <si>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</si>
  <si>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</si>
  <si>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</si>
  <si>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</si>
  <si>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</si>
  <si>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</si>
  <si>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</si>
  <si>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</si>
  <si>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</si>
  <si>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</si>
  <si>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</si>
  <si>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</si>
  <si>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</si>
  <si>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</si>
  <si>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</si>
  <si>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</si>
  <si>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</si>
  <si>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</si>
  <si>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</si>
  <si>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</si>
  <si>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</si>
  <si>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</si>
  <si>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</si>
  <si>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</si>
  <si>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</si>
  <si>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</si>
  <si>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</si>
  <si>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</si>
  <si>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</si>
  <si>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</si>
  <si>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</si>
  <si>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</si>
  <si>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</si>
  <si>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</si>
  <si>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</si>
  <si>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</si>
  <si>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</si>
  <si>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</si>
  <si>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</si>
  <si>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</si>
  <si>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</si>
  <si>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</si>
  <si>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</si>
  <si>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</si>
  <si>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</si>
  <si>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</si>
  <si>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</si>
  <si>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</si>
  <si>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</si>
  <si>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</si>
  <si>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</si>
  <si>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</si>
  <si>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</si>
  <si>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</si>
  <si>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</si>
  <si>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</si>
  <si>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</si>
  <si>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</si>
  <si>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</si>
  <si>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</si>
  <si>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</si>
  <si>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</si>
  <si>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</si>
  <si>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</si>
  <si>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</si>
  <si>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</si>
  <si>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</si>
  <si>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</si>
  <si>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</si>
  <si>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</si>
  <si>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</si>
  <si>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</si>
  <si>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</si>
  <si>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</si>
  <si>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</si>
  <si>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</si>
  <si>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</si>
  <si>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</si>
  <si>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</si>
  <si>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</si>
  <si>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</si>
  <si>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</si>
  <si>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</si>
  <si>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</si>
  <si>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</si>
  <si>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</si>
  <si>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</si>
  <si>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</si>
  <si>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</si>
  <si>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</si>
  <si>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</si>
  <si>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</si>
  <si>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</si>
  <si>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</si>
  <si>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</si>
  <si>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</si>
  <si>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</si>
  <si>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</si>
  <si>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</si>
  <si>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</si>
  <si>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</si>
  <si>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</si>
  <si>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</si>
  <si>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</si>
  <si>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</si>
  <si>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</si>
  <si>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</si>
  <si>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</si>
  <si>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</si>
  <si>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</si>
  <si>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</si>
  <si>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</si>
  <si>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</si>
  <si>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</si>
  <si>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</si>
  <si>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</si>
  <si>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</si>
  <si>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</si>
  <si>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</si>
  <si>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</si>
  <si>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</si>
  <si>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</si>
  <si>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</si>
  <si>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</si>
  <si>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</si>
  <si>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</si>
  <si>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</si>
  <si>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</si>
  <si>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</si>
  <si>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</si>
  <si>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</si>
  <si>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</si>
  <si>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</si>
  <si>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</si>
  <si>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</si>
  <si>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</si>
  <si>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</si>
  <si>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</si>
  <si>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</si>
  <si>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</si>
  <si>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</si>
  <si>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</si>
  <si>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</si>
  <si>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</si>
  <si>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</si>
  <si>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</si>
  <si>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</si>
  <si>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</si>
  <si>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</si>
  <si>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</si>
  <si>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</si>
  <si>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</si>
  <si>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</si>
  <si>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</si>
  <si>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</si>
  <si>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</si>
  <si>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</si>
  <si>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</si>
  <si>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</si>
  <si>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</si>
  <si>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</si>
  <si>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</si>
  <si>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</si>
  <si>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</si>
  <si>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</si>
  <si>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</si>
  <si>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</si>
  <si>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</si>
  <si>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</si>
  <si>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</si>
  <si>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</si>
  <si>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</si>
  <si>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</si>
  <si>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</si>
  <si>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</si>
  <si>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</si>
  <si>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</si>
  <si>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</si>
  <si>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</si>
  <si>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</si>
  <si>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</si>
  <si>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</si>
  <si>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</si>
  <si>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</si>
  <si>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</si>
  <si>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</si>
  <si>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</si>
  <si>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</si>
  <si>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</si>
  <si>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</si>
  <si>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</si>
  <si>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</si>
  <si>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</si>
  <si>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</si>
  <si>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</si>
  <si>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</si>
  <si>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</si>
  <si>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</si>
  <si>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</si>
  <si>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</si>
  <si>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</si>
  <si>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</si>
  <si>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</si>
  <si>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</si>
  <si>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</si>
  <si>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</si>
  <si>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</si>
  <si>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</si>
  <si>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</si>
  <si>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</si>
  <si>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</si>
  <si>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</si>
  <si>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</si>
  <si>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</si>
  <si>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</si>
  <si>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</si>
  <si>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</si>
  <si>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</si>
  <si>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</si>
  <si>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</si>
  <si>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</si>
  <si>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</si>
  <si>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</si>
  <si>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</si>
  <si>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</si>
  <si>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</si>
  <si>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</si>
  <si>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</si>
  <si>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</si>
  <si>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</si>
  <si>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</si>
  <si>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</si>
  <si>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</si>
  <si>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</si>
  <si>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</si>
  <si>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</si>
  <si>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</si>
  <si>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</si>
  <si>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</si>
  <si>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</si>
  <si>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</si>
  <si>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</si>
  <si>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</si>
  <si>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</si>
  <si>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</si>
  <si>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</si>
  <si>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</si>
  <si>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</si>
  <si>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</si>
  <si>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</si>
  <si>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</si>
  <si>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</si>
  <si>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</si>
  <si>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</si>
  <si>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</si>
  <si>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</si>
  <si>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</si>
  <si>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</si>
  <si>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</si>
  <si>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</si>
  <si>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</si>
  <si>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</si>
  <si>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</si>
  <si>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</si>
  <si>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</si>
  <si>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</si>
  <si>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</si>
  <si>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</si>
  <si>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</si>
  <si>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</si>
  <si>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</si>
  <si>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</si>
  <si>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</si>
  <si>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</si>
  <si>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</si>
  <si>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</si>
  <si>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</si>
  <si>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</si>
  <si>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</si>
  <si>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</si>
  <si>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</si>
  <si>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</si>
  <si>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</si>
  <si>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</si>
  <si>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</si>
  <si>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</si>
  <si>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</si>
  <si>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</si>
  <si>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</si>
  <si>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</si>
  <si>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</si>
  <si>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</si>
  <si>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</si>
  <si>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</si>
  <si>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</si>
  <si>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</si>
  <si>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</si>
  <si>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</si>
  <si>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</si>
  <si>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</si>
  <si>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</si>
  <si>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</si>
  <si>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</si>
  <si>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</si>
  <si>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</si>
  <si>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</si>
  <si>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</si>
  <si>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</si>
  <si>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</si>
  <si>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</si>
  <si>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</si>
  <si>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</si>
  <si>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</si>
  <si>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</si>
  <si>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</si>
  <si>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</si>
  <si>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</si>
  <si>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</si>
  <si>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</si>
  <si>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</si>
  <si>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</si>
  <si>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</si>
  <si>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Fall River Township</t>
  </si>
  <si>
    <t>Building</t>
  </si>
  <si>
    <t>Cemetery</t>
  </si>
  <si>
    <t>Mowing</t>
  </si>
  <si>
    <t>Other Operating</t>
  </si>
  <si>
    <t>Budget Preparation and Publication</t>
  </si>
  <si>
    <t>Sale of Lots</t>
  </si>
  <si>
    <t>Joseph M Bambick, CPA</t>
  </si>
  <si>
    <t>PO Box 515</t>
  </si>
  <si>
    <t>Fredonia KS  66736</t>
  </si>
  <si>
    <t>Transfer from Building Fund</t>
  </si>
  <si>
    <t xml:space="preserve">Building </t>
  </si>
  <si>
    <t>Transfer to General Fund</t>
  </si>
  <si>
    <t>Chuck Ward's residence</t>
  </si>
  <si>
    <t>7:00 p.m.</t>
  </si>
  <si>
    <t>August 15, 2011</t>
  </si>
  <si>
    <t>79-2958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</si>
</sst>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0" fontId="8" fillId="0" borderId="0" xfId="0" applyFont="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334</v>
      </c>
    </row>
    <row r="6" ht="15.75">
      <c r="A6" s="360"/>
    </row>
    <row r="7" ht="34.5" customHeight="1">
      <c r="A7" s="360" t="s">
        <v>352</v>
      </c>
    </row>
    <row r="8" ht="15.75">
      <c r="A8" s="360"/>
    </row>
    <row r="9" ht="15.75">
      <c r="A9" s="360" t="s">
        <v>184</v>
      </c>
    </row>
    <row r="12" ht="15.75">
      <c r="A12" s="362" t="s">
        <v>231</v>
      </c>
    </row>
    <row r="13" ht="15.75">
      <c r="A13" s="362"/>
    </row>
    <row r="14" ht="18.75" customHeight="1">
      <c r="A14" s="364" t="s">
        <v>233</v>
      </c>
    </row>
    <row r="16" ht="39" customHeight="1">
      <c r="A16" s="365" t="s">
        <v>366</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747</v>
      </c>
    </row>
    <row r="40" ht="57.75" customHeight="1">
      <c r="A40" s="371" t="s">
        <v>191</v>
      </c>
    </row>
    <row r="41" ht="10.5" customHeight="1">
      <c r="A41" s="360"/>
    </row>
    <row r="42" ht="65.25" customHeight="1">
      <c r="A42" s="360" t="s">
        <v>748</v>
      </c>
    </row>
    <row r="43" ht="59.25" customHeight="1">
      <c r="A43" s="360" t="s">
        <v>192</v>
      </c>
    </row>
    <row r="44" ht="84.75" customHeight="1">
      <c r="A44" s="360" t="s">
        <v>272</v>
      </c>
    </row>
    <row r="45" ht="12" customHeight="1">
      <c r="A45" s="360"/>
    </row>
    <row r="46" ht="67.5" customHeight="1">
      <c r="A46" s="399" t="s">
        <v>604</v>
      </c>
    </row>
    <row r="47" ht="69.75" customHeight="1">
      <c r="A47" s="395" t="s">
        <v>605</v>
      </c>
    </row>
    <row r="48" ht="12" customHeight="1">
      <c r="A48" s="360"/>
    </row>
    <row r="49" ht="68.25" customHeight="1">
      <c r="A49" s="360" t="s">
        <v>606</v>
      </c>
    </row>
    <row r="50" ht="74.25" customHeight="1">
      <c r="A50" s="360" t="s">
        <v>607</v>
      </c>
    </row>
    <row r="51" ht="50.25" customHeight="1">
      <c r="A51" s="360" t="s">
        <v>608</v>
      </c>
    </row>
    <row r="52" ht="15.75" customHeight="1"/>
    <row r="53" ht="80.25" customHeight="1">
      <c r="A53" s="360" t="s">
        <v>609</v>
      </c>
    </row>
    <row r="54" ht="40.5" customHeight="1">
      <c r="A54" s="360" t="s">
        <v>610</v>
      </c>
    </row>
    <row r="55" ht="45" customHeight="1">
      <c r="A55" s="360" t="s">
        <v>611</v>
      </c>
    </row>
    <row r="56" ht="15.75">
      <c r="A56" s="360"/>
    </row>
    <row r="57" ht="68.25" customHeight="1">
      <c r="A57" s="360" t="s">
        <v>612</v>
      </c>
    </row>
    <row r="58" ht="15.75">
      <c r="A58" s="360"/>
    </row>
    <row r="59" ht="40.5" customHeight="1">
      <c r="A59" s="360" t="s">
        <v>613</v>
      </c>
    </row>
    <row r="60" ht="34.5" customHeight="1">
      <c r="A60" s="360" t="s">
        <v>628</v>
      </c>
    </row>
    <row r="61" ht="77.25" customHeight="1">
      <c r="A61" s="360" t="s">
        <v>629</v>
      </c>
    </row>
    <row r="62" ht="41.25" customHeight="1">
      <c r="A62" s="360" t="s">
        <v>626</v>
      </c>
    </row>
    <row r="63" ht="41.25" customHeight="1">
      <c r="A63" s="360" t="s">
        <v>627</v>
      </c>
    </row>
    <row r="64" ht="9" customHeight="1">
      <c r="A64" s="360"/>
    </row>
    <row r="65" ht="58.5" customHeight="1">
      <c r="A65" s="360" t="s">
        <v>614</v>
      </c>
    </row>
    <row r="66" ht="9.75" customHeight="1"/>
    <row r="67" s="360" customFormat="1" ht="69" customHeight="1">
      <c r="A67" s="360" t="s">
        <v>615</v>
      </c>
    </row>
    <row r="68" ht="6.75" customHeight="1"/>
    <row r="69" ht="70.5" customHeight="1">
      <c r="A69" s="360" t="s">
        <v>749</v>
      </c>
    </row>
    <row r="70" ht="63" customHeight="1">
      <c r="A70" s="603" t="s">
        <v>750</v>
      </c>
    </row>
    <row r="71" ht="57" customHeight="1">
      <c r="A71" s="603" t="s">
        <v>751</v>
      </c>
    </row>
    <row r="72" ht="60" customHeight="1">
      <c r="A72" s="360" t="s">
        <v>752</v>
      </c>
    </row>
    <row r="73" ht="117.75" customHeight="1">
      <c r="A73" s="360" t="s">
        <v>753</v>
      </c>
    </row>
    <row r="74" ht="59.25" customHeight="1">
      <c r="A74" s="360" t="s">
        <v>754</v>
      </c>
    </row>
    <row r="75" ht="59.25" customHeight="1">
      <c r="A75" s="603" t="s">
        <v>755</v>
      </c>
    </row>
    <row r="76" ht="84.75" customHeight="1">
      <c r="A76" s="360" t="s">
        <v>756</v>
      </c>
    </row>
    <row r="77" ht="102.75" customHeight="1">
      <c r="A77" s="360" t="s">
        <v>757</v>
      </c>
    </row>
    <row r="78" ht="102.75" customHeight="1">
      <c r="A78" s="372" t="s">
        <v>758</v>
      </c>
    </row>
    <row r="79" ht="54" customHeight="1">
      <c r="A79" s="363" t="s">
        <v>759</v>
      </c>
    </row>
    <row r="80" ht="115.5" customHeight="1">
      <c r="A80" s="360" t="s">
        <v>760</v>
      </c>
    </row>
    <row r="81" ht="78" customHeight="1">
      <c r="A81" s="372" t="s">
        <v>761</v>
      </c>
    </row>
    <row r="82" ht="124.5" customHeight="1">
      <c r="A82" s="372" t="s">
        <v>762</v>
      </c>
    </row>
    <row r="83" ht="138" customHeight="1">
      <c r="A83" s="360" t="s">
        <v>763</v>
      </c>
    </row>
    <row r="84" ht="147" customHeight="1">
      <c r="A84" s="360" t="s">
        <v>764</v>
      </c>
    </row>
    <row r="85" ht="101.25" customHeight="1">
      <c r="A85" s="360" t="s">
        <v>765</v>
      </c>
    </row>
    <row r="87" ht="102.75" customHeight="1">
      <c r="A87" s="360" t="s">
        <v>616</v>
      </c>
    </row>
    <row r="88" ht="89.25" customHeight="1">
      <c r="A88" s="372" t="s">
        <v>617</v>
      </c>
    </row>
    <row r="89" ht="57" customHeight="1">
      <c r="A89" s="372" t="s">
        <v>618</v>
      </c>
    </row>
    <row r="90" ht="20.25" customHeight="1">
      <c r="A90" s="360" t="s">
        <v>619</v>
      </c>
    </row>
    <row r="92" ht="53.25" customHeight="1">
      <c r="A92" s="360" t="s">
        <v>620</v>
      </c>
    </row>
    <row r="93" ht="21" customHeight="1">
      <c r="A93" s="360" t="s">
        <v>622</v>
      </c>
    </row>
    <row r="94" ht="72.75" customHeight="1">
      <c r="A94" s="603" t="s">
        <v>766</v>
      </c>
    </row>
    <row r="95" ht="75" customHeight="1">
      <c r="A95" s="603" t="s">
        <v>767</v>
      </c>
    </row>
    <row r="96" ht="33.75" customHeight="1">
      <c r="A96" s="360" t="s">
        <v>768</v>
      </c>
    </row>
    <row r="97" ht="51.75" customHeight="1">
      <c r="A97" s="360" t="s">
        <v>769</v>
      </c>
    </row>
    <row r="98" ht="14.25" customHeight="1"/>
    <row r="99" ht="69.75" customHeight="1">
      <c r="A99" s="360" t="s">
        <v>621</v>
      </c>
    </row>
    <row r="101" ht="54" customHeight="1">
      <c r="A101" s="603" t="s">
        <v>770</v>
      </c>
    </row>
    <row r="102" ht="85.5" customHeight="1">
      <c r="A102" s="603" t="s">
        <v>771</v>
      </c>
    </row>
    <row r="103" ht="99" customHeight="1">
      <c r="A103" s="603"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Fall River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811</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811</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811</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6" sqref="B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Fall River Township</v>
      </c>
      <c r="C1" s="14"/>
      <c r="D1" s="14"/>
      <c r="E1" s="15">
        <f>inputPrYr!D5</f>
        <v>2012</v>
      </c>
    </row>
    <row r="2" spans="2:5" ht="15.75">
      <c r="B2" s="17"/>
      <c r="C2" s="14"/>
      <c r="D2" s="14"/>
      <c r="E2" s="18"/>
    </row>
    <row r="3" spans="2:5" ht="15.75">
      <c r="B3" s="602" t="s">
        <v>746</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122</v>
      </c>
      <c r="C6" s="29">
        <v>2899</v>
      </c>
      <c r="D6" s="417">
        <f>C51</f>
        <v>2916</v>
      </c>
      <c r="E6" s="32">
        <f>D51</f>
        <v>1721</v>
      </c>
    </row>
    <row r="7" spans="2:5" ht="15.75">
      <c r="B7" s="27" t="s">
        <v>124</v>
      </c>
      <c r="C7" s="417"/>
      <c r="D7" s="417"/>
      <c r="E7" s="33"/>
    </row>
    <row r="8" spans="2:5" ht="15.75">
      <c r="B8" s="27" t="s">
        <v>16</v>
      </c>
      <c r="C8" s="29">
        <v>499</v>
      </c>
      <c r="D8" s="417">
        <f>inputPrYr!E16</f>
        <v>569</v>
      </c>
      <c r="E8" s="33" t="s">
        <v>300</v>
      </c>
    </row>
    <row r="9" spans="2:5" ht="15.75">
      <c r="B9" s="27" t="s">
        <v>17</v>
      </c>
      <c r="C9" s="29">
        <v>6</v>
      </c>
      <c r="D9" s="29">
        <v>0</v>
      </c>
      <c r="E9" s="34">
        <v>0</v>
      </c>
    </row>
    <row r="10" spans="2:5" ht="15.75">
      <c r="B10" s="27" t="s">
        <v>18</v>
      </c>
      <c r="C10" s="29">
        <v>97</v>
      </c>
      <c r="D10" s="29">
        <v>75</v>
      </c>
      <c r="E10" s="32">
        <f>mvalloc!G11</f>
        <v>89</v>
      </c>
    </row>
    <row r="11" spans="2:5" ht="15.75">
      <c r="B11" s="27" t="s">
        <v>19</v>
      </c>
      <c r="C11" s="29">
        <v>3</v>
      </c>
      <c r="D11" s="29">
        <v>2</v>
      </c>
      <c r="E11" s="32">
        <f>mvalloc!I11</f>
        <v>2</v>
      </c>
    </row>
    <row r="12" spans="2:5" ht="15.75">
      <c r="B12" s="35" t="s">
        <v>72</v>
      </c>
      <c r="C12" s="29">
        <v>13</v>
      </c>
      <c r="D12" s="29">
        <v>9</v>
      </c>
      <c r="E12" s="32">
        <f>mvalloc!J11</f>
        <v>7</v>
      </c>
    </row>
    <row r="13" spans="2:5" ht="15.75">
      <c r="B13" s="35" t="s">
        <v>164</v>
      </c>
      <c r="C13" s="29">
        <v>0</v>
      </c>
      <c r="D13" s="29">
        <v>0</v>
      </c>
      <c r="E13" s="32">
        <f>inputOth!E34</f>
        <v>0</v>
      </c>
    </row>
    <row r="14" spans="2:5" ht="15.75">
      <c r="B14" s="35" t="s">
        <v>165</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t="s">
        <v>823</v>
      </c>
      <c r="C17" s="29">
        <v>0</v>
      </c>
      <c r="D17" s="29">
        <v>0</v>
      </c>
      <c r="E17" s="34">
        <v>2300</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104</v>
      </c>
      <c r="D23" s="29">
        <v>50</v>
      </c>
      <c r="E23" s="34">
        <v>50</v>
      </c>
    </row>
    <row r="24" spans="2:5" ht="15.75">
      <c r="B24" s="39" t="s">
        <v>222</v>
      </c>
      <c r="C24" s="29"/>
      <c r="D24" s="29"/>
      <c r="E24" s="34"/>
    </row>
    <row r="25" spans="2:5" ht="15.75">
      <c r="B25" s="39" t="s">
        <v>223</v>
      </c>
      <c r="C25" s="414">
        <f>IF(C26*0.1&lt;C24,"Exceed 10% Rule","")</f>
      </c>
      <c r="D25" s="414">
        <f>IF(D26*0.1&lt;D24,"Exceed 10% Rule","")</f>
      </c>
      <c r="E25" s="45">
        <f>IF(E26*0.1+E57&lt;E24,"Exceed 10% Rule","")</f>
      </c>
    </row>
    <row r="26" spans="2:5" ht="15.75">
      <c r="B26" s="41" t="s">
        <v>23</v>
      </c>
      <c r="C26" s="419">
        <f>SUM(C8:C24)</f>
        <v>722</v>
      </c>
      <c r="D26" s="419">
        <f>SUM(D8:D24)</f>
        <v>705</v>
      </c>
      <c r="E26" s="42">
        <f>SUM(E8:E24)</f>
        <v>2448</v>
      </c>
    </row>
    <row r="27" spans="2:5" ht="15.75">
      <c r="B27" s="43" t="s">
        <v>24</v>
      </c>
      <c r="C27" s="419">
        <f>C26+C6</f>
        <v>3621</v>
      </c>
      <c r="D27" s="419">
        <f>D26+D6</f>
        <v>3621</v>
      </c>
      <c r="E27" s="42">
        <f>E26+E6</f>
        <v>4169</v>
      </c>
    </row>
    <row r="28" spans="2:5" ht="15.75">
      <c r="B28" s="27" t="s">
        <v>25</v>
      </c>
      <c r="C28" s="417"/>
      <c r="D28" s="417"/>
      <c r="E28" s="32"/>
    </row>
    <row r="29" spans="2:5" ht="15.75">
      <c r="B29" s="38" t="s">
        <v>105</v>
      </c>
      <c r="C29" s="29">
        <v>340</v>
      </c>
      <c r="D29" s="29">
        <v>500</v>
      </c>
      <c r="E29" s="34">
        <v>550</v>
      </c>
    </row>
    <row r="30" spans="2:5" ht="15.75">
      <c r="B30" s="38" t="s">
        <v>131</v>
      </c>
      <c r="C30" s="29">
        <v>210</v>
      </c>
      <c r="D30" s="29">
        <v>350</v>
      </c>
      <c r="E30" s="34">
        <v>550</v>
      </c>
    </row>
    <row r="31" spans="2:5" ht="15.75">
      <c r="B31" s="38" t="s">
        <v>818</v>
      </c>
      <c r="C31" s="29">
        <v>155</v>
      </c>
      <c r="D31" s="29">
        <v>200</v>
      </c>
      <c r="E31" s="34">
        <v>240</v>
      </c>
    </row>
    <row r="32" spans="2:5" ht="15.75">
      <c r="B32" s="38" t="s">
        <v>36</v>
      </c>
      <c r="C32" s="29">
        <v>0</v>
      </c>
      <c r="D32" s="29">
        <v>350</v>
      </c>
      <c r="E32" s="34">
        <v>1000</v>
      </c>
    </row>
    <row r="33" spans="2:5" ht="15.75">
      <c r="B33" s="37" t="s">
        <v>107</v>
      </c>
      <c r="C33" s="29">
        <v>0</v>
      </c>
      <c r="D33" s="29">
        <v>500</v>
      </c>
      <c r="E33" s="34">
        <v>2800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v>0</v>
      </c>
      <c r="D43" s="29">
        <v>0</v>
      </c>
      <c r="E43" s="34">
        <v>0</v>
      </c>
    </row>
    <row r="44" spans="2:5" ht="15.75">
      <c r="B44" s="35" t="s">
        <v>275</v>
      </c>
      <c r="C44" s="413">
        <f>IF(AND($C$43&gt;0,$C$8&gt;0),"Not Authorized","")</f>
      </c>
      <c r="D44" s="413">
        <f>IF(AND($D$43&gt;0,$D$8&gt;0),"Not Authorized","")</f>
      </c>
      <c r="E44" s="44">
        <f>IF(AND(cert!F20&gt;0,$E$43&gt;0),"Not Authorized","")</f>
      </c>
    </row>
    <row r="45" spans="2:5" ht="15.75">
      <c r="B45" s="27" t="s">
        <v>279</v>
      </c>
      <c r="C45" s="29">
        <v>0</v>
      </c>
      <c r="D45" s="29">
        <v>0</v>
      </c>
      <c r="E45" s="34">
        <v>0</v>
      </c>
    </row>
    <row r="46" spans="2:6" ht="15.75">
      <c r="B46" s="27" t="s">
        <v>805</v>
      </c>
      <c r="C46" s="414">
        <f>IF(C27*0.25&lt;C45,"Exceeds 25%","")</f>
      </c>
      <c r="D46" s="414">
        <f>IF(D27*0.25&lt;D45,"Exceeds 25%","")</f>
      </c>
      <c r="E46" s="45">
        <f>IF(E27*0.25+E57&lt;E45,"Exceeds 25%","")</f>
      </c>
      <c r="F46" s="16">
        <f>IF(G28*0.25&lt;G46,"Exceeds 25%","")</f>
      </c>
    </row>
    <row r="47" spans="2:5" ht="15.75">
      <c r="B47" s="35" t="s">
        <v>224</v>
      </c>
      <c r="C47" s="29">
        <v>0</v>
      </c>
      <c r="D47" s="29">
        <v>0</v>
      </c>
      <c r="E47" s="46">
        <f>nhood!E6</f>
      </c>
    </row>
    <row r="48" spans="2:5" ht="15.75">
      <c r="B48" s="35" t="s">
        <v>222</v>
      </c>
      <c r="C48" s="29">
        <v>0</v>
      </c>
      <c r="D48" s="29">
        <v>0</v>
      </c>
      <c r="E48" s="34">
        <v>0</v>
      </c>
    </row>
    <row r="49" spans="2:10" ht="15.75">
      <c r="B49" s="35" t="s">
        <v>641</v>
      </c>
      <c r="C49" s="414">
        <f>IF(C50*0.1&lt;C48,"Exceed 10% Rule","")</f>
      </c>
      <c r="D49" s="414">
        <f>IF(D50*0.1&lt;D48,"Exceed 10% Rule","")</f>
      </c>
      <c r="E49" s="45">
        <f>IF(E50*0.1&lt;E48,"Exceed 10% Rule","")</f>
      </c>
      <c r="G49" s="657" t="str">
        <f>CONCATENATE("Projected Carryover Into ",E1+1,"")</f>
        <v>Projected Carryover Into 2013</v>
      </c>
      <c r="H49" s="658"/>
      <c r="I49" s="658"/>
      <c r="J49" s="639"/>
    </row>
    <row r="50" spans="2:10" ht="15.75">
      <c r="B50" s="43" t="s">
        <v>26</v>
      </c>
      <c r="C50" s="411">
        <f>SUM(C29:C48)</f>
        <v>705</v>
      </c>
      <c r="D50" s="411">
        <f>SUM(D29:D48)</f>
        <v>1900</v>
      </c>
      <c r="E50" s="47">
        <f>SUM(E29:E43,E45,E47:E48)</f>
        <v>5140</v>
      </c>
      <c r="G50" s="533"/>
      <c r="H50" s="534"/>
      <c r="I50" s="534"/>
      <c r="J50" s="535"/>
    </row>
    <row r="51" spans="2:10" ht="15.75">
      <c r="B51" s="27" t="s">
        <v>123</v>
      </c>
      <c r="C51" s="412">
        <f>C27-C50</f>
        <v>2916</v>
      </c>
      <c r="D51" s="412">
        <f>SUM(D27-D50)</f>
        <v>1721</v>
      </c>
      <c r="E51" s="33" t="s">
        <v>300</v>
      </c>
      <c r="G51" s="536">
        <f>D51</f>
        <v>1721</v>
      </c>
      <c r="H51" s="537" t="str">
        <f>CONCATENATE("",E1-1," Ending Cash Balance (est.)")</f>
        <v>2011 Ending Cash Balance (est.)</v>
      </c>
      <c r="I51" s="538"/>
      <c r="J51" s="535"/>
    </row>
    <row r="52" spans="2:10" ht="15.75">
      <c r="B52" s="48" t="str">
        <f>CONCATENATE("",E1-2,"/",E1-1," Budget Authority Amount:")</f>
        <v>2010/2011 Budget Authority Amount:</v>
      </c>
      <c r="C52" s="143">
        <f>inputOth!B46</f>
        <v>2050</v>
      </c>
      <c r="D52" s="172">
        <f>inputPrYr!D16</f>
        <v>2600</v>
      </c>
      <c r="E52" s="33" t="s">
        <v>300</v>
      </c>
      <c r="F52" s="50"/>
      <c r="G52" s="536">
        <f>E26</f>
        <v>2448</v>
      </c>
      <c r="H52" s="539" t="str">
        <f>CONCATENATE("",E1," Non-AV Receipts (est.)")</f>
        <v>2012 Non-AV Receipts (est.)</v>
      </c>
      <c r="I52" s="539"/>
      <c r="J52" s="535"/>
    </row>
    <row r="53" spans="2:10" ht="15.75">
      <c r="B53" s="48"/>
      <c r="C53" s="653" t="s">
        <v>642</v>
      </c>
      <c r="D53" s="654"/>
      <c r="E53" s="34">
        <v>0</v>
      </c>
      <c r="F53" s="532">
        <f>IF(E50/0.95-E50&lt;E53,"Exceeds 5%","")</f>
      </c>
      <c r="G53" s="540">
        <f>E57</f>
        <v>971</v>
      </c>
      <c r="H53" s="539" t="str">
        <f>CONCATENATE("",E1," Ad Valorem Tax (est.)")</f>
        <v>2012 Ad Valorem Tax (est.)</v>
      </c>
      <c r="I53" s="539"/>
      <c r="J53" s="535"/>
    </row>
    <row r="54" spans="2:10" ht="15.75">
      <c r="B54" s="435" t="str">
        <f>CONCATENATE(C72,"     ",D72)</f>
        <v>     </v>
      </c>
      <c r="C54" s="655" t="s">
        <v>643</v>
      </c>
      <c r="D54" s="656"/>
      <c r="E54" s="32">
        <f>E50+E53</f>
        <v>5140</v>
      </c>
      <c r="G54" s="536">
        <f>SUM(G51:G53)</f>
        <v>5140</v>
      </c>
      <c r="H54" s="539" t="str">
        <f>CONCATENATE("Total ",E1," Resources Available")</f>
        <v>Total 2012 Resources Available</v>
      </c>
      <c r="I54" s="538"/>
      <c r="J54" s="535"/>
    </row>
    <row r="55" spans="2:10" ht="15.75">
      <c r="B55" s="435" t="str">
        <f>CONCATENATE(C73,"     ",D73)</f>
        <v>     </v>
      </c>
      <c r="C55" s="60"/>
      <c r="D55" s="52" t="s">
        <v>28</v>
      </c>
      <c r="E55" s="46">
        <f>IF(E54-E27&gt;0,E54-E27,0)</f>
        <v>971</v>
      </c>
      <c r="G55" s="541"/>
      <c r="H55" s="539"/>
      <c r="I55" s="539"/>
      <c r="J55" s="535"/>
    </row>
    <row r="56" spans="2:10" ht="15.75">
      <c r="B56" s="52"/>
      <c r="C56" s="439" t="s">
        <v>644</v>
      </c>
      <c r="D56" s="431">
        <f>inputOth!$E$40</f>
        <v>0</v>
      </c>
      <c r="E56" s="32">
        <f>ROUND(IF(D56&gt;0,(E55*D56),0),0)</f>
        <v>0</v>
      </c>
      <c r="G56" s="540">
        <f>C50*0.05+C50</f>
        <v>740.25</v>
      </c>
      <c r="H56" s="539" t="str">
        <f>CONCATENATE("Less ",E1-2," Expenditures + 5%")</f>
        <v>Less 2010 Expenditures + 5%</v>
      </c>
      <c r="I56" s="538"/>
      <c r="J56" s="535"/>
    </row>
    <row r="57" spans="2:10" ht="15.75">
      <c r="B57" s="14"/>
      <c r="C57" s="651" t="str">
        <f>CONCATENATE("Amount of  ",$E$1-1," Ad Valorem Tax")</f>
        <v>Amount of  2011 Ad Valorem Tax</v>
      </c>
      <c r="D57" s="652"/>
      <c r="E57" s="46">
        <f>E55+E56</f>
        <v>971</v>
      </c>
      <c r="G57" s="542">
        <f>G54-G56</f>
        <v>4399.75</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0.274</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7" t="str">
        <f>CONCATENATE("Desired Carryover Into ",E1+1,"")</f>
        <v>Desired Carryover Into 2013</v>
      </c>
      <c r="H61" s="659"/>
      <c r="I61" s="659"/>
      <c r="J61" s="639"/>
    </row>
    <row r="62" spans="7:10" ht="15.75">
      <c r="G62" s="550"/>
      <c r="H62" s="534"/>
      <c r="I62" s="539"/>
      <c r="J62" s="551"/>
    </row>
    <row r="63" spans="2:10" ht="15.75">
      <c r="B63" s="12"/>
      <c r="G63" s="552" t="s">
        <v>740</v>
      </c>
      <c r="H63" s="539"/>
      <c r="I63" s="539"/>
      <c r="J63" s="553">
        <v>0</v>
      </c>
    </row>
    <row r="64" spans="7:10" ht="15.75">
      <c r="G64" s="550" t="s">
        <v>741</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6" sqref="E2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 River Township</v>
      </c>
      <c r="C1" s="22" t="s">
        <v>35</v>
      </c>
      <c r="D1" s="14"/>
      <c r="E1" s="15">
        <f>inputPrYr!D5</f>
        <v>2012</v>
      </c>
    </row>
    <row r="2" spans="2:5" ht="15.75">
      <c r="B2" s="17"/>
      <c r="C2" s="14"/>
      <c r="D2" s="14"/>
      <c r="E2" s="89"/>
    </row>
    <row r="3" spans="2:5" ht="15.75">
      <c r="B3" s="602" t="s">
        <v>746</v>
      </c>
      <c r="C3" s="77"/>
      <c r="D3" s="77"/>
      <c r="E3" s="14"/>
    </row>
    <row r="4" spans="2:5" ht="15.75">
      <c r="B4" s="22" t="s">
        <v>10</v>
      </c>
      <c r="C4" s="415" t="s">
        <v>11</v>
      </c>
      <c r="D4" s="418" t="s">
        <v>12</v>
      </c>
      <c r="E4" s="23" t="s">
        <v>13</v>
      </c>
    </row>
    <row r="5" spans="2:5" ht="15.75">
      <c r="B5" s="436" t="str">
        <f>inputPrYr!B19</f>
        <v>Building</v>
      </c>
      <c r="C5" s="416" t="str">
        <f>gen!C5</f>
        <v>Actual 2010</v>
      </c>
      <c r="D5" s="416" t="str">
        <f>gen!D5</f>
        <v>Estimate 2011</v>
      </c>
      <c r="E5" s="26" t="str">
        <f>gen!E5</f>
        <v>Year 2012</v>
      </c>
    </row>
    <row r="6" spans="2:5" ht="15.75">
      <c r="B6" s="27" t="s">
        <v>122</v>
      </c>
      <c r="C6" s="29">
        <v>1379</v>
      </c>
      <c r="D6" s="417">
        <f>C33</f>
        <v>1451</v>
      </c>
      <c r="E6" s="32">
        <f>D33</f>
        <v>2146</v>
      </c>
    </row>
    <row r="7" spans="2:5" ht="15.75">
      <c r="B7" s="27" t="s">
        <v>124</v>
      </c>
      <c r="C7" s="417"/>
      <c r="D7" s="417"/>
      <c r="E7" s="33"/>
    </row>
    <row r="8" spans="2:5" ht="15.75">
      <c r="B8" s="27" t="s">
        <v>16</v>
      </c>
      <c r="C8" s="29">
        <v>767</v>
      </c>
      <c r="D8" s="417">
        <f>inputPrYr!E19</f>
        <v>891</v>
      </c>
      <c r="E8" s="33" t="s">
        <v>300</v>
      </c>
    </row>
    <row r="9" spans="2:5" ht="15.75">
      <c r="B9" s="27" t="s">
        <v>17</v>
      </c>
      <c r="C9" s="29">
        <v>9</v>
      </c>
      <c r="D9" s="29">
        <v>0</v>
      </c>
      <c r="E9" s="34">
        <v>0</v>
      </c>
    </row>
    <row r="10" spans="2:5" ht="15.75">
      <c r="B10" s="27" t="s">
        <v>18</v>
      </c>
      <c r="C10" s="29">
        <v>143</v>
      </c>
      <c r="D10" s="29">
        <v>114</v>
      </c>
      <c r="E10" s="32">
        <f>mvalloc!G14</f>
        <v>139</v>
      </c>
    </row>
    <row r="11" spans="2:5" ht="15.75">
      <c r="B11" s="27" t="s">
        <v>19</v>
      </c>
      <c r="C11" s="29">
        <v>4</v>
      </c>
      <c r="D11" s="29">
        <v>2</v>
      </c>
      <c r="E11" s="32">
        <f>mvalloc!I14</f>
        <v>4</v>
      </c>
    </row>
    <row r="12" spans="2:5" ht="15.75">
      <c r="B12" s="35" t="s">
        <v>72</v>
      </c>
      <c r="C12" s="29">
        <v>19</v>
      </c>
      <c r="D12" s="29">
        <v>14</v>
      </c>
      <c r="E12" s="32">
        <f>mvalloc!J14</f>
        <v>11</v>
      </c>
    </row>
    <row r="13" spans="2:5" ht="15.75">
      <c r="B13" s="35" t="s">
        <v>165</v>
      </c>
      <c r="C13" s="29">
        <v>0</v>
      </c>
      <c r="D13" s="29">
        <v>0</v>
      </c>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942</v>
      </c>
      <c r="D20" s="419">
        <f>SUM(D8:D18)</f>
        <v>1021</v>
      </c>
      <c r="E20" s="42">
        <f>SUM(E8:E18)</f>
        <v>154</v>
      </c>
    </row>
    <row r="21" spans="2:5" ht="15.75">
      <c r="B21" s="43" t="s">
        <v>24</v>
      </c>
      <c r="C21" s="419">
        <f>C20+C6</f>
        <v>2321</v>
      </c>
      <c r="D21" s="419">
        <f>D20+D6</f>
        <v>2472</v>
      </c>
      <c r="E21" s="42">
        <f>E20+E6</f>
        <v>2300</v>
      </c>
    </row>
    <row r="22" spans="2:5" ht="15.75">
      <c r="B22" s="27" t="s">
        <v>25</v>
      </c>
      <c r="C22" s="417"/>
      <c r="D22" s="417"/>
      <c r="E22" s="32"/>
    </row>
    <row r="23" spans="2:5" ht="15.75">
      <c r="B23" s="38" t="s">
        <v>131</v>
      </c>
      <c r="C23" s="29">
        <v>310</v>
      </c>
      <c r="D23" s="29">
        <v>326</v>
      </c>
      <c r="E23" s="34">
        <v>0</v>
      </c>
    </row>
    <row r="24" spans="2:5" ht="15.75">
      <c r="B24" s="38" t="s">
        <v>817</v>
      </c>
      <c r="C24" s="29">
        <v>560</v>
      </c>
      <c r="D24" s="29">
        <v>0</v>
      </c>
      <c r="E24" s="34">
        <v>0</v>
      </c>
    </row>
    <row r="25" spans="2:5" ht="15.75">
      <c r="B25" s="38" t="s">
        <v>825</v>
      </c>
      <c r="C25" s="29">
        <v>0</v>
      </c>
      <c r="D25" s="29">
        <v>0</v>
      </c>
      <c r="E25" s="34">
        <v>2300</v>
      </c>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870</v>
      </c>
      <c r="D32" s="419">
        <f>SUM(D23:D30)</f>
        <v>326</v>
      </c>
      <c r="E32" s="42">
        <f>SUM(E23:E30)</f>
        <v>2300</v>
      </c>
    </row>
    <row r="33" spans="2:5" ht="15.75">
      <c r="B33" s="27" t="s">
        <v>123</v>
      </c>
      <c r="C33" s="412">
        <f>C21-C32</f>
        <v>1451</v>
      </c>
      <c r="D33" s="412">
        <f>D21-D32</f>
        <v>2146</v>
      </c>
      <c r="E33" s="33" t="s">
        <v>300</v>
      </c>
    </row>
    <row r="34" spans="2:6" ht="15.75">
      <c r="B34" s="48" t="str">
        <f>CONCATENATE("",E1-2,"/",E1-1," Budget Authority Amount:")</f>
        <v>2010/2011 Budget Authority Amount:</v>
      </c>
      <c r="C34" s="143">
        <f>inputOth!B49</f>
        <v>1970</v>
      </c>
      <c r="D34" s="172">
        <f>inputPrYr!D19</f>
        <v>1700</v>
      </c>
      <c r="E34" s="33" t="s">
        <v>300</v>
      </c>
      <c r="F34" s="50"/>
    </row>
    <row r="35" spans="2:6" ht="15.75">
      <c r="B35" s="48"/>
      <c r="C35" s="653" t="s">
        <v>642</v>
      </c>
      <c r="D35" s="654"/>
      <c r="E35" s="34"/>
      <c r="F35" s="50">
        <f>IF(E32/0.95-E32&lt;E35,"Exceeds 5%","")</f>
      </c>
    </row>
    <row r="36" spans="2:5" ht="15.75">
      <c r="B36" s="435" t="str">
        <f>CONCATENATE(C88,"     ",D88)</f>
        <v>     </v>
      </c>
      <c r="C36" s="655" t="s">
        <v>643</v>
      </c>
      <c r="D36" s="656"/>
      <c r="E36" s="32">
        <f>E32+E35</f>
        <v>2300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t="str">
        <f>inputPrYr!B20</f>
        <v>Cemetery</v>
      </c>
      <c r="C42" s="416" t="str">
        <f>C5</f>
        <v>Actual 2010</v>
      </c>
      <c r="D42" s="416" t="str">
        <f>D5</f>
        <v>Estimate 2011</v>
      </c>
      <c r="E42" s="26" t="str">
        <f>E5</f>
        <v>Year 2012</v>
      </c>
    </row>
    <row r="43" spans="2:5" ht="15.75">
      <c r="B43" s="27" t="s">
        <v>122</v>
      </c>
      <c r="C43" s="29">
        <v>2597</v>
      </c>
      <c r="D43" s="417">
        <f>C70</f>
        <v>3235</v>
      </c>
      <c r="E43" s="32">
        <f>D70</f>
        <v>1435</v>
      </c>
    </row>
    <row r="44" spans="2:5" ht="15.75">
      <c r="B44" s="27" t="s">
        <v>124</v>
      </c>
      <c r="C44" s="417"/>
      <c r="D44" s="417"/>
      <c r="E44" s="33"/>
    </row>
    <row r="45" spans="2:5" ht="15.75">
      <c r="B45" s="27" t="s">
        <v>16</v>
      </c>
      <c r="C45" s="29">
        <v>3103</v>
      </c>
      <c r="D45" s="417">
        <f>inputPrYr!E20</f>
        <v>3369</v>
      </c>
      <c r="E45" s="33" t="s">
        <v>300</v>
      </c>
    </row>
    <row r="46" spans="2:5" ht="15.75">
      <c r="B46" s="27" t="s">
        <v>17</v>
      </c>
      <c r="C46" s="29">
        <v>36</v>
      </c>
      <c r="D46" s="29">
        <v>0</v>
      </c>
      <c r="E46" s="34">
        <v>0</v>
      </c>
    </row>
    <row r="47" spans="2:5" ht="15.75">
      <c r="B47" s="27" t="s">
        <v>18</v>
      </c>
      <c r="C47" s="29">
        <v>510</v>
      </c>
      <c r="D47" s="29">
        <v>463</v>
      </c>
      <c r="E47" s="32">
        <f>mvalloc!G15</f>
        <v>527</v>
      </c>
    </row>
    <row r="48" spans="2:5" ht="15.75">
      <c r="B48" s="27" t="s">
        <v>19</v>
      </c>
      <c r="C48" s="29">
        <v>14</v>
      </c>
      <c r="D48" s="29">
        <v>10</v>
      </c>
      <c r="E48" s="32">
        <f>mvalloc!I15</f>
        <v>15</v>
      </c>
    </row>
    <row r="49" spans="2:5" ht="15.75">
      <c r="B49" s="27" t="s">
        <v>103</v>
      </c>
      <c r="C49" s="29">
        <v>65</v>
      </c>
      <c r="D49" s="29">
        <v>58</v>
      </c>
      <c r="E49" s="32">
        <f>mvalloc!J15</f>
        <v>42</v>
      </c>
    </row>
    <row r="50" spans="2:5" ht="15.75">
      <c r="B50" s="27" t="s">
        <v>165</v>
      </c>
      <c r="C50" s="29">
        <v>0</v>
      </c>
      <c r="D50" s="29">
        <v>0</v>
      </c>
      <c r="E50" s="32">
        <f>mvalloc!K15</f>
        <v>0</v>
      </c>
    </row>
    <row r="51" spans="2:5" ht="15.75">
      <c r="B51" s="37" t="s">
        <v>819</v>
      </c>
      <c r="C51" s="29">
        <v>640</v>
      </c>
      <c r="D51" s="29">
        <v>0</v>
      </c>
      <c r="E51" s="34">
        <v>0</v>
      </c>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4368</v>
      </c>
      <c r="D57" s="419">
        <f>SUM(D45:D55)</f>
        <v>3900</v>
      </c>
      <c r="E57" s="42">
        <f>SUM(E45:E55)</f>
        <v>584</v>
      </c>
    </row>
    <row r="58" spans="2:5" ht="15.75">
      <c r="B58" s="43" t="s">
        <v>24</v>
      </c>
      <c r="C58" s="419">
        <f>C57+C43</f>
        <v>6965</v>
      </c>
      <c r="D58" s="419">
        <f>D57+D43</f>
        <v>7135</v>
      </c>
      <c r="E58" s="42">
        <f>E57+E43</f>
        <v>2019</v>
      </c>
    </row>
    <row r="59" spans="2:5" ht="15.75">
      <c r="B59" s="27" t="s">
        <v>25</v>
      </c>
      <c r="C59" s="417"/>
      <c r="D59" s="417"/>
      <c r="E59" s="32"/>
    </row>
    <row r="60" spans="2:5" ht="15.75">
      <c r="B60" s="38" t="s">
        <v>816</v>
      </c>
      <c r="C60" s="29">
        <v>3730</v>
      </c>
      <c r="D60" s="29">
        <v>5700</v>
      </c>
      <c r="E60" s="34">
        <v>6000</v>
      </c>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3730</v>
      </c>
      <c r="D69" s="419">
        <f>SUM(D60:D67)</f>
        <v>5700</v>
      </c>
      <c r="E69" s="42">
        <f>SUM(E60:E67)</f>
        <v>6000</v>
      </c>
    </row>
    <row r="70" spans="2:5" ht="15.75">
      <c r="B70" s="27" t="s">
        <v>123</v>
      </c>
      <c r="C70" s="412">
        <f>C58-C69</f>
        <v>3235</v>
      </c>
      <c r="D70" s="412">
        <f>D58-D69</f>
        <v>1435</v>
      </c>
      <c r="E70" s="33" t="s">
        <v>300</v>
      </c>
    </row>
    <row r="71" spans="2:6" ht="15.75">
      <c r="B71" s="48" t="str">
        <f>CONCATENATE("",E1-2,"/",E1-1," Budget Authority Amount:")</f>
        <v>2010/2011 Budget Authority Amount:</v>
      </c>
      <c r="C71" s="143">
        <f>inputOth!B50</f>
        <v>5510</v>
      </c>
      <c r="D71" s="172">
        <f>inputPrYr!D20</f>
        <v>5700</v>
      </c>
      <c r="E71" s="33" t="s">
        <v>300</v>
      </c>
      <c r="F71" s="50"/>
    </row>
    <row r="72" spans="2:6" ht="15.75">
      <c r="B72" s="48"/>
      <c r="C72" s="653" t="s">
        <v>642</v>
      </c>
      <c r="D72" s="654"/>
      <c r="E72" s="34"/>
      <c r="F72" s="50">
        <f>IF(E69/0.95-E69&lt;E72,"Exceeds 5%","")</f>
      </c>
    </row>
    <row r="73" spans="2:5" ht="15.75">
      <c r="B73" s="435" t="str">
        <f>CONCATENATE(C90,"     ",D90)</f>
        <v>     </v>
      </c>
      <c r="C73" s="655" t="s">
        <v>643</v>
      </c>
      <c r="D73" s="656"/>
      <c r="E73" s="32">
        <f>E69+E72</f>
        <v>6000</v>
      </c>
    </row>
    <row r="74" spans="2:5" ht="15.75">
      <c r="B74" s="435" t="str">
        <f>CONCATENATE(C91,"     ",D91)</f>
        <v>     </v>
      </c>
      <c r="C74" s="60"/>
      <c r="D74" s="52" t="s">
        <v>28</v>
      </c>
      <c r="E74" s="46">
        <f>IF(E73-E58&gt;0,E73-E58,0)</f>
        <v>3981</v>
      </c>
    </row>
    <row r="75" spans="2:5" ht="15.75">
      <c r="B75" s="52"/>
      <c r="C75" s="439" t="s">
        <v>644</v>
      </c>
      <c r="D75" s="431">
        <f>inputOth!$E$40</f>
        <v>0</v>
      </c>
      <c r="E75" s="32">
        <f>ROUND(IF(D75&gt;0,(E74*D75),0),0)</f>
        <v>0</v>
      </c>
    </row>
    <row r="76" spans="2:5" ht="15.75">
      <c r="B76" s="14"/>
      <c r="C76" s="651" t="str">
        <f>CONCATENATE("Amount of  ",$E$1-1," Ad Valorem Tax")</f>
        <v>Amount of  2011 Ad Valorem Tax</v>
      </c>
      <c r="D76" s="652"/>
      <c r="E76" s="46">
        <f>E74+E75</f>
        <v>3981</v>
      </c>
    </row>
    <row r="77" spans="2:5" ht="15.75">
      <c r="B77" s="52" t="s">
        <v>9</v>
      </c>
      <c r="C77" s="600">
        <v>7</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8" sqref="B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6" t="s">
        <v>39</v>
      </c>
      <c r="C3" s="636"/>
      <c r="D3" s="636"/>
      <c r="E3" s="636"/>
      <c r="F3" s="636"/>
      <c r="G3" s="636"/>
      <c r="H3" s="636"/>
      <c r="I3" s="636"/>
    </row>
    <row r="4" spans="2:9" ht="15.75">
      <c r="B4" s="671" t="str">
        <f>inputPrYr!D2</f>
        <v>Fall River Township</v>
      </c>
      <c r="C4" s="671"/>
      <c r="D4" s="671"/>
      <c r="E4" s="671"/>
      <c r="F4" s="671"/>
      <c r="G4" s="671"/>
      <c r="H4" s="671"/>
      <c r="I4" s="671"/>
    </row>
    <row r="5" spans="2:9" ht="15.75">
      <c r="B5" s="671" t="str">
        <f>inputPrYr!D3</f>
        <v>Wilson County</v>
      </c>
      <c r="C5" s="671"/>
      <c r="D5" s="671"/>
      <c r="E5" s="671"/>
      <c r="F5" s="671"/>
      <c r="G5" s="671"/>
      <c r="H5" s="671"/>
      <c r="I5" s="671"/>
    </row>
    <row r="6" spans="2:9" ht="15.75">
      <c r="B6" s="670" t="str">
        <f>CONCATENATE("will meet on ",inputBudSum!B5," at ",inputBudSum!B7," at ",inputBudSum!B9," for the purpose of hearing and")</f>
        <v>will meet on August 15, 2011 at 7:00 p.m. at Chuck Ward's residence for the purpose of hearing and</v>
      </c>
      <c r="C6" s="670"/>
      <c r="D6" s="670"/>
      <c r="E6" s="670"/>
      <c r="F6" s="670"/>
      <c r="G6" s="670"/>
      <c r="H6" s="670"/>
      <c r="I6" s="670"/>
    </row>
    <row r="7" spans="2:9" ht="15.75">
      <c r="B7" s="158" t="s">
        <v>623</v>
      </c>
      <c r="C7" s="156"/>
      <c r="D7" s="156"/>
      <c r="E7" s="156"/>
      <c r="F7" s="156"/>
      <c r="G7" s="156"/>
      <c r="H7" s="156"/>
      <c r="I7" s="156"/>
    </row>
    <row r="8" spans="2:9" ht="15.75">
      <c r="B8" s="382" t="str">
        <f>CONCATENATE("Detailed budget information is available at ",inputBudSum!B12," and will be available at this hearing.")</f>
        <v>Detailed budget information is available at Chuck Ward's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40</v>
      </c>
      <c r="J14" s="160"/>
    </row>
    <row r="15" spans="2:10" ht="15.75">
      <c r="B15" s="14"/>
      <c r="C15" s="167"/>
      <c r="D15" s="167" t="s">
        <v>41</v>
      </c>
      <c r="E15" s="167"/>
      <c r="F15" s="167" t="s">
        <v>41</v>
      </c>
      <c r="G15" s="167" t="s">
        <v>218</v>
      </c>
      <c r="H15" s="668"/>
      <c r="I15" s="167" t="s">
        <v>41</v>
      </c>
      <c r="J15" s="160"/>
    </row>
    <row r="16" spans="2:10" ht="15.75">
      <c r="B16" s="25" t="s">
        <v>296</v>
      </c>
      <c r="C16" s="26" t="s">
        <v>42</v>
      </c>
      <c r="D16" s="26" t="s">
        <v>43</v>
      </c>
      <c r="E16" s="26" t="s">
        <v>42</v>
      </c>
      <c r="F16" s="26" t="s">
        <v>43</v>
      </c>
      <c r="G16" s="26" t="s">
        <v>745</v>
      </c>
      <c r="H16" s="669"/>
      <c r="I16" s="26" t="s">
        <v>43</v>
      </c>
      <c r="J16" s="160"/>
    </row>
    <row r="17" spans="2:10" ht="15.75">
      <c r="B17" s="96" t="str">
        <f>inputPrYr!B16</f>
        <v>General</v>
      </c>
      <c r="C17" s="67">
        <f>IF(gen!$C$50&lt;&gt;0,gen!$C$50,"  ")</f>
        <v>705</v>
      </c>
      <c r="D17" s="591">
        <f>IF(inputPrYr!D41&gt;0,inputPrYr!D41,"  ")</f>
        <v>0.143</v>
      </c>
      <c r="E17" s="32">
        <f>IF(gen!$D$50&lt;&gt;0,gen!$D$50,"  ")</f>
        <v>1900</v>
      </c>
      <c r="F17" s="253">
        <f>IF(inputOth!D17&gt;0,inputOth!D17,"  ")</f>
        <v>0.167</v>
      </c>
      <c r="G17" s="32">
        <f>IF(gen!$E$50&lt;&gt;0,gen!$E$50,"  ")</f>
        <v>5140</v>
      </c>
      <c r="H17" s="32">
        <f>IF(gen!$E$57&lt;&gt;0,gen!$E$57," ")</f>
        <v>971</v>
      </c>
      <c r="I17" s="593">
        <f>IF(gen!E57&gt;0,ROUND(H17/$G$35*1000,3)," ")</f>
        <v>0.274</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1" t="str">
        <f>CONCATENATE("Estimated Value Of One Mill For ",I1,"")</f>
        <v>Estimated Value Of One Mill For 2012</v>
      </c>
      <c r="L19" s="666"/>
      <c r="M19" s="666"/>
      <c r="N19" s="667"/>
    </row>
    <row r="20" spans="2:14" ht="15.75">
      <c r="B20" s="96" t="str">
        <f>IF(inputPrYr!$B19&gt;"  ",inputPrYr!$B19,"  ")</f>
        <v>Building</v>
      </c>
      <c r="C20" s="32">
        <f>IF('bldg-cem'!$C$32&lt;&gt;0,'bldg-cem'!$C$32,"  ")</f>
        <v>870</v>
      </c>
      <c r="D20" s="591">
        <f>IF(inputPrYr!D44&gt;0,inputPrYr!D44,"  ")</f>
        <v>0.22</v>
      </c>
      <c r="E20" s="32">
        <f>IF('bldg-cem'!$D$32&lt;&gt;0,'bldg-cem'!$D$32,"  ")</f>
        <v>326</v>
      </c>
      <c r="F20" s="253">
        <f>IF(inputOth!D20&gt;0,inputOth!D20,"  ")</f>
        <v>0.261</v>
      </c>
      <c r="G20" s="32">
        <f>IF('bldg-cem'!$E$32&lt;&gt;0,'bldg-cem'!$E$32,"  ")</f>
        <v>2300</v>
      </c>
      <c r="H20" s="32" t="str">
        <f>IF('bldg-cem'!$E$39&lt;&gt;0,'bldg-cem'!$E$39,"  ")</f>
        <v>  </v>
      </c>
      <c r="I20" s="593" t="str">
        <f>IF('bldg-cem'!E39&gt;0,ROUND(H20/$G$35*1000,3)," ")</f>
        <v> </v>
      </c>
      <c r="K20" s="567"/>
      <c r="L20" s="568"/>
      <c r="M20" s="568"/>
      <c r="N20" s="569"/>
    </row>
    <row r="21" spans="2:14" ht="15.75">
      <c r="B21" s="96" t="str">
        <f>IF(inputPrYr!$B20&gt;"  ",inputPrYr!$B20,"  ")</f>
        <v>Cemetery</v>
      </c>
      <c r="C21" s="32">
        <f>IF('bldg-cem'!$C$69&lt;&gt;0,'bldg-cem'!$C$69,"  ")</f>
        <v>3730</v>
      </c>
      <c r="D21" s="591">
        <f>IF(inputPrYr!D45&gt;0,inputPrYr!D45,"  ")</f>
        <v>0.89</v>
      </c>
      <c r="E21" s="32">
        <f>IF('bldg-cem'!$D$69&lt;&gt;0,'bldg-cem'!$D$69,"  ")</f>
        <v>5700</v>
      </c>
      <c r="F21" s="253">
        <f>IF(inputOth!D21&gt;0,inputOth!D21,"  ")</f>
        <v>0.987</v>
      </c>
      <c r="G21" s="32">
        <f>IF('bldg-cem'!$E$69&lt;&gt;0,'bldg-cem'!$E$69,"  ")</f>
        <v>6000</v>
      </c>
      <c r="H21" s="32">
        <f>IF('bldg-cem'!$E$76&lt;&gt;0,'bldg-cem'!$E$76,"  ")</f>
        <v>3981</v>
      </c>
      <c r="I21" s="593">
        <f>IF('bldg-cem'!E76&gt;0,ROUND(H21/$G$35*1000,3)," ")</f>
        <v>1.124</v>
      </c>
      <c r="K21" s="570" t="s">
        <v>742</v>
      </c>
      <c r="L21" s="571"/>
      <c r="M21" s="571"/>
      <c r="N21" s="572">
        <f>ROUND(G35/1000,0)</f>
        <v>3541</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1.415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t="str">
        <f>IF(N27&gt;0,"Increased By:","")</f>
        <v>Increased By:</v>
      </c>
      <c r="L27" s="578"/>
      <c r="M27" s="578"/>
      <c r="N27" s="584">
        <f>IF(N34&lt;0,N34*-1,0)</f>
        <v>58</v>
      </c>
    </row>
    <row r="28" spans="2:14" ht="15.75">
      <c r="B28" s="96" t="str">
        <f>IF((inputPrYr!$B33&gt;"  "),(nonbud!$A3),"  ")</f>
        <v>  </v>
      </c>
      <c r="C28" s="67" t="str">
        <f>IF((nonbud!$K$28)&lt;&gt;0,(nonbud!$K$28),"  ")</f>
        <v>  </v>
      </c>
      <c r="D28" s="168"/>
      <c r="E28" s="32"/>
      <c r="F28" s="168"/>
      <c r="G28" s="32"/>
      <c r="H28" s="32"/>
      <c r="I28" s="168"/>
      <c r="K28" s="585">
        <f>IF($N$28&lt;0,"Reduced By:","")</f>
      </c>
      <c r="L28" s="556"/>
      <c r="M28" s="556"/>
      <c r="N28" s="586">
        <f>IF(N34&gt;0,N34*-1,0)</f>
        <v>0</v>
      </c>
    </row>
    <row r="29" spans="2:14" ht="16.5" thickBot="1">
      <c r="B29" s="83" t="s">
        <v>298</v>
      </c>
      <c r="C29" s="529" t="str">
        <f>IF(road!C64&lt;&gt;0,road!C64,"  ")</f>
        <v>  </v>
      </c>
      <c r="D29" s="530"/>
      <c r="E29" s="592"/>
      <c r="F29" s="530"/>
      <c r="G29" s="592"/>
      <c r="H29" s="592"/>
      <c r="I29" s="530"/>
      <c r="K29" s="581"/>
      <c r="L29" s="581"/>
      <c r="M29" s="581"/>
      <c r="N29" s="581"/>
    </row>
    <row r="30" spans="2:14" ht="15.75">
      <c r="B30" s="83" t="s">
        <v>299</v>
      </c>
      <c r="C30" s="594">
        <f aca="true" t="shared" si="0" ref="C30:I30">SUM(C17:C29)</f>
        <v>5305</v>
      </c>
      <c r="D30" s="528">
        <f t="shared" si="0"/>
        <v>1.2530000000000001</v>
      </c>
      <c r="E30" s="594">
        <f t="shared" si="0"/>
        <v>7926</v>
      </c>
      <c r="F30" s="528">
        <f t="shared" si="0"/>
        <v>1.415</v>
      </c>
      <c r="G30" s="594">
        <f t="shared" si="0"/>
        <v>13440</v>
      </c>
      <c r="H30" s="594">
        <f t="shared" si="0"/>
        <v>4952</v>
      </c>
      <c r="I30" s="597">
        <f t="shared" si="0"/>
        <v>1.3980000000000001</v>
      </c>
      <c r="K30" s="661" t="str">
        <f>CONCATENATE("Impact On Keeping The Same Mill Rate As For ",I1-1,"")</f>
        <v>Impact On Keeping The Same Mill Rate As For 2011</v>
      </c>
      <c r="L30" s="662"/>
      <c r="M30" s="662"/>
      <c r="N30" s="663"/>
    </row>
    <row r="31" spans="2:14" ht="15.75">
      <c r="B31" s="83" t="s">
        <v>44</v>
      </c>
      <c r="C31" s="32">
        <f>transfer!C29</f>
        <v>0</v>
      </c>
      <c r="D31" s="14"/>
      <c r="E31" s="32">
        <f>transfer!D29</f>
        <v>0</v>
      </c>
      <c r="F31" s="62"/>
      <c r="G31" s="32">
        <f>transfer!E29</f>
        <v>2300</v>
      </c>
      <c r="H31" s="14"/>
      <c r="I31" s="14"/>
      <c r="K31" s="574"/>
      <c r="L31" s="568"/>
      <c r="M31" s="568"/>
      <c r="N31" s="575"/>
    </row>
    <row r="32" spans="2:14" ht="16.5" thickBot="1">
      <c r="B32" s="83" t="s">
        <v>45</v>
      </c>
      <c r="C32" s="595">
        <f>C30-C31</f>
        <v>5305</v>
      </c>
      <c r="D32" s="14"/>
      <c r="E32" s="595">
        <f>E30-E31</f>
        <v>7926</v>
      </c>
      <c r="F32" s="14"/>
      <c r="G32" s="595">
        <f>G30-G31</f>
        <v>11140</v>
      </c>
      <c r="H32" s="14"/>
      <c r="I32" s="14"/>
      <c r="K32" s="574" t="str">
        <f>CONCATENATE("",I1," Ad Valorem Tax Revenue:")</f>
        <v>2012 Ad Valorem Tax Revenue:</v>
      </c>
      <c r="L32" s="568"/>
      <c r="M32" s="568"/>
      <c r="N32" s="569">
        <f>H30</f>
        <v>4952</v>
      </c>
    </row>
    <row r="33" spans="2:14" ht="16.5" thickTop="1">
      <c r="B33" s="83" t="s">
        <v>46</v>
      </c>
      <c r="C33" s="596">
        <f>inputPrYr!E52</f>
        <v>4791</v>
      </c>
      <c r="D33" s="62"/>
      <c r="E33" s="596">
        <f>inputPrYr!E25</f>
        <v>4829</v>
      </c>
      <c r="F33" s="14"/>
      <c r="G33" s="587" t="s">
        <v>300</v>
      </c>
      <c r="H33" s="14"/>
      <c r="I33" s="14"/>
      <c r="K33" s="574" t="str">
        <f>CONCATENATE("",I1-1," Ad Valorem Tax Revenue:")</f>
        <v>2011 Ad Valorem Tax Revenue:</v>
      </c>
      <c r="L33" s="568"/>
      <c r="M33" s="568"/>
      <c r="N33" s="582">
        <f>ROUND(G35*N25/1000,0)</f>
        <v>5010</v>
      </c>
    </row>
    <row r="34" spans="2:14" ht="15.75">
      <c r="B34" s="279" t="s">
        <v>47</v>
      </c>
      <c r="C34" s="55"/>
      <c r="D34" s="62"/>
      <c r="E34" s="55"/>
      <c r="F34" s="62"/>
      <c r="G34" s="14"/>
      <c r="H34" s="14"/>
      <c r="I34" s="14"/>
      <c r="K34" s="579" t="s">
        <v>743</v>
      </c>
      <c r="L34" s="580"/>
      <c r="M34" s="580"/>
      <c r="N34" s="572">
        <f>N32-N33</f>
        <v>-58</v>
      </c>
    </row>
    <row r="35" spans="2:14" ht="15.75">
      <c r="B35" s="605" t="s">
        <v>48</v>
      </c>
      <c r="C35" s="31">
        <f>inputPrYr!E53</f>
        <v>3827164</v>
      </c>
      <c r="D35" s="14"/>
      <c r="E35" s="32">
        <f>inputOth!E28</f>
        <v>3414488</v>
      </c>
      <c r="F35" s="14"/>
      <c r="G35" s="32">
        <f>inputOth!E7</f>
        <v>3540921</v>
      </c>
      <c r="H35" s="14"/>
      <c r="I35" s="14"/>
      <c r="K35" s="573"/>
      <c r="L35" s="573"/>
      <c r="M35" s="573"/>
      <c r="N35" s="581"/>
    </row>
    <row r="36" spans="2:14" ht="15.75">
      <c r="B36" s="22" t="s">
        <v>49</v>
      </c>
      <c r="C36" s="14"/>
      <c r="D36" s="14"/>
      <c r="E36" s="14"/>
      <c r="F36" s="14"/>
      <c r="G36" s="14"/>
      <c r="H36" s="14"/>
      <c r="I36" s="14"/>
      <c r="K36" s="661" t="s">
        <v>744</v>
      </c>
      <c r="L36" s="664"/>
      <c r="M36" s="664"/>
      <c r="N36" s="665"/>
    </row>
    <row r="37" spans="2:14" ht="15.75">
      <c r="B37" s="22" t="s">
        <v>50</v>
      </c>
      <c r="C37" s="171">
        <f>I1-3</f>
        <v>2009</v>
      </c>
      <c r="D37" s="14"/>
      <c r="E37" s="171">
        <f>I1-2</f>
        <v>2010</v>
      </c>
      <c r="F37" s="14"/>
      <c r="G37" s="171">
        <f>I1-1</f>
        <v>2011</v>
      </c>
      <c r="H37" s="14"/>
      <c r="I37" s="14"/>
      <c r="K37" s="574"/>
      <c r="L37" s="568"/>
      <c r="M37" s="568"/>
      <c r="N37" s="575"/>
    </row>
    <row r="38" spans="2:14" ht="15.75">
      <c r="B38" s="22" t="s">
        <v>51</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1.3980000000000001</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795</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52</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56" ht="18.75">
      <c r="B56" s="611"/>
    </row>
    <row r="57" ht="18.75">
      <c r="B57" s="611"/>
    </row>
    <row r="58" ht="18.75">
      <c r="B58" s="611"/>
    </row>
    <row r="59" ht="18.75">
      <c r="B59" s="611"/>
    </row>
    <row r="60" ht="18.75">
      <c r="B60" s="61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Fall River Township</v>
      </c>
      <c r="C1" s="14"/>
      <c r="D1" s="14"/>
      <c r="E1" s="61">
        <f>inputPrYr!$D$5</f>
        <v>2012</v>
      </c>
    </row>
    <row r="2" spans="2:5" ht="15.75">
      <c r="B2" s="14"/>
      <c r="C2" s="14"/>
      <c r="D2" s="14"/>
      <c r="E2" s="52"/>
    </row>
    <row r="3" spans="2:5" ht="15.75">
      <c r="B3" s="17"/>
      <c r="C3" s="62"/>
      <c r="D3" s="62"/>
      <c r="E3" s="63"/>
    </row>
    <row r="4" spans="2:5" ht="15.75">
      <c r="B4" s="602" t="s">
        <v>746</v>
      </c>
      <c r="C4" s="64"/>
      <c r="D4" s="64"/>
      <c r="E4" s="64"/>
    </row>
    <row r="5" spans="2:5" ht="15.75">
      <c r="B5" s="22" t="s">
        <v>10</v>
      </c>
      <c r="C5" s="415" t="s">
        <v>11</v>
      </c>
      <c r="D5" s="418" t="s">
        <v>12</v>
      </c>
      <c r="E5" s="23" t="s">
        <v>13</v>
      </c>
    </row>
    <row r="6" spans="2:5" ht="15.75">
      <c r="B6" s="24" t="s">
        <v>310</v>
      </c>
      <c r="C6" s="416" t="str">
        <f>CONCATENATE("Actual ",$E$1-2,"")</f>
        <v>Actual 2010</v>
      </c>
      <c r="D6" s="416" t="str">
        <f>CONCATENATE("Estimate ",$E$1-1,"")</f>
        <v>Estimate 2011</v>
      </c>
      <c r="E6" s="26" t="str">
        <f>CONCATENATE("Year ",$E$1,"")</f>
        <v>Year 2012</v>
      </c>
    </row>
    <row r="7" spans="2:5" ht="15.75">
      <c r="B7" s="27" t="s">
        <v>147</v>
      </c>
      <c r="C7" s="422"/>
      <c r="D7" s="420">
        <f>C54</f>
        <v>0</v>
      </c>
      <c r="E7" s="65">
        <f>D54</f>
        <v>0</v>
      </c>
    </row>
    <row r="8" spans="2:5" ht="15.75">
      <c r="B8" s="27" t="s">
        <v>124</v>
      </c>
      <c r="C8" s="421"/>
      <c r="D8" s="420"/>
      <c r="E8" s="65"/>
    </row>
    <row r="9" spans="2:5" ht="15.75">
      <c r="B9" s="27" t="s">
        <v>16</v>
      </c>
      <c r="C9" s="29"/>
      <c r="D9" s="421">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2"/>
      <c r="D27" s="422"/>
      <c r="E27" s="66"/>
    </row>
    <row r="28" spans="2:5" ht="15.75">
      <c r="B28" s="39" t="s">
        <v>223</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2"/>
      <c r="D51" s="422"/>
      <c r="E51" s="66"/>
    </row>
    <row r="52" spans="2:9" ht="15.75">
      <c r="B52" s="35" t="s">
        <v>641</v>
      </c>
      <c r="C52" s="414">
        <f>IF(C53*0.1&lt;C51,"Exceed 10% Rule","")</f>
      </c>
      <c r="D52" s="414">
        <f>IF(D53*0.1&lt;D51,"Exceed 10% Rule","")</f>
      </c>
      <c r="E52" s="45">
        <f>IF(E53*0.1&lt;E51,"Exceed 10% Rule","")</f>
      </c>
      <c r="G52" s="672" t="str">
        <f>CONCATENATE("Projected Carryover Into ",E1+1,"")</f>
        <v>Projected Carryover Into 2013</v>
      </c>
      <c r="H52" s="673"/>
      <c r="I52" s="674"/>
    </row>
    <row r="53" spans="2:9" ht="15.75">
      <c r="B53" s="43" t="s">
        <v>26</v>
      </c>
      <c r="C53" s="423">
        <f>SUM(C32:C51)</f>
        <v>0</v>
      </c>
      <c r="D53" s="423">
        <f>SUM(D32:D51)</f>
        <v>0</v>
      </c>
      <c r="E53" s="72">
        <f>SUM(E32:E51)</f>
        <v>0</v>
      </c>
      <c r="G53" s="533"/>
      <c r="H53" s="534"/>
      <c r="I53" s="535"/>
    </row>
    <row r="54" spans="2:9" ht="15.75">
      <c r="B54" s="27" t="s">
        <v>123</v>
      </c>
      <c r="C54" s="424">
        <f>C30-C53</f>
        <v>0</v>
      </c>
      <c r="D54" s="424">
        <f>D30-D53</f>
        <v>0</v>
      </c>
      <c r="E54" s="33" t="s">
        <v>300</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300</v>
      </c>
      <c r="F55" s="50"/>
      <c r="G55" s="560">
        <f>E29</f>
        <v>0</v>
      </c>
      <c r="H55" s="562" t="str">
        <f>CONCATENATE("",E1," Non-AV Receipts (est.)")</f>
        <v>2012 Non-AV Receipts (est.)</v>
      </c>
      <c r="I55" s="535"/>
    </row>
    <row r="56" spans="2:9" ht="15.75">
      <c r="B56" s="48"/>
      <c r="C56" s="653" t="s">
        <v>642</v>
      </c>
      <c r="D56" s="654"/>
      <c r="E56" s="34"/>
      <c r="F56" s="532">
        <f>IF(E53/0.95-E53&lt;E56,"Exceeds 5%","")</f>
      </c>
      <c r="G56" s="563">
        <f>E60</f>
        <v>0</v>
      </c>
      <c r="H56" s="562" t="str">
        <f>CONCATENATE("",E1," Ad Valorem Tax (est.)")</f>
        <v>2012 Ad Valorem Tax (est.)</v>
      </c>
      <c r="I56" s="535"/>
    </row>
    <row r="57" spans="2:9" ht="15.75">
      <c r="B57" s="435" t="str">
        <f>CONCATENATE(C72,"     ",D72)</f>
        <v>     </v>
      </c>
      <c r="C57" s="655" t="s">
        <v>643</v>
      </c>
      <c r="D57" s="656"/>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644</v>
      </c>
      <c r="D59" s="431">
        <f>inputOth!$E$40</f>
        <v>0</v>
      </c>
      <c r="E59" s="32">
        <f>ROUND(IF(D59&gt;0,(E58*D59),0),0)</f>
        <v>0</v>
      </c>
      <c r="G59" s="563">
        <f>C53</f>
        <v>0</v>
      </c>
      <c r="H59" s="562" t="str">
        <f>CONCATENATE("Less ",E1-2," Expenditures")</f>
        <v>Less 2010 Expenditures</v>
      </c>
      <c r="I59" s="535"/>
    </row>
    <row r="60" spans="2:9" ht="15.75">
      <c r="B60" s="14"/>
      <c r="C60" s="651" t="str">
        <f>CONCATENATE("Amount of  ",$E$1-1," Ad Valorem Tax")</f>
        <v>Amount of  2011 Ad Valorem Tax</v>
      </c>
      <c r="D60" s="652"/>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Fall River Township</v>
      </c>
      <c r="C1" s="14"/>
      <c r="D1" s="14"/>
      <c r="E1" s="15">
        <f>inputPrYr!D5</f>
        <v>2012</v>
      </c>
    </row>
    <row r="2" spans="2:5" ht="15.75">
      <c r="B2" s="17"/>
      <c r="C2" s="14"/>
      <c r="D2" s="62"/>
      <c r="E2" s="63"/>
    </row>
    <row r="3" spans="2:5" ht="15.75">
      <c r="B3" s="602" t="s">
        <v>746</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122</v>
      </c>
      <c r="C6" s="29"/>
      <c r="D6" s="417">
        <f>C44</f>
        <v>0</v>
      </c>
      <c r="E6" s="32">
        <f>D44</f>
        <v>0</v>
      </c>
    </row>
    <row r="7" spans="2:5" ht="15.75">
      <c r="B7" s="27" t="s">
        <v>124</v>
      </c>
      <c r="C7" s="417"/>
      <c r="D7" s="417"/>
      <c r="E7" s="33"/>
    </row>
    <row r="8" spans="2:5" ht="15.75">
      <c r="B8" s="27" t="s">
        <v>16</v>
      </c>
      <c r="C8" s="29"/>
      <c r="D8" s="417">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645</v>
      </c>
      <c r="C39" s="425">
        <f>IF(C24*0.25&lt;C38,"Not Authorized","")</f>
      </c>
      <c r="D39" s="425">
        <f>IF(D24*0.25&lt;D38,"Not Authorized","")</f>
      </c>
      <c r="E39" s="78">
        <f>IF(E24*0.25+E50&lt;E38,"Not Authorized","")</f>
      </c>
      <c r="G39" s="657" t="str">
        <f>CONCATENATE("Projected Carryover Into ",E1+1,"")</f>
        <v>Projected Carryover Into 2013</v>
      </c>
      <c r="H39" s="658"/>
      <c r="I39" s="658"/>
      <c r="J39" s="639"/>
    </row>
    <row r="40" spans="2:10" ht="15.75">
      <c r="B40" s="35" t="s">
        <v>224</v>
      </c>
      <c r="C40" s="29"/>
      <c r="D40" s="29"/>
      <c r="E40" s="46">
        <f>nhood!E8</f>
      </c>
      <c r="G40" s="533"/>
      <c r="H40" s="534"/>
      <c r="I40" s="534"/>
      <c r="J40" s="535"/>
    </row>
    <row r="41" spans="2:10" ht="15.75">
      <c r="B41" s="35" t="s">
        <v>222</v>
      </c>
      <c r="C41" s="29"/>
      <c r="D41" s="29"/>
      <c r="E41" s="34"/>
      <c r="G41" s="536">
        <f>D44</f>
        <v>0</v>
      </c>
      <c r="H41" s="537" t="str">
        <f>CONCATENATE("",E1-1," Ending Cash Balance (est.)")</f>
        <v>2011 Ending Cash Balance (est.)</v>
      </c>
      <c r="I41" s="538"/>
      <c r="J41" s="535"/>
    </row>
    <row r="42" spans="2:10" ht="15.75">
      <c r="B42" s="35" t="s">
        <v>641</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123</v>
      </c>
      <c r="C44" s="412">
        <f>C24-C43</f>
        <v>0</v>
      </c>
      <c r="D44" s="412">
        <f>D24-D43</f>
        <v>0</v>
      </c>
      <c r="E44" s="33" t="s">
        <v>300</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300</v>
      </c>
      <c r="F45" s="50"/>
      <c r="G45" s="541"/>
      <c r="H45" s="539"/>
      <c r="I45" s="539"/>
      <c r="J45" s="535"/>
    </row>
    <row r="46" spans="2:10" ht="15.75">
      <c r="B46" s="48"/>
      <c r="C46" s="653" t="s">
        <v>642</v>
      </c>
      <c r="D46" s="654"/>
      <c r="E46" s="34"/>
      <c r="F46" s="532">
        <f>IF(E43/0.95-E43&lt;E46,"Exceeds 5%","")</f>
      </c>
      <c r="G46" s="540">
        <f>C43*0.05+C43</f>
        <v>0</v>
      </c>
      <c r="H46" s="539" t="str">
        <f>CONCATENATE("Less ",E1-2," Expenditures + 5%")</f>
        <v>Less 2010 Expenditures + 5%</v>
      </c>
      <c r="I46" s="538"/>
      <c r="J46" s="535"/>
    </row>
    <row r="47" spans="2:10" ht="15.75">
      <c r="B47" s="435" t="str">
        <f>CONCATENATE(C74,"     ",D74)</f>
        <v>     </v>
      </c>
      <c r="C47" s="655" t="s">
        <v>643</v>
      </c>
      <c r="D47" s="656"/>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644</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1" t="str">
        <f>CONCATENATE("Amount of  ",$E$1-1," Ad Valorem Tax")</f>
        <v>Amount of  2011 Ad Valorem Tax</v>
      </c>
      <c r="D50" s="652"/>
      <c r="E50" s="46">
        <f>E48+E49</f>
        <v>0</v>
      </c>
      <c r="G50" s="549"/>
      <c r="H50" s="549"/>
      <c r="I50" s="549"/>
      <c r="J50" s="549"/>
    </row>
    <row r="51" spans="2:10" ht="15.75">
      <c r="B51" s="14"/>
      <c r="C51" s="14"/>
      <c r="D51" s="14"/>
      <c r="E51" s="14"/>
      <c r="G51" s="657" t="str">
        <f>CONCATENATE("Desired Carryover Into ",E1+1,"")</f>
        <v>Desired Carryover Into 2013</v>
      </c>
      <c r="H51" s="659"/>
      <c r="I51" s="659"/>
      <c r="J51" s="639"/>
    </row>
    <row r="52" spans="2:10" ht="15.75">
      <c r="B52" s="14"/>
      <c r="C52" s="14"/>
      <c r="D52" s="14"/>
      <c r="E52" s="14"/>
      <c r="G52" s="550"/>
      <c r="H52" s="534"/>
      <c r="I52" s="539"/>
      <c r="J52" s="551"/>
    </row>
    <row r="53" spans="2:10" ht="15.75">
      <c r="B53" s="79" t="s">
        <v>30</v>
      </c>
      <c r="C53" s="81"/>
      <c r="D53" s="14"/>
      <c r="E53" s="14"/>
      <c r="G53" s="552" t="s">
        <v>740</v>
      </c>
      <c r="H53" s="539"/>
      <c r="I53" s="539"/>
      <c r="J53" s="553">
        <v>0</v>
      </c>
    </row>
    <row r="54" spans="2:10" ht="15.75">
      <c r="B54" s="82" t="s">
        <v>31</v>
      </c>
      <c r="C54" s="440" t="str">
        <f>CONCATENATE("",E1-2," Actual Year")</f>
        <v>2010 Actual Year</v>
      </c>
      <c r="D54" s="14"/>
      <c r="E54" s="14"/>
      <c r="G54" s="550" t="s">
        <v>741</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257</v>
      </c>
      <c r="C58" s="438">
        <f>gen!C43</f>
        <v>0</v>
      </c>
      <c r="D58" s="675">
        <f>IF(AND(C58&gt;0,C59&gt;0),"Not Auth. Two General Transfers - Only One","")</f>
      </c>
      <c r="E58" s="676"/>
    </row>
    <row r="59" spans="2:5" ht="15.75">
      <c r="B59" s="86" t="s">
        <v>258</v>
      </c>
      <c r="C59" s="438">
        <f>gen!C45</f>
        <v>0</v>
      </c>
      <c r="D59" s="677"/>
      <c r="E59" s="676"/>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 River Township</v>
      </c>
      <c r="C1" s="14"/>
      <c r="D1" s="14"/>
      <c r="E1" s="15">
        <f>inputPrYr!D5</f>
        <v>2012</v>
      </c>
    </row>
    <row r="2" spans="2:5" ht="15.75">
      <c r="B2" s="17"/>
      <c r="C2" s="14"/>
      <c r="D2" s="62"/>
      <c r="E2" s="93"/>
    </row>
    <row r="3" spans="2:5" ht="15.75">
      <c r="B3" s="602" t="s">
        <v>746</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3" t="s">
        <v>642</v>
      </c>
      <c r="D35" s="654"/>
      <c r="E35" s="34"/>
      <c r="F35" s="50">
        <f>IF(E32/0.95-E32&lt;E35,"Exceeds 5%","")</f>
      </c>
    </row>
    <row r="36" spans="2:5" ht="15.75">
      <c r="B36" s="435" t="str">
        <f>CONCATENATE(C88,"     ",D88)</f>
        <v>     </v>
      </c>
      <c r="C36" s="655" t="s">
        <v>643</v>
      </c>
      <c r="D36" s="656"/>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3" t="s">
        <v>642</v>
      </c>
      <c r="D72" s="654"/>
      <c r="E72" s="601"/>
      <c r="F72" s="50">
        <f>IF(E69/0.95-E69&lt;E72,"Exceeds 5%","")</f>
      </c>
    </row>
    <row r="73" spans="2:6" ht="15.75">
      <c r="B73" s="435" t="str">
        <f>CONCATENATE(C90,"     ",D90)</f>
        <v>     </v>
      </c>
      <c r="C73" s="655" t="s">
        <v>643</v>
      </c>
      <c r="D73" s="656"/>
      <c r="E73" s="32">
        <f>E69+E72</f>
        <v>0</v>
      </c>
      <c r="F73" s="50"/>
    </row>
    <row r="74" spans="2:5" ht="15.75">
      <c r="B74" s="435" t="str">
        <f>CONCATENATE(C91,"     ",D91)</f>
        <v>     </v>
      </c>
      <c r="C74" s="60"/>
      <c r="D74" s="52" t="s">
        <v>28</v>
      </c>
      <c r="E74" s="46">
        <f>IF(E73-E58&gt;0,E73-E58,0)</f>
        <v>0</v>
      </c>
    </row>
    <row r="75" spans="2:5" ht="15.75">
      <c r="B75" s="52"/>
      <c r="C75" s="439" t="s">
        <v>644</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 River Township</v>
      </c>
      <c r="C1" s="14"/>
      <c r="D1" s="14"/>
      <c r="E1" s="15">
        <f>inputPrYr!D5</f>
        <v>2012</v>
      </c>
    </row>
    <row r="2" spans="2:5" ht="15.75">
      <c r="B2" s="17"/>
      <c r="C2" s="14"/>
      <c r="D2" s="62"/>
      <c r="E2" s="63"/>
    </row>
    <row r="3" spans="2:5" ht="15.75">
      <c r="B3" s="602" t="s">
        <v>746</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3" t="s">
        <v>642</v>
      </c>
      <c r="D35" s="654"/>
      <c r="E35" s="34"/>
      <c r="F35" s="50">
        <f>IF(E32/0.95-E32&lt;E35,"Exceeds 5%","")</f>
      </c>
    </row>
    <row r="36" spans="2:5" ht="15.75">
      <c r="B36" s="435" t="str">
        <f>CONCATENATE(C88,"     ",D88)</f>
        <v>     </v>
      </c>
      <c r="C36" s="655" t="s">
        <v>643</v>
      </c>
      <c r="D36" s="656"/>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3" t="s">
        <v>642</v>
      </c>
      <c r="D72" s="654"/>
      <c r="E72" s="34"/>
      <c r="F72" s="50">
        <f>IF(E69/0.95-E69&lt;E72,"Exceeds 5%","")</f>
      </c>
    </row>
    <row r="73" spans="2:5" ht="15.75">
      <c r="B73" s="48"/>
      <c r="C73" s="655" t="s">
        <v>643</v>
      </c>
      <c r="D73" s="656"/>
      <c r="E73" s="32">
        <f>E69+E72</f>
        <v>0</v>
      </c>
    </row>
    <row r="74" spans="2:5" ht="15.75">
      <c r="B74" s="48"/>
      <c r="C74" s="60"/>
      <c r="D74" s="52" t="s">
        <v>28</v>
      </c>
      <c r="E74" s="46">
        <f>IF(E73-E58&gt;0,E73-E58,0)</f>
        <v>0</v>
      </c>
    </row>
    <row r="75" spans="2:5" ht="15.75">
      <c r="B75" s="52"/>
      <c r="C75" s="439" t="s">
        <v>644</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Fall River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Fall River Township</v>
      </c>
      <c r="B1" s="100"/>
      <c r="C1" s="101"/>
      <c r="D1" s="101"/>
      <c r="E1" s="101"/>
      <c r="F1" s="102" t="s">
        <v>335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336</v>
      </c>
      <c r="B3" s="101"/>
      <c r="C3" s="101"/>
      <c r="D3" s="101"/>
      <c r="E3" s="101"/>
      <c r="F3" s="100"/>
      <c r="G3" s="101"/>
      <c r="H3" s="101"/>
      <c r="I3" s="101"/>
      <c r="J3" s="101"/>
      <c r="K3" s="101"/>
    </row>
    <row r="4" spans="1:11" ht="15.75">
      <c r="A4" s="101" t="s">
        <v>337</v>
      </c>
      <c r="B4" s="101"/>
      <c r="C4" s="101" t="s">
        <v>338</v>
      </c>
      <c r="D4" s="101"/>
      <c r="E4" s="101" t="s">
        <v>339</v>
      </c>
      <c r="F4" s="100"/>
      <c r="G4" s="101" t="s">
        <v>340</v>
      </c>
      <c r="H4" s="101"/>
      <c r="I4" s="101" t="s">
        <v>341</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342</v>
      </c>
      <c r="B6" s="107"/>
      <c r="C6" s="108" t="s">
        <v>342</v>
      </c>
      <c r="D6" s="109"/>
      <c r="E6" s="108" t="s">
        <v>342</v>
      </c>
      <c r="F6" s="110"/>
      <c r="G6" s="108" t="s">
        <v>342</v>
      </c>
      <c r="H6" s="104"/>
      <c r="I6" s="108" t="s">
        <v>342</v>
      </c>
      <c r="J6" s="101"/>
      <c r="K6" s="111" t="s">
        <v>286</v>
      </c>
    </row>
    <row r="7" spans="1:11" ht="15.75">
      <c r="A7" s="112" t="s">
        <v>343</v>
      </c>
      <c r="B7" s="113"/>
      <c r="C7" s="114" t="s">
        <v>343</v>
      </c>
      <c r="D7" s="113"/>
      <c r="E7" s="114" t="s">
        <v>343</v>
      </c>
      <c r="F7" s="113"/>
      <c r="G7" s="114" t="s">
        <v>343</v>
      </c>
      <c r="H7" s="113"/>
      <c r="I7" s="114" t="s">
        <v>343</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344</v>
      </c>
      <c r="B29" s="115">
        <f>SUM(B18-B28)</f>
        <v>0</v>
      </c>
      <c r="C29" s="116" t="s">
        <v>344</v>
      </c>
      <c r="D29" s="115">
        <f>SUM(D18-D28)</f>
        <v>0</v>
      </c>
      <c r="E29" s="116" t="s">
        <v>344</v>
      </c>
      <c r="F29" s="115">
        <f>SUM(F18-F28)</f>
        <v>0</v>
      </c>
      <c r="G29" s="116" t="s">
        <v>344</v>
      </c>
      <c r="H29" s="115">
        <f>SUM(H18-H28)</f>
        <v>0</v>
      </c>
      <c r="I29" s="116" t="s">
        <v>344</v>
      </c>
      <c r="J29" s="115">
        <f>SUM(J18-J28)</f>
        <v>0</v>
      </c>
      <c r="K29" s="130">
        <f>SUM(B29+D29+F29+H29+J29)</f>
        <v>0</v>
      </c>
      <c r="L29" s="91" t="s">
        <v>345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345</v>
      </c>
    </row>
    <row r="31" spans="1:11" ht="15.75">
      <c r="A31" s="101"/>
      <c r="B31" s="131"/>
      <c r="C31" s="101"/>
      <c r="D31" s="100"/>
      <c r="E31" s="101"/>
      <c r="F31" s="101"/>
      <c r="G31" s="132" t="s">
        <v>346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18" sqref="D1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7" t="s">
        <v>813</v>
      </c>
      <c r="E2" s="19"/>
    </row>
    <row r="3" spans="1:5" ht="15.75">
      <c r="A3" s="79" t="s">
        <v>235</v>
      </c>
      <c r="B3" s="14"/>
      <c r="C3" s="14"/>
      <c r="D3" s="408" t="s">
        <v>812</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207</v>
      </c>
      <c r="B8" s="159"/>
      <c r="C8" s="159"/>
      <c r="D8" s="159"/>
      <c r="E8" s="159"/>
    </row>
    <row r="9" spans="1:5" ht="15.75">
      <c r="A9" s="14"/>
      <c r="B9" s="14"/>
      <c r="C9" s="14"/>
      <c r="D9" s="14"/>
      <c r="E9" s="14"/>
    </row>
    <row r="10" spans="1:5" ht="15.75">
      <c r="A10" s="614" t="s">
        <v>161</v>
      </c>
      <c r="B10" s="615"/>
      <c r="C10" s="615"/>
      <c r="D10" s="615"/>
      <c r="E10" s="615"/>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325</v>
      </c>
      <c r="B14" s="336"/>
      <c r="C14" s="49"/>
      <c r="D14" s="337">
        <f>$D$5-1</f>
        <v>2011</v>
      </c>
      <c r="E14" s="338">
        <f>$D$5-2</f>
        <v>2010</v>
      </c>
    </row>
    <row r="15" spans="1:5" ht="15.75">
      <c r="A15" s="22" t="s">
        <v>282</v>
      </c>
      <c r="B15" s="14"/>
      <c r="C15" s="339" t="s">
        <v>281</v>
      </c>
      <c r="D15" s="340" t="s">
        <v>353</v>
      </c>
      <c r="E15" s="341" t="s">
        <v>16</v>
      </c>
    </row>
    <row r="16" spans="1:5" ht="15.75">
      <c r="A16" s="14"/>
      <c r="B16" s="83" t="s">
        <v>283</v>
      </c>
      <c r="C16" s="172" t="s">
        <v>284</v>
      </c>
      <c r="D16" s="200">
        <v>2600</v>
      </c>
      <c r="E16" s="200">
        <v>569</v>
      </c>
    </row>
    <row r="17" spans="1:5" ht="15.75">
      <c r="A17" s="14"/>
      <c r="B17" s="83"/>
      <c r="C17" s="172"/>
      <c r="D17" s="200"/>
      <c r="E17" s="200"/>
    </row>
    <row r="18" spans="1:5" ht="15.75">
      <c r="A18" s="14"/>
      <c r="B18" s="83"/>
      <c r="C18" s="192"/>
      <c r="D18" s="200"/>
      <c r="E18" s="200"/>
    </row>
    <row r="19" spans="1:5" ht="15.75">
      <c r="A19" s="14"/>
      <c r="B19" s="409" t="s">
        <v>814</v>
      </c>
      <c r="C19" s="410" t="s">
        <v>284</v>
      </c>
      <c r="D19" s="200">
        <v>1700</v>
      </c>
      <c r="E19" s="200">
        <v>891</v>
      </c>
    </row>
    <row r="20" spans="1:5" ht="15.75">
      <c r="A20" s="14"/>
      <c r="B20" s="200" t="s">
        <v>815</v>
      </c>
      <c r="C20" s="428" t="s">
        <v>284</v>
      </c>
      <c r="D20" s="200">
        <v>5700</v>
      </c>
      <c r="E20" s="200">
        <v>3369</v>
      </c>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4829</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10000</v>
      </c>
      <c r="E30" s="14"/>
    </row>
    <row r="31" spans="1:5" ht="15.75">
      <c r="A31" s="14"/>
      <c r="B31" s="14"/>
      <c r="C31" s="14"/>
      <c r="D31" s="14"/>
      <c r="E31" s="14"/>
    </row>
    <row r="32" spans="1:5" ht="15.75">
      <c r="A32" s="300" t="s">
        <v>347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2" t="str">
        <f>CONCATENATE("",D5-3," Tax Rate                    (",D5-2," Column)")</f>
        <v>2009 Tax Rate                    (2010 Column)</v>
      </c>
      <c r="E39" s="14"/>
    </row>
    <row r="40" spans="1:5" ht="15.75">
      <c r="A40" s="335" t="str">
        <f>CONCATENATE("the ",D5-1," Budget, Budget Summary Page:")</f>
        <v>the 2011 Budget, Budget Summary Page:</v>
      </c>
      <c r="B40" s="307"/>
      <c r="C40" s="14"/>
      <c r="D40" s="613"/>
      <c r="E40" s="14"/>
    </row>
    <row r="41" spans="1:5" ht="15.75">
      <c r="A41" s="14"/>
      <c r="B41" s="96" t="str">
        <f aca="true" t="shared" si="0" ref="B41:B49">B16</f>
        <v>General</v>
      </c>
      <c r="C41" s="14"/>
      <c r="D41" s="347">
        <v>0.143</v>
      </c>
      <c r="E41" s="14"/>
    </row>
    <row r="42" spans="1:5" ht="15.75">
      <c r="A42" s="14"/>
      <c r="B42" s="96">
        <f t="shared" si="0"/>
        <v>0</v>
      </c>
      <c r="C42" s="14"/>
      <c r="D42" s="348"/>
      <c r="E42" s="14"/>
    </row>
    <row r="43" spans="1:5" ht="15.75">
      <c r="A43" s="14"/>
      <c r="B43" s="96">
        <f t="shared" si="0"/>
        <v>0</v>
      </c>
      <c r="C43" s="14"/>
      <c r="D43" s="348"/>
      <c r="E43" s="14"/>
    </row>
    <row r="44" spans="1:5" ht="15.75">
      <c r="A44" s="14"/>
      <c r="B44" s="83" t="str">
        <f t="shared" si="0"/>
        <v>Building</v>
      </c>
      <c r="C44" s="14"/>
      <c r="D44" s="348">
        <v>0.22</v>
      </c>
      <c r="E44" s="14"/>
    </row>
    <row r="45" spans="1:5" ht="15.75">
      <c r="A45" s="14"/>
      <c r="B45" s="83" t="str">
        <f t="shared" si="0"/>
        <v>Cemetery</v>
      </c>
      <c r="C45" s="14"/>
      <c r="D45" s="348">
        <v>0.89</v>
      </c>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1.2530000000000001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4791</v>
      </c>
    </row>
    <row r="53" spans="1:5" ht="15.75">
      <c r="A53" s="353" t="str">
        <f>CONCATENATE("Assessed Valuation (",D5-2," budget column)")</f>
        <v>Assessed Valuation (2010 budget column)</v>
      </c>
      <c r="B53" s="354"/>
      <c r="C53" s="291"/>
      <c r="D53" s="28"/>
      <c r="E53" s="200">
        <v>3827164</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v>0</v>
      </c>
      <c r="E57" s="36">
        <v>0</v>
      </c>
    </row>
    <row r="58" spans="1:5" ht="15.75">
      <c r="A58" s="354" t="s">
        <v>171</v>
      </c>
      <c r="B58" s="354"/>
      <c r="C58" s="357"/>
      <c r="D58" s="36">
        <v>0</v>
      </c>
      <c r="E58" s="36">
        <v>0</v>
      </c>
    </row>
    <row r="59" spans="1:5" ht="15.75">
      <c r="A59" s="354" t="s">
        <v>172</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354</v>
      </c>
    </row>
    <row r="2" ht="54.75" customHeight="1">
      <c r="A2" s="176" t="s">
        <v>355</v>
      </c>
    </row>
    <row r="3" ht="15.75">
      <c r="A3" s="177"/>
    </row>
    <row r="4" ht="56.25" customHeight="1">
      <c r="A4" s="176" t="s">
        <v>356</v>
      </c>
    </row>
    <row r="5" ht="15.75">
      <c r="A5" s="91"/>
    </row>
    <row r="6" ht="50.25" customHeight="1">
      <c r="A6" s="176" t="s">
        <v>357</v>
      </c>
    </row>
    <row r="7" ht="16.5" customHeight="1">
      <c r="A7" s="176"/>
    </row>
    <row r="8" ht="50.25" customHeight="1">
      <c r="A8" s="531" t="s">
        <v>739</v>
      </c>
    </row>
    <row r="9" ht="15.75">
      <c r="A9" s="177"/>
    </row>
    <row r="10" ht="40.5" customHeight="1">
      <c r="A10" s="176" t="s">
        <v>358</v>
      </c>
    </row>
    <row r="11" ht="15.75">
      <c r="A11" s="91"/>
    </row>
    <row r="12" ht="40.5" customHeight="1">
      <c r="A12" s="176" t="s">
        <v>359</v>
      </c>
    </row>
    <row r="13" ht="15.75">
      <c r="A13" s="177"/>
    </row>
    <row r="14" ht="71.25" customHeight="1">
      <c r="A14" s="176" t="s">
        <v>360</v>
      </c>
    </row>
    <row r="15" ht="15.75">
      <c r="A15" s="177"/>
    </row>
    <row r="16" ht="40.5" customHeight="1">
      <c r="A16" s="176" t="s">
        <v>361</v>
      </c>
    </row>
    <row r="17" ht="15.75">
      <c r="A17" s="91"/>
    </row>
    <row r="18" ht="49.5" customHeight="1">
      <c r="A18" s="176" t="s">
        <v>362</v>
      </c>
    </row>
    <row r="19" ht="15.75">
      <c r="A19" s="177"/>
    </row>
    <row r="20" ht="52.5" customHeight="1">
      <c r="A20" s="176" t="s">
        <v>363</v>
      </c>
    </row>
    <row r="21" ht="15.75">
      <c r="A21" s="177"/>
    </row>
    <row r="22" ht="48.75" customHeight="1">
      <c r="A22" s="176" t="s">
        <v>364</v>
      </c>
    </row>
    <row r="23" ht="15.75">
      <c r="A23" s="177"/>
    </row>
    <row r="24" ht="15.75">
      <c r="A24" s="91"/>
    </row>
    <row r="25" ht="51.75" customHeight="1">
      <c r="A25" s="176"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7" sqref="C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Fall River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t="str">
        <f>inputPrYr!B19</f>
        <v>Building</v>
      </c>
      <c r="C9" s="141"/>
      <c r="D9" s="142">
        <f t="shared" si="0"/>
      </c>
      <c r="E9" s="143">
        <f t="shared" si="1"/>
      </c>
      <c r="F9" s="140"/>
    </row>
    <row r="10" spans="1:6" ht="15.75">
      <c r="A10" s="14"/>
      <c r="B10" s="83" t="str">
        <f>inputPrYr!B20</f>
        <v>Cemetery</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3540921</v>
      </c>
      <c r="E18" s="14"/>
      <c r="F18" s="140"/>
    </row>
    <row r="19" spans="1:6" ht="15.75">
      <c r="A19" s="14"/>
      <c r="B19" s="14"/>
      <c r="C19" s="14"/>
      <c r="D19" s="14"/>
      <c r="E19" s="14"/>
      <c r="F19" s="140"/>
    </row>
    <row r="20" spans="1:6" ht="15.75">
      <c r="A20" s="14"/>
      <c r="B20" s="683" t="s">
        <v>376</v>
      </c>
      <c r="C20" s="683"/>
      <c r="D20" s="148">
        <f>IF(D18&gt;0,(D18*0.001),"")</f>
        <v>3540.9210000000003</v>
      </c>
      <c r="E20" s="14"/>
      <c r="F20" s="140"/>
    </row>
    <row r="21" spans="1:6" ht="15.75">
      <c r="A21" s="14"/>
      <c r="B21" s="48"/>
      <c r="C21" s="48"/>
      <c r="D21" s="149"/>
      <c r="E21" s="14"/>
      <c r="F21" s="140"/>
    </row>
    <row r="22" spans="1:6" ht="15.75">
      <c r="A22" s="681" t="s">
        <v>378</v>
      </c>
      <c r="B22" s="626"/>
      <c r="C22" s="626"/>
      <c r="D22" s="150">
        <f>inputOth!E13</f>
        <v>0</v>
      </c>
      <c r="E22" s="151"/>
      <c r="F22" s="151"/>
    </row>
    <row r="23" spans="1:6" ht="15.75">
      <c r="A23" s="151"/>
      <c r="B23" s="151"/>
      <c r="C23" s="151"/>
      <c r="D23" s="152"/>
      <c r="E23" s="151"/>
      <c r="F23" s="151"/>
    </row>
    <row r="24" spans="1:6" ht="15.75">
      <c r="A24" s="151"/>
      <c r="B24" s="681" t="s">
        <v>379</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624</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132</v>
      </c>
      <c r="B1" s="687"/>
      <c r="C1" s="687"/>
      <c r="D1" s="687"/>
      <c r="E1" s="687"/>
      <c r="F1" s="687"/>
      <c r="G1" s="687"/>
    </row>
    <row r="2" ht="15.75">
      <c r="A2" s="1"/>
    </row>
    <row r="3" spans="1:7" ht="15.75">
      <c r="A3" s="688" t="s">
        <v>133</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Fall River Township </v>
      </c>
      <c r="I6">
        <f>CONCATENATE(I7)</f>
      </c>
    </row>
    <row r="7" spans="1:7" ht="15.75">
      <c r="A7" s="689" t="str">
        <f>CONCATENATE("   with respect to financing the ",inputPrYr!D5," annual budget for ",(inputPrYr!D2)," , ",(inputPrYr!D3)," , Kansas.")</f>
        <v>   with respect to financing the 2012 annual budget for Fall River Township , Wilson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Fall River Township budget exceed the amount levied to finance the 2011</v>
      </c>
    </row>
    <row r="12" spans="1:7" ht="15.75">
      <c r="A12" s="684" t="str">
        <f>CONCATENATE((inputPrYr!D2)," Township budget, except with regard to revenue produced and attributable to the taxation of 1) new improvements to real property; 2) increased personal property valuation, other than increased")</f>
        <v>Fall River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4" t="s">
        <v>139</v>
      </c>
      <c r="B14" s="685"/>
      <c r="C14" s="685"/>
      <c r="D14" s="685"/>
      <c r="E14" s="685"/>
      <c r="F14" s="685"/>
      <c r="G14" s="685"/>
    </row>
    <row r="15" spans="1:7" ht="15.75">
      <c r="A15" s="685"/>
      <c r="B15" s="685"/>
      <c r="C15" s="685"/>
      <c r="D15" s="685"/>
      <c r="E15" s="685"/>
      <c r="F15" s="685"/>
      <c r="G15" s="685"/>
    </row>
    <row r="16" spans="1:7" ht="15.75">
      <c r="A16" s="686"/>
      <c r="B16" s="686"/>
      <c r="C16" s="686"/>
      <c r="D16" s="686"/>
      <c r="E16" s="686"/>
      <c r="F16" s="686"/>
      <c r="G16" s="686"/>
    </row>
    <row r="17" ht="15.75">
      <c r="A17" s="2"/>
    </row>
    <row r="18" spans="1:7" ht="15.75">
      <c r="A18" s="690" t="s">
        <v>135</v>
      </c>
      <c r="B18" s="685"/>
      <c r="C18" s="685"/>
      <c r="D18" s="685"/>
      <c r="E18" s="685"/>
      <c r="F18" s="685"/>
      <c r="G18" s="685"/>
    </row>
    <row r="19" spans="1:7" ht="15.75">
      <c r="A19" s="685"/>
      <c r="B19" s="685"/>
      <c r="C19" s="685"/>
      <c r="D19" s="685"/>
      <c r="E19" s="685"/>
      <c r="F19" s="685"/>
      <c r="G19" s="685"/>
    </row>
    <row r="20" ht="15.75">
      <c r="A20" s="2"/>
    </row>
    <row r="21" spans="1:7" ht="15.75">
      <c r="A21" s="690" t="str">
        <f>CONCATENATE("Whereas, ",(inputPrYr!D2)," provides essential services to protect the safety and well being of the citizens of the township; and")</f>
        <v>Whereas, Fall River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90" t="str">
        <f>CONCATENATE("NOW, THEREFORE, BE IT RESOLVED by the Board of ",(inputPrYr!D2)," of ",(inputPrYr!D3),", Kansas that is our desire to notify the public of increased property taxes to finance the ",inputPrYr!D5," ",(inputPrYr!D2),"  budget as defined above.")</f>
        <v>NOW, THEREFORE, BE IT RESOLVED by the Board of Fall River Township of Wilson County, Kansas that is our desire to notify the public of increased property taxes to finance the 2012 Fall River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93" t="str">
        <f>CONCATENATE("Adopted this _________ day of ___________, ",inputPrYr!D5-1," by the ",(inputPrYr!D2)," Board, ",(inputPrYr!D3),", Kansas.")</f>
        <v>Adopted this _________ day of ___________, 2011 by the Fall River Township Board, Wilson County, Kansas.</v>
      </c>
      <c r="B30" s="685"/>
      <c r="C30" s="685"/>
      <c r="D30" s="685"/>
      <c r="E30" s="685"/>
      <c r="F30" s="685"/>
      <c r="G30" s="685"/>
    </row>
    <row r="31" spans="1:7" ht="15.75">
      <c r="A31" s="685"/>
      <c r="B31" s="685"/>
      <c r="C31" s="685"/>
      <c r="D31" s="685"/>
      <c r="E31" s="685"/>
      <c r="F31" s="685"/>
      <c r="G31" s="685"/>
    </row>
    <row r="32" ht="15.75">
      <c r="A32" s="4"/>
    </row>
    <row r="33" spans="4:7" ht="15.75">
      <c r="D33" s="691" t="str">
        <f>CONCATENATE((inputPrYr!D2)," Board")</f>
        <v>Fall River Township Board</v>
      </c>
      <c r="E33" s="691"/>
      <c r="F33" s="691"/>
      <c r="G33" s="691"/>
    </row>
    <row r="35" spans="4:7" ht="15.75">
      <c r="D35" s="692" t="s">
        <v>137</v>
      </c>
      <c r="E35" s="692"/>
      <c r="F35" s="692"/>
      <c r="G35" s="692"/>
    </row>
    <row r="36" spans="1:7" ht="15.75">
      <c r="A36" s="5"/>
      <c r="D36" s="692" t="s">
        <v>141</v>
      </c>
      <c r="E36" s="692"/>
      <c r="F36" s="692"/>
      <c r="G36" s="692"/>
    </row>
    <row r="37" spans="4:7" ht="15.75">
      <c r="D37" s="692"/>
      <c r="E37" s="692"/>
      <c r="F37" s="692"/>
      <c r="G37" s="692"/>
    </row>
    <row r="38" spans="4:7" ht="15.75">
      <c r="D38" s="692" t="s">
        <v>137</v>
      </c>
      <c r="E38" s="692"/>
      <c r="F38" s="692"/>
      <c r="G38" s="692"/>
    </row>
    <row r="39" spans="1:7" ht="15.75">
      <c r="A39" s="4"/>
      <c r="D39" s="692" t="s">
        <v>142</v>
      </c>
      <c r="E39" s="692"/>
      <c r="F39" s="692"/>
      <c r="G39" s="692"/>
    </row>
    <row r="40" spans="4:7" ht="15.75">
      <c r="D40" s="692"/>
      <c r="E40" s="692"/>
      <c r="F40" s="692"/>
      <c r="G40" s="692"/>
    </row>
    <row r="41" spans="4:7" ht="15.75">
      <c r="D41" s="692" t="s">
        <v>140</v>
      </c>
      <c r="E41" s="692"/>
      <c r="F41" s="692"/>
      <c r="G41" s="692"/>
    </row>
    <row r="42" spans="1:7" ht="15.75">
      <c r="A42" s="4"/>
      <c r="D42" s="692" t="s">
        <v>143</v>
      </c>
      <c r="E42" s="692"/>
      <c r="F42" s="692"/>
      <c r="G42" s="692"/>
    </row>
    <row r="43" ht="15.75">
      <c r="A43" s="6"/>
    </row>
    <row r="44" ht="15.75">
      <c r="A44" s="6"/>
    </row>
    <row r="45" ht="15.75">
      <c r="A45" s="6" t="s">
        <v>138</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392</v>
      </c>
      <c r="B3" s="380"/>
      <c r="C3" s="380"/>
      <c r="D3" s="380"/>
      <c r="E3" s="380"/>
      <c r="F3" s="380"/>
      <c r="G3" s="380"/>
      <c r="H3" s="380"/>
      <c r="I3" s="380"/>
      <c r="J3" s="380"/>
      <c r="K3" s="380"/>
      <c r="L3" s="380"/>
    </row>
    <row r="5" ht="15.75">
      <c r="A5" s="379" t="s">
        <v>393</v>
      </c>
    </row>
    <row r="6" ht="15.75">
      <c r="A6" s="379" t="str">
        <f>CONCATENATE(inputPrYr!D5-2," 'total expenditures' exceed your ",inputPrYr!D5-2," 'budget authority.'")</f>
        <v>2010 'total expenditures' exceed your 2010 'budget authority.'</v>
      </c>
    </row>
    <row r="7" ht="15.75">
      <c r="A7" s="379"/>
    </row>
    <row r="8" ht="15.75">
      <c r="A8" s="379" t="s">
        <v>394</v>
      </c>
    </row>
    <row r="9" ht="15.75">
      <c r="A9" s="379" t="s">
        <v>395</v>
      </c>
    </row>
    <row r="10" ht="15.75">
      <c r="A10" s="379" t="s">
        <v>396</v>
      </c>
    </row>
    <row r="11" ht="15.75">
      <c r="A11" s="379"/>
    </row>
    <row r="12" ht="15.75">
      <c r="A12" s="379"/>
    </row>
    <row r="13" ht="15.75">
      <c r="A13" s="378" t="s">
        <v>397</v>
      </c>
    </row>
    <row r="15" ht="15.75">
      <c r="A15" s="379" t="s">
        <v>398</v>
      </c>
    </row>
    <row r="16" ht="15.75">
      <c r="A16" s="379" t="str">
        <f>CONCATENATE("(i.e. an audit has not been completed, or the ",inputPrYr!D5," adopted")</f>
        <v>(i.e. an audit has not been completed, or the 2012 adopted</v>
      </c>
    </row>
    <row r="17" ht="15.75">
      <c r="A17" s="379" t="s">
        <v>399</v>
      </c>
    </row>
    <row r="18" ht="15.75">
      <c r="A18" s="379" t="s">
        <v>400</v>
      </c>
    </row>
    <row r="19" ht="15.75">
      <c r="A19" s="379" t="s">
        <v>401</v>
      </c>
    </row>
    <row r="21" ht="15.75">
      <c r="A21" s="378" t="s">
        <v>402</v>
      </c>
    </row>
    <row r="22" ht="15.75">
      <c r="A22" s="378"/>
    </row>
    <row r="23" ht="15.75">
      <c r="A23" s="379" t="s">
        <v>403</v>
      </c>
    </row>
    <row r="24" ht="15.75">
      <c r="A24" s="379" t="s">
        <v>404</v>
      </c>
    </row>
    <row r="25" ht="15.75">
      <c r="A25" s="379" t="str">
        <f>CONCATENATE("particular fund.  If your ",inputPrYr!D5-2," budget was amended, did you")</f>
        <v>particular fund.  If your 2010 budget was amended, did you</v>
      </c>
    </row>
    <row r="26" ht="15.75">
      <c r="A26" s="379" t="s">
        <v>405</v>
      </c>
    </row>
    <row r="27" ht="15.75">
      <c r="A27" s="379"/>
    </row>
    <row r="28" ht="15.75">
      <c r="A28" s="379" t="str">
        <f>CONCATENATE("Next, look to see if any of your ",inputPrYr!D5-2," expenditures can be")</f>
        <v>Next, look to see if any of your 2010 expenditures can be</v>
      </c>
    </row>
    <row r="29" ht="15.75">
      <c r="A29" s="379" t="s">
        <v>406</v>
      </c>
    </row>
    <row r="30" ht="15.75">
      <c r="A30" s="379" t="s">
        <v>407</v>
      </c>
    </row>
    <row r="31" ht="15.75">
      <c r="A31" s="379" t="s">
        <v>408</v>
      </c>
    </row>
    <row r="32" ht="15.75">
      <c r="A32" s="379"/>
    </row>
    <row r="33" ht="15.75">
      <c r="A33" s="379" t="str">
        <f>CONCATENATE("Additionally, do your ",inputPrYr!D5-2," receipts contain a reimbursement")</f>
        <v>Additionally, do your 2010 receipts contain a reimbursement</v>
      </c>
    </row>
    <row r="34" ht="15.75">
      <c r="A34" s="379" t="s">
        <v>409</v>
      </c>
    </row>
    <row r="35" ht="15.75">
      <c r="A35" s="379" t="s">
        <v>410</v>
      </c>
    </row>
    <row r="36" ht="15.75">
      <c r="A36" s="379"/>
    </row>
    <row r="37" ht="15.75">
      <c r="A37" s="379" t="s">
        <v>411</v>
      </c>
    </row>
    <row r="38" ht="15.75">
      <c r="A38" s="379" t="s">
        <v>597</v>
      </c>
    </row>
    <row r="39" ht="15.75">
      <c r="A39" s="379" t="s">
        <v>598</v>
      </c>
    </row>
    <row r="40" ht="15.75">
      <c r="A40" s="379" t="s">
        <v>412</v>
      </c>
    </row>
    <row r="41" ht="15.75">
      <c r="A41" s="379" t="s">
        <v>413</v>
      </c>
    </row>
    <row r="42" ht="15.75">
      <c r="A42" s="379" t="s">
        <v>414</v>
      </c>
    </row>
    <row r="43" ht="15.75">
      <c r="A43" s="379" t="s">
        <v>415</v>
      </c>
    </row>
    <row r="44" ht="15.75">
      <c r="A44" s="379" t="s">
        <v>416</v>
      </c>
    </row>
    <row r="45" ht="15.75">
      <c r="A45" s="379"/>
    </row>
    <row r="46" ht="15.75">
      <c r="A46" s="379" t="s">
        <v>417</v>
      </c>
    </row>
    <row r="47" ht="15.75">
      <c r="A47" s="379" t="s">
        <v>418</v>
      </c>
    </row>
    <row r="48" ht="15.75">
      <c r="A48" s="379" t="s">
        <v>419</v>
      </c>
    </row>
    <row r="49" ht="15.75">
      <c r="A49" s="379"/>
    </row>
    <row r="50" ht="15.75">
      <c r="A50" s="379" t="s">
        <v>420</v>
      </c>
    </row>
    <row r="51" ht="15.75">
      <c r="A51" s="379" t="s">
        <v>421</v>
      </c>
    </row>
    <row r="52" ht="15.75">
      <c r="A52" s="379" t="s">
        <v>422</v>
      </c>
    </row>
    <row r="53" ht="15.75">
      <c r="A53" s="379"/>
    </row>
    <row r="54" ht="15.75">
      <c r="A54" s="378" t="s">
        <v>423</v>
      </c>
    </row>
    <row r="55" ht="15.75">
      <c r="A55" s="379"/>
    </row>
    <row r="56" ht="15.75">
      <c r="A56" s="379" t="s">
        <v>424</v>
      </c>
    </row>
    <row r="57" ht="15.75">
      <c r="A57" s="379" t="s">
        <v>425</v>
      </c>
    </row>
    <row r="58" ht="15.75">
      <c r="A58" s="379" t="s">
        <v>426</v>
      </c>
    </row>
    <row r="59" ht="15.75">
      <c r="A59" s="379" t="s">
        <v>427</v>
      </c>
    </row>
    <row r="60" ht="15.75">
      <c r="A60" s="379" t="s">
        <v>428</v>
      </c>
    </row>
    <row r="61" ht="15.75">
      <c r="A61" s="379" t="s">
        <v>429</v>
      </c>
    </row>
    <row r="62" ht="15.75">
      <c r="A62" s="379" t="s">
        <v>430</v>
      </c>
    </row>
    <row r="63" ht="15.75">
      <c r="A63" s="379" t="s">
        <v>431</v>
      </c>
    </row>
    <row r="64" ht="15.75">
      <c r="A64" s="379" t="s">
        <v>432</v>
      </c>
    </row>
    <row r="65" ht="15.75">
      <c r="A65" s="379" t="s">
        <v>433</v>
      </c>
    </row>
    <row r="66" ht="15.75">
      <c r="A66" s="379" t="s">
        <v>434</v>
      </c>
    </row>
    <row r="67" ht="15.75">
      <c r="A67" s="379" t="s">
        <v>435</v>
      </c>
    </row>
    <row r="68" ht="15.75">
      <c r="A68" s="379" t="s">
        <v>436</v>
      </c>
    </row>
    <row r="69" ht="15.75">
      <c r="A69" s="379"/>
    </row>
    <row r="70" ht="15.75">
      <c r="A70" s="379" t="s">
        <v>437</v>
      </c>
    </row>
    <row r="71" ht="15.75">
      <c r="A71" s="379" t="s">
        <v>438</v>
      </c>
    </row>
    <row r="72" ht="15.75">
      <c r="A72" s="379" t="s">
        <v>439</v>
      </c>
    </row>
    <row r="73" ht="15.75">
      <c r="A73" s="379"/>
    </row>
    <row r="74" ht="15.75">
      <c r="A74" s="378" t="str">
        <f>CONCATENATE("What if the ",inputPrYr!D5-2," financial records have been closed?")</f>
        <v>What if the 2010 financial records have been closed?</v>
      </c>
    </row>
    <row r="76" ht="15.75">
      <c r="A76" s="379" t="s">
        <v>440</v>
      </c>
    </row>
    <row r="77" ht="15.75">
      <c r="A77" s="379" t="str">
        <f>CONCATENATE("(i.e. an audit for ",inputPrYr!D5-2," has been completed, or the ",inputPrYr!D5)</f>
        <v>(i.e. an audit for 2010 has been completed, or the 2012</v>
      </c>
    </row>
    <row r="78" ht="15.75">
      <c r="A78" s="379" t="s">
        <v>441</v>
      </c>
    </row>
    <row r="79" ht="15.75">
      <c r="A79" s="379" t="s">
        <v>442</v>
      </c>
    </row>
    <row r="80" ht="15.75">
      <c r="A80" s="379"/>
    </row>
    <row r="81" ht="15.75">
      <c r="A81" s="379" t="s">
        <v>443</v>
      </c>
    </row>
    <row r="82" ht="15.75">
      <c r="A82" s="379" t="s">
        <v>444</v>
      </c>
    </row>
    <row r="83" ht="15.75">
      <c r="A83" s="379" t="s">
        <v>445</v>
      </c>
    </row>
    <row r="84" ht="15.75">
      <c r="A84" s="379"/>
    </row>
    <row r="85" ht="15.75">
      <c r="A85" s="379"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447</v>
      </c>
      <c r="B3" s="380"/>
      <c r="C3" s="380"/>
      <c r="D3" s="380"/>
      <c r="E3" s="380"/>
      <c r="F3" s="380"/>
      <c r="G3" s="380"/>
      <c r="H3" s="377"/>
      <c r="I3" s="377"/>
      <c r="J3" s="377"/>
    </row>
    <row r="5" ht="15.75">
      <c r="A5" s="379"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8" t="s">
        <v>453</v>
      </c>
    </row>
    <row r="14" ht="15.75">
      <c r="A14" s="378"/>
    </row>
    <row r="15" ht="15.75">
      <c r="A15" s="379" t="s">
        <v>454</v>
      </c>
    </row>
    <row r="16" ht="15.75">
      <c r="A16" s="379" t="s">
        <v>455</v>
      </c>
    </row>
    <row r="17" ht="15.75">
      <c r="A17" s="379" t="s">
        <v>456</v>
      </c>
    </row>
    <row r="18" ht="15.75">
      <c r="A18" s="379"/>
    </row>
    <row r="19" ht="15.75">
      <c r="A19" s="378" t="s">
        <v>457</v>
      </c>
    </row>
    <row r="20" ht="15.75">
      <c r="A20" s="378"/>
    </row>
    <row r="21" ht="15.75">
      <c r="A21" s="379" t="s">
        <v>458</v>
      </c>
    </row>
    <row r="22" ht="15.75">
      <c r="A22" s="379" t="s">
        <v>459</v>
      </c>
    </row>
    <row r="23" ht="15.75">
      <c r="A23" s="379" t="s">
        <v>460</v>
      </c>
    </row>
    <row r="24" ht="15.75">
      <c r="A24" s="379"/>
    </row>
    <row r="25" ht="15.75">
      <c r="A25" s="378" t="s">
        <v>461</v>
      </c>
    </row>
    <row r="26" ht="15.75">
      <c r="A26" s="378"/>
    </row>
    <row r="27" ht="15.75">
      <c r="A27" s="379" t="s">
        <v>462</v>
      </c>
    </row>
    <row r="28" ht="15.75">
      <c r="A28" s="379" t="s">
        <v>463</v>
      </c>
    </row>
    <row r="29" ht="15.75">
      <c r="A29" s="379" t="s">
        <v>464</v>
      </c>
    </row>
    <row r="30" ht="15.75">
      <c r="A30" s="379"/>
    </row>
    <row r="31" ht="15.75">
      <c r="A31" s="378" t="s">
        <v>465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466</v>
      </c>
      <c r="B35" s="379"/>
      <c r="C35" s="379"/>
      <c r="D35" s="379"/>
      <c r="E35" s="379"/>
      <c r="F35" s="379"/>
      <c r="G35" s="379"/>
      <c r="H35" s="379"/>
    </row>
    <row r="36" spans="1:8" ht="15.75">
      <c r="A36" s="379" t="s">
        <v>467</v>
      </c>
      <c r="B36" s="379"/>
      <c r="C36" s="379"/>
      <c r="D36" s="379"/>
      <c r="E36" s="379"/>
      <c r="F36" s="379"/>
      <c r="G36" s="379"/>
      <c r="H36" s="379"/>
    </row>
    <row r="37" spans="1:8" ht="15.75">
      <c r="A37" s="379" t="s">
        <v>468</v>
      </c>
      <c r="B37" s="379"/>
      <c r="C37" s="379"/>
      <c r="D37" s="379"/>
      <c r="E37" s="379"/>
      <c r="F37" s="379"/>
      <c r="G37" s="379"/>
      <c r="H37" s="379"/>
    </row>
    <row r="38" spans="1:8" ht="15.75">
      <c r="A38" s="379" t="s">
        <v>469</v>
      </c>
      <c r="B38" s="379"/>
      <c r="C38" s="379"/>
      <c r="D38" s="379"/>
      <c r="E38" s="379"/>
      <c r="F38" s="379"/>
      <c r="G38" s="379"/>
      <c r="H38" s="379"/>
    </row>
    <row r="39" spans="1:8" ht="15.75">
      <c r="A39" s="379" t="s">
        <v>470</v>
      </c>
      <c r="B39" s="379"/>
      <c r="C39" s="379"/>
      <c r="D39" s="379"/>
      <c r="E39" s="379"/>
      <c r="F39" s="379"/>
      <c r="G39" s="379"/>
      <c r="H39" s="379"/>
    </row>
    <row r="40" spans="1:8" ht="15.75">
      <c r="A40" s="379"/>
      <c r="B40" s="379"/>
      <c r="C40" s="379"/>
      <c r="D40" s="379"/>
      <c r="E40" s="379"/>
      <c r="F40" s="379"/>
      <c r="G40" s="379"/>
      <c r="H40" s="379"/>
    </row>
    <row r="41" spans="1:8" ht="15.75">
      <c r="A41" s="379" t="s">
        <v>471</v>
      </c>
      <c r="B41" s="379"/>
      <c r="C41" s="379"/>
      <c r="D41" s="379"/>
      <c r="E41" s="379"/>
      <c r="F41" s="379"/>
      <c r="G41" s="379"/>
      <c r="H41" s="379"/>
    </row>
    <row r="42" spans="1:8" ht="15.75">
      <c r="A42" s="379" t="s">
        <v>472</v>
      </c>
      <c r="B42" s="379"/>
      <c r="C42" s="379"/>
      <c r="D42" s="379"/>
      <c r="E42" s="379"/>
      <c r="F42" s="379"/>
      <c r="G42" s="379"/>
      <c r="H42" s="379"/>
    </row>
    <row r="43" spans="1:8" ht="15.75">
      <c r="A43" s="379" t="s">
        <v>473</v>
      </c>
      <c r="B43" s="379"/>
      <c r="C43" s="379"/>
      <c r="D43" s="379"/>
      <c r="E43" s="379"/>
      <c r="F43" s="379"/>
      <c r="G43" s="379"/>
      <c r="H43" s="379"/>
    </row>
    <row r="44" spans="1:8" ht="15.75">
      <c r="A44" s="379" t="s">
        <v>474</v>
      </c>
      <c r="B44" s="379"/>
      <c r="C44" s="379"/>
      <c r="D44" s="379"/>
      <c r="E44" s="379"/>
      <c r="F44" s="379"/>
      <c r="G44" s="379"/>
      <c r="H44" s="379"/>
    </row>
    <row r="45" spans="1:8" ht="15.75">
      <c r="A45" s="379"/>
      <c r="B45" s="379"/>
      <c r="C45" s="379"/>
      <c r="D45" s="379"/>
      <c r="E45" s="379"/>
      <c r="F45" s="379"/>
      <c r="G45" s="379"/>
      <c r="H45" s="379"/>
    </row>
    <row r="46" spans="1:8" ht="15.75">
      <c r="A46" s="379" t="s">
        <v>475</v>
      </c>
      <c r="B46" s="379"/>
      <c r="C46" s="379"/>
      <c r="D46" s="379"/>
      <c r="E46" s="379"/>
      <c r="F46" s="379"/>
      <c r="G46" s="379"/>
      <c r="H46" s="379"/>
    </row>
    <row r="47" spans="1:8" ht="15.75">
      <c r="A47" s="379" t="s">
        <v>476</v>
      </c>
      <c r="B47" s="379"/>
      <c r="C47" s="379"/>
      <c r="D47" s="379"/>
      <c r="E47" s="379"/>
      <c r="F47" s="379"/>
      <c r="G47" s="379"/>
      <c r="H47" s="379"/>
    </row>
    <row r="48" spans="1:8" ht="15.75">
      <c r="A48" s="379" t="s">
        <v>477</v>
      </c>
      <c r="B48" s="379"/>
      <c r="C48" s="379"/>
      <c r="D48" s="379"/>
      <c r="E48" s="379"/>
      <c r="F48" s="379"/>
      <c r="G48" s="379"/>
      <c r="H48" s="379"/>
    </row>
    <row r="49" spans="1:8" ht="15.75">
      <c r="A49" s="379" t="s">
        <v>478</v>
      </c>
      <c r="B49" s="379"/>
      <c r="C49" s="379"/>
      <c r="D49" s="379"/>
      <c r="E49" s="379"/>
      <c r="F49" s="379"/>
      <c r="G49" s="379"/>
      <c r="H49" s="379"/>
    </row>
    <row r="50" spans="1:8" ht="15.75">
      <c r="A50" s="379" t="s">
        <v>479</v>
      </c>
      <c r="B50" s="379"/>
      <c r="C50" s="379"/>
      <c r="D50" s="379"/>
      <c r="E50" s="379"/>
      <c r="F50" s="379"/>
      <c r="G50" s="379"/>
      <c r="H50" s="379"/>
    </row>
    <row r="51" spans="1:8" ht="15.75">
      <c r="A51" s="379"/>
      <c r="B51" s="379"/>
      <c r="C51" s="379"/>
      <c r="D51" s="379"/>
      <c r="E51" s="379"/>
      <c r="F51" s="379"/>
      <c r="G51" s="379"/>
      <c r="H51" s="379"/>
    </row>
    <row r="52" spans="1:8" ht="15.75">
      <c r="A52" s="378" t="s">
        <v>480</v>
      </c>
      <c r="B52" s="378"/>
      <c r="C52" s="378"/>
      <c r="D52" s="378"/>
      <c r="E52" s="378"/>
      <c r="F52" s="378"/>
      <c r="G52" s="378"/>
      <c r="H52" s="379"/>
    </row>
    <row r="53" spans="1:8" ht="15.75">
      <c r="A53" s="378" t="s">
        <v>481</v>
      </c>
      <c r="B53" s="378"/>
      <c r="C53" s="378"/>
      <c r="D53" s="378"/>
      <c r="E53" s="378"/>
      <c r="F53" s="378"/>
      <c r="G53" s="378"/>
      <c r="H53" s="379"/>
    </row>
    <row r="54" spans="1:8" ht="15.75">
      <c r="A54" s="379"/>
      <c r="B54" s="379"/>
      <c r="C54" s="379"/>
      <c r="D54" s="379"/>
      <c r="E54" s="379"/>
      <c r="F54" s="379"/>
      <c r="G54" s="379"/>
      <c r="H54" s="379"/>
    </row>
    <row r="55" spans="1:8" ht="15.75">
      <c r="A55" s="379" t="s">
        <v>482</v>
      </c>
      <c r="B55" s="379"/>
      <c r="C55" s="379"/>
      <c r="D55" s="379"/>
      <c r="E55" s="379"/>
      <c r="F55" s="379"/>
      <c r="G55" s="379"/>
      <c r="H55" s="379"/>
    </row>
    <row r="56" spans="1:8" ht="15.75">
      <c r="A56" s="379" t="s">
        <v>483</v>
      </c>
      <c r="B56" s="379"/>
      <c r="C56" s="379"/>
      <c r="D56" s="379"/>
      <c r="E56" s="379"/>
      <c r="F56" s="379"/>
      <c r="G56" s="379"/>
      <c r="H56" s="379"/>
    </row>
    <row r="57" spans="1:8" ht="15.75">
      <c r="A57" s="379" t="s">
        <v>484</v>
      </c>
      <c r="B57" s="379"/>
      <c r="C57" s="379"/>
      <c r="D57" s="379"/>
      <c r="E57" s="379"/>
      <c r="F57" s="379"/>
      <c r="G57" s="379"/>
      <c r="H57" s="379"/>
    </row>
    <row r="58" spans="1:8" ht="15.75">
      <c r="A58" s="379" t="s">
        <v>485</v>
      </c>
      <c r="B58" s="379"/>
      <c r="C58" s="379"/>
      <c r="D58" s="379"/>
      <c r="E58" s="379"/>
      <c r="F58" s="379"/>
      <c r="G58" s="379"/>
      <c r="H58" s="379"/>
    </row>
    <row r="59" spans="1:8" ht="15.75">
      <c r="A59" s="379"/>
      <c r="B59" s="379"/>
      <c r="C59" s="379"/>
      <c r="D59" s="379"/>
      <c r="E59" s="379"/>
      <c r="F59" s="379"/>
      <c r="G59" s="379"/>
      <c r="H59" s="379"/>
    </row>
    <row r="60" spans="1:8" ht="15.75">
      <c r="A60" s="379" t="s">
        <v>486</v>
      </c>
      <c r="B60" s="379"/>
      <c r="C60" s="379"/>
      <c r="D60" s="379"/>
      <c r="E60" s="379"/>
      <c r="F60" s="379"/>
      <c r="G60" s="379"/>
      <c r="H60" s="379"/>
    </row>
    <row r="61" spans="1:8" ht="15.75">
      <c r="A61" s="379" t="s">
        <v>487</v>
      </c>
      <c r="B61" s="379"/>
      <c r="C61" s="379"/>
      <c r="D61" s="379"/>
      <c r="E61" s="379"/>
      <c r="F61" s="379"/>
      <c r="G61" s="379"/>
      <c r="H61" s="379"/>
    </row>
    <row r="62" spans="1:8" ht="15.75">
      <c r="A62" s="379" t="s">
        <v>488</v>
      </c>
      <c r="B62" s="379"/>
      <c r="C62" s="379"/>
      <c r="D62" s="379"/>
      <c r="E62" s="379"/>
      <c r="F62" s="379"/>
      <c r="G62" s="379"/>
      <c r="H62" s="379"/>
    </row>
    <row r="63" spans="1:8" ht="15.75">
      <c r="A63" s="379" t="s">
        <v>489</v>
      </c>
      <c r="B63" s="379"/>
      <c r="C63" s="379"/>
      <c r="D63" s="379"/>
      <c r="E63" s="379"/>
      <c r="F63" s="379"/>
      <c r="G63" s="379"/>
      <c r="H63" s="379"/>
    </row>
    <row r="64" spans="1:8" ht="15.75">
      <c r="A64" s="379" t="s">
        <v>490</v>
      </c>
      <c r="B64" s="379"/>
      <c r="C64" s="379"/>
      <c r="D64" s="379"/>
      <c r="E64" s="379"/>
      <c r="F64" s="379"/>
      <c r="G64" s="379"/>
      <c r="H64" s="379"/>
    </row>
    <row r="65" spans="1:8" ht="15.75">
      <c r="A65" s="379" t="s">
        <v>491</v>
      </c>
      <c r="B65" s="379"/>
      <c r="C65" s="379"/>
      <c r="D65" s="379"/>
      <c r="E65" s="379"/>
      <c r="F65" s="379"/>
      <c r="G65" s="379"/>
      <c r="H65" s="379"/>
    </row>
    <row r="66" spans="1:8" ht="15.75">
      <c r="A66" s="379"/>
      <c r="B66" s="379"/>
      <c r="C66" s="379"/>
      <c r="D66" s="379"/>
      <c r="E66" s="379"/>
      <c r="F66" s="379"/>
      <c r="G66" s="379"/>
      <c r="H66" s="379"/>
    </row>
    <row r="67" spans="1:8" ht="15.75">
      <c r="A67" s="379" t="s">
        <v>492</v>
      </c>
      <c r="B67" s="379"/>
      <c r="C67" s="379"/>
      <c r="D67" s="379"/>
      <c r="E67" s="379"/>
      <c r="F67" s="379"/>
      <c r="G67" s="379"/>
      <c r="H67" s="379"/>
    </row>
    <row r="68" spans="1:8" ht="15.75">
      <c r="A68" s="379" t="s">
        <v>493</v>
      </c>
      <c r="B68" s="379"/>
      <c r="C68" s="379"/>
      <c r="D68" s="379"/>
      <c r="E68" s="379"/>
      <c r="F68" s="379"/>
      <c r="G68" s="379"/>
      <c r="H68" s="379"/>
    </row>
    <row r="69" spans="1:8" ht="15.75">
      <c r="A69" s="379" t="s">
        <v>494</v>
      </c>
      <c r="B69" s="379"/>
      <c r="C69" s="379"/>
      <c r="D69" s="379"/>
      <c r="E69" s="379"/>
      <c r="F69" s="379"/>
      <c r="G69" s="379"/>
      <c r="H69" s="379"/>
    </row>
    <row r="70" spans="1:8" ht="15.75">
      <c r="A70" s="379" t="s">
        <v>495</v>
      </c>
      <c r="B70" s="379"/>
      <c r="C70" s="379"/>
      <c r="D70" s="379"/>
      <c r="E70" s="379"/>
      <c r="F70" s="379"/>
      <c r="G70" s="379"/>
      <c r="H70" s="379"/>
    </row>
    <row r="71" spans="1:8" ht="15.75">
      <c r="A71" s="379" t="s">
        <v>496</v>
      </c>
      <c r="B71" s="379"/>
      <c r="C71" s="379"/>
      <c r="D71" s="379"/>
      <c r="E71" s="379"/>
      <c r="F71" s="379"/>
      <c r="G71" s="379"/>
      <c r="H71" s="379"/>
    </row>
    <row r="72" spans="1:8" ht="15.75">
      <c r="A72" s="379" t="s">
        <v>497</v>
      </c>
      <c r="B72" s="379"/>
      <c r="C72" s="379"/>
      <c r="D72" s="379"/>
      <c r="E72" s="379"/>
      <c r="F72" s="379"/>
      <c r="G72" s="379"/>
      <c r="H72" s="379"/>
    </row>
    <row r="73" spans="1:8" ht="15.75">
      <c r="A73" s="379" t="s">
        <v>498</v>
      </c>
      <c r="B73" s="379"/>
      <c r="C73" s="379"/>
      <c r="D73" s="379"/>
      <c r="E73" s="379"/>
      <c r="F73" s="379"/>
      <c r="G73" s="379"/>
      <c r="H73" s="379"/>
    </row>
    <row r="74" spans="1:8" ht="15.75">
      <c r="A74" s="379"/>
      <c r="B74" s="379"/>
      <c r="C74" s="379"/>
      <c r="D74" s="379"/>
      <c r="E74" s="379"/>
      <c r="F74" s="379"/>
      <c r="G74" s="379"/>
      <c r="H74" s="379"/>
    </row>
    <row r="75" spans="1:8" ht="15.75">
      <c r="A75" s="379" t="s">
        <v>499</v>
      </c>
      <c r="B75" s="379"/>
      <c r="C75" s="379"/>
      <c r="D75" s="379"/>
      <c r="E75" s="379"/>
      <c r="F75" s="379"/>
      <c r="G75" s="379"/>
      <c r="H75" s="379"/>
    </row>
    <row r="76" spans="1:8" ht="15.75">
      <c r="A76" s="379" t="s">
        <v>500</v>
      </c>
      <c r="B76" s="379"/>
      <c r="C76" s="379"/>
      <c r="D76" s="379"/>
      <c r="E76" s="379"/>
      <c r="F76" s="379"/>
      <c r="G76" s="379"/>
      <c r="H76" s="379"/>
    </row>
    <row r="77" spans="1:8" ht="15.75">
      <c r="A77" s="379" t="s">
        <v>501</v>
      </c>
      <c r="B77" s="379"/>
      <c r="C77" s="379"/>
      <c r="D77" s="379"/>
      <c r="E77" s="379"/>
      <c r="F77" s="379"/>
      <c r="G77" s="379"/>
      <c r="H77" s="379"/>
    </row>
    <row r="78" spans="1:8" ht="15.75">
      <c r="A78" s="379"/>
      <c r="B78" s="379"/>
      <c r="C78" s="379"/>
      <c r="D78" s="379"/>
      <c r="E78" s="379"/>
      <c r="F78" s="379"/>
      <c r="G78" s="379"/>
      <c r="H78" s="379"/>
    </row>
    <row r="79" ht="15.75">
      <c r="A79" s="379" t="s">
        <v>446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503</v>
      </c>
      <c r="I7" s="380"/>
      <c r="J7" s="380"/>
      <c r="K7" s="380"/>
      <c r="L7" s="380"/>
    </row>
    <row r="8" spans="1:12" ht="15.75">
      <c r="A8" s="379"/>
      <c r="I8" s="380"/>
      <c r="J8" s="380"/>
      <c r="K8" s="380"/>
      <c r="L8" s="380"/>
    </row>
    <row r="9" spans="1:12" ht="15.75">
      <c r="A9" s="379" t="s">
        <v>504</v>
      </c>
      <c r="I9" s="380"/>
      <c r="J9" s="380"/>
      <c r="K9" s="380"/>
      <c r="L9" s="380"/>
    </row>
    <row r="10" spans="1:12" ht="15.75">
      <c r="A10" s="379" t="s">
        <v>505</v>
      </c>
      <c r="I10" s="380"/>
      <c r="J10" s="380"/>
      <c r="K10" s="380"/>
      <c r="L10" s="380"/>
    </row>
    <row r="11" spans="1:12" ht="15.75">
      <c r="A11" s="379" t="s">
        <v>506</v>
      </c>
      <c r="I11" s="380"/>
      <c r="J11" s="380"/>
      <c r="K11" s="380"/>
      <c r="L11" s="380"/>
    </row>
    <row r="12" spans="1:12" ht="15.75">
      <c r="A12" s="379" t="s">
        <v>507</v>
      </c>
      <c r="I12" s="380"/>
      <c r="J12" s="380"/>
      <c r="K12" s="380"/>
      <c r="L12" s="380"/>
    </row>
    <row r="13" spans="1:12" ht="15.75">
      <c r="A13" s="379" t="s">
        <v>508</v>
      </c>
      <c r="I13" s="380"/>
      <c r="J13" s="380"/>
      <c r="K13" s="380"/>
      <c r="L13" s="380"/>
    </row>
    <row r="14" spans="1:12" ht="15.75">
      <c r="A14" s="380"/>
      <c r="B14" s="380"/>
      <c r="C14" s="380"/>
      <c r="D14" s="380"/>
      <c r="E14" s="380"/>
      <c r="F14" s="380"/>
      <c r="G14" s="380"/>
      <c r="H14" s="380"/>
      <c r="I14" s="380"/>
      <c r="J14" s="380"/>
      <c r="K14" s="380"/>
      <c r="L14" s="380"/>
    </row>
    <row r="15" ht="15.75">
      <c r="A15" s="378" t="s">
        <v>509</v>
      </c>
    </row>
    <row r="16" ht="15.75">
      <c r="A16" s="378" t="s">
        <v>510</v>
      </c>
    </row>
    <row r="17" ht="15.75">
      <c r="A17" s="378"/>
    </row>
    <row r="18" spans="1:7" ht="15.75">
      <c r="A18" s="379" t="s">
        <v>511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512</v>
      </c>
      <c r="B20" s="379"/>
      <c r="C20" s="379"/>
      <c r="D20" s="379"/>
      <c r="E20" s="379"/>
      <c r="F20" s="379"/>
      <c r="G20" s="379"/>
    </row>
    <row r="21" spans="1:7" ht="15.75">
      <c r="A21" s="379" t="s">
        <v>513</v>
      </c>
      <c r="B21" s="379"/>
      <c r="C21" s="379"/>
      <c r="D21" s="379"/>
      <c r="E21" s="379"/>
      <c r="F21" s="379"/>
      <c r="G21" s="379"/>
    </row>
    <row r="22" ht="15.75">
      <c r="A22" s="379"/>
    </row>
    <row r="23" ht="15.75">
      <c r="A23" s="378" t="s">
        <v>514</v>
      </c>
    </row>
    <row r="24" ht="15.75">
      <c r="A24" s="378"/>
    </row>
    <row r="25" ht="15.75">
      <c r="A25" s="379" t="s">
        <v>515</v>
      </c>
    </row>
    <row r="26" spans="1:6" ht="15.75">
      <c r="A26" s="379" t="s">
        <v>516</v>
      </c>
      <c r="B26" s="379"/>
      <c r="C26" s="379"/>
      <c r="D26" s="379"/>
      <c r="E26" s="379"/>
      <c r="F26" s="379"/>
    </row>
    <row r="27" spans="1:6" ht="15.75">
      <c r="A27" s="379" t="s">
        <v>517</v>
      </c>
      <c r="B27" s="379"/>
      <c r="C27" s="379"/>
      <c r="D27" s="379"/>
      <c r="E27" s="379"/>
      <c r="F27" s="379"/>
    </row>
    <row r="28" spans="1:6" ht="15.75">
      <c r="A28" s="379" t="s">
        <v>518</v>
      </c>
      <c r="B28" s="379"/>
      <c r="C28" s="379"/>
      <c r="D28" s="379"/>
      <c r="E28" s="379"/>
      <c r="F28" s="379"/>
    </row>
    <row r="29" spans="1:6" ht="15.75">
      <c r="A29" s="379"/>
      <c r="B29" s="379"/>
      <c r="C29" s="379"/>
      <c r="D29" s="379"/>
      <c r="E29" s="379"/>
      <c r="F29" s="379"/>
    </row>
    <row r="30" spans="1:7" ht="15.75">
      <c r="A30" s="378" t="s">
        <v>519</v>
      </c>
      <c r="B30" s="378"/>
      <c r="C30" s="378"/>
      <c r="D30" s="378"/>
      <c r="E30" s="378"/>
      <c r="F30" s="378"/>
      <c r="G30" s="378"/>
    </row>
    <row r="31" spans="1:7" ht="15.75">
      <c r="A31" s="378" t="s">
        <v>520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521</v>
      </c>
      <c r="B34" s="379"/>
      <c r="C34" s="379"/>
      <c r="D34" s="379"/>
      <c r="E34" s="379"/>
      <c r="F34" s="379"/>
    </row>
    <row r="35" spans="1:6" ht="15.75">
      <c r="A35" s="393" t="s">
        <v>407</v>
      </c>
      <c r="B35" s="379"/>
      <c r="C35" s="379"/>
      <c r="D35" s="379"/>
      <c r="E35" s="379"/>
      <c r="F35" s="379"/>
    </row>
    <row r="36" spans="1:6" ht="15.75">
      <c r="A36" s="393" t="s">
        <v>408</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409</v>
      </c>
      <c r="B39" s="379"/>
      <c r="C39" s="379"/>
      <c r="D39" s="379"/>
      <c r="E39" s="379"/>
      <c r="F39" s="379"/>
    </row>
    <row r="40" spans="1:6" ht="15.75">
      <c r="A40" s="393" t="s">
        <v>410</v>
      </c>
      <c r="B40" s="379"/>
      <c r="C40" s="379"/>
      <c r="D40" s="379"/>
      <c r="E40" s="379"/>
      <c r="F40" s="379"/>
    </row>
    <row r="41" spans="1:6" ht="15.75">
      <c r="A41" s="393"/>
      <c r="B41" s="379"/>
      <c r="C41" s="379"/>
      <c r="D41" s="379"/>
      <c r="E41" s="379"/>
      <c r="F41" s="379"/>
    </row>
    <row r="42" spans="1:6" ht="15.75">
      <c r="A42" s="393" t="s">
        <v>411</v>
      </c>
      <c r="B42" s="379"/>
      <c r="C42" s="379"/>
      <c r="D42" s="379"/>
      <c r="E42" s="379"/>
      <c r="F42" s="379"/>
    </row>
    <row r="43" spans="1:6" ht="15.75">
      <c r="A43" s="393" t="s">
        <v>597</v>
      </c>
      <c r="B43" s="379"/>
      <c r="C43" s="379"/>
      <c r="D43" s="379"/>
      <c r="E43" s="379"/>
      <c r="F43" s="379"/>
    </row>
    <row r="44" spans="1:6" ht="15.75">
      <c r="A44" s="393" t="s">
        <v>598</v>
      </c>
      <c r="B44" s="379"/>
      <c r="C44" s="379"/>
      <c r="D44" s="379"/>
      <c r="E44" s="379"/>
      <c r="F44" s="379"/>
    </row>
    <row r="45" spans="1:6" ht="15.75">
      <c r="A45" s="393" t="s">
        <v>522</v>
      </c>
      <c r="B45" s="379"/>
      <c r="C45" s="379"/>
      <c r="D45" s="379"/>
      <c r="E45" s="379"/>
      <c r="F45" s="379"/>
    </row>
    <row r="46" spans="1:6" ht="15.75">
      <c r="A46" s="393" t="s">
        <v>413</v>
      </c>
      <c r="B46" s="379"/>
      <c r="C46" s="379"/>
      <c r="D46" s="379"/>
      <c r="E46" s="379"/>
      <c r="F46" s="379"/>
    </row>
    <row r="47" spans="1:6" ht="15.75">
      <c r="A47" s="393" t="s">
        <v>523</v>
      </c>
      <c r="B47" s="379"/>
      <c r="C47" s="379"/>
      <c r="D47" s="379"/>
      <c r="E47" s="379"/>
      <c r="F47" s="379"/>
    </row>
    <row r="48" spans="1:6" ht="15.75">
      <c r="A48" s="393" t="s">
        <v>524</v>
      </c>
      <c r="B48" s="379"/>
      <c r="C48" s="379"/>
      <c r="D48" s="379"/>
      <c r="E48" s="379"/>
      <c r="F48" s="379"/>
    </row>
    <row r="49" spans="1:6" ht="15.75">
      <c r="A49" s="393" t="s">
        <v>416</v>
      </c>
      <c r="B49" s="379"/>
      <c r="C49" s="379"/>
      <c r="D49" s="379"/>
      <c r="E49" s="379"/>
      <c r="F49" s="379"/>
    </row>
    <row r="50" spans="1:6" ht="15.75">
      <c r="A50" s="393"/>
      <c r="B50" s="379"/>
      <c r="C50" s="379"/>
      <c r="D50" s="379"/>
      <c r="E50" s="379"/>
      <c r="F50" s="379"/>
    </row>
    <row r="51" spans="1:6" ht="15.75">
      <c r="A51" s="393" t="s">
        <v>417</v>
      </c>
      <c r="B51" s="379"/>
      <c r="C51" s="379"/>
      <c r="D51" s="379"/>
      <c r="E51" s="379"/>
      <c r="F51" s="379"/>
    </row>
    <row r="52" spans="1:6" ht="15.75">
      <c r="A52" s="393" t="s">
        <v>418</v>
      </c>
      <c r="B52" s="379"/>
      <c r="C52" s="379"/>
      <c r="D52" s="379"/>
      <c r="E52" s="379"/>
      <c r="F52" s="379"/>
    </row>
    <row r="53" spans="1:6" ht="15.75">
      <c r="A53" s="393" t="s">
        <v>419</v>
      </c>
      <c r="B53" s="379"/>
      <c r="C53" s="379"/>
      <c r="D53" s="379"/>
      <c r="E53" s="379"/>
      <c r="F53" s="379"/>
    </row>
    <row r="54" spans="1:6" ht="15.75">
      <c r="A54" s="393"/>
      <c r="B54" s="379"/>
      <c r="C54" s="379"/>
      <c r="D54" s="379"/>
      <c r="E54" s="379"/>
      <c r="F54" s="379"/>
    </row>
    <row r="55" spans="1:6" ht="15.75">
      <c r="A55" s="393" t="s">
        <v>525</v>
      </c>
      <c r="B55" s="379"/>
      <c r="C55" s="379"/>
      <c r="D55" s="379"/>
      <c r="E55" s="379"/>
      <c r="F55" s="379"/>
    </row>
    <row r="56" spans="1:6" ht="15.75">
      <c r="A56" s="393" t="s">
        <v>526</v>
      </c>
      <c r="B56" s="379"/>
      <c r="C56" s="379"/>
      <c r="D56" s="379"/>
      <c r="E56" s="379"/>
      <c r="F56" s="379"/>
    </row>
    <row r="57" spans="1:6" ht="15.75">
      <c r="A57" s="393" t="s">
        <v>527</v>
      </c>
      <c r="B57" s="379"/>
      <c r="C57" s="379"/>
      <c r="D57" s="379"/>
      <c r="E57" s="379"/>
      <c r="F57" s="379"/>
    </row>
    <row r="58" spans="1:6" ht="15.75">
      <c r="A58" s="393" t="s">
        <v>528</v>
      </c>
      <c r="B58" s="379"/>
      <c r="C58" s="379"/>
      <c r="D58" s="379"/>
      <c r="E58" s="379"/>
      <c r="F58" s="379"/>
    </row>
    <row r="59" spans="1:6" ht="15.75">
      <c r="A59" s="393" t="s">
        <v>529</v>
      </c>
      <c r="B59" s="379"/>
      <c r="C59" s="379"/>
      <c r="D59" s="379"/>
      <c r="E59" s="379"/>
      <c r="F59" s="379"/>
    </row>
    <row r="60" spans="1:6" ht="15.75">
      <c r="A60" s="393"/>
      <c r="B60" s="379"/>
      <c r="C60" s="379"/>
      <c r="D60" s="379"/>
      <c r="E60" s="379"/>
      <c r="F60" s="379"/>
    </row>
    <row r="61" spans="1:6" ht="15.75">
      <c r="A61" s="394" t="s">
        <v>530</v>
      </c>
      <c r="B61" s="379"/>
      <c r="C61" s="379"/>
      <c r="D61" s="379"/>
      <c r="E61" s="379"/>
      <c r="F61" s="379"/>
    </row>
    <row r="62" spans="1:6" ht="15.75">
      <c r="A62" s="394" t="s">
        <v>531</v>
      </c>
      <c r="B62" s="379"/>
      <c r="C62" s="379"/>
      <c r="D62" s="379"/>
      <c r="E62" s="379"/>
      <c r="F62" s="379"/>
    </row>
    <row r="63" spans="1:6" ht="15.75">
      <c r="A63" s="394" t="s">
        <v>532</v>
      </c>
      <c r="B63" s="379"/>
      <c r="C63" s="379"/>
      <c r="D63" s="379"/>
      <c r="E63" s="379"/>
      <c r="F63" s="379"/>
    </row>
    <row r="64" ht="15.75">
      <c r="A64" s="394" t="s">
        <v>533</v>
      </c>
    </row>
    <row r="65" ht="15.75">
      <c r="A65" s="394" t="s">
        <v>534</v>
      </c>
    </row>
    <row r="66" ht="15.75">
      <c r="A66" s="394" t="s">
        <v>535</v>
      </c>
    </row>
    <row r="68" ht="15.75">
      <c r="A68" s="379" t="s">
        <v>536</v>
      </c>
    </row>
    <row r="69" ht="15.75">
      <c r="A69" s="379" t="s">
        <v>537</v>
      </c>
    </row>
    <row r="70" ht="15.75">
      <c r="A70" s="379" t="s">
        <v>538</v>
      </c>
    </row>
    <row r="71" ht="15.75">
      <c r="A71" s="379" t="s">
        <v>539</v>
      </c>
    </row>
    <row r="72" ht="15.75">
      <c r="A72" s="379" t="s">
        <v>540</v>
      </c>
    </row>
    <row r="73" ht="15.75">
      <c r="A73" s="379" t="s">
        <v>541</v>
      </c>
    </row>
    <row r="75" ht="15.75">
      <c r="A75" s="379"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542</v>
      </c>
      <c r="B3" s="380"/>
      <c r="C3" s="380"/>
      <c r="D3" s="380"/>
      <c r="E3" s="380"/>
      <c r="F3" s="380"/>
      <c r="G3" s="380"/>
    </row>
    <row r="4" spans="1:7" ht="15.75">
      <c r="A4" s="380"/>
      <c r="B4" s="380"/>
      <c r="C4" s="380"/>
      <c r="D4" s="380"/>
      <c r="E4" s="380"/>
      <c r="F4" s="380"/>
      <c r="G4" s="380"/>
    </row>
    <row r="5" ht="15.75">
      <c r="A5" s="379" t="s">
        <v>448</v>
      </c>
    </row>
    <row r="6" ht="15.75">
      <c r="A6" s="379" t="str">
        <f>CONCATENATE(inputPrYr!D5," estimated expenditures show that at the end of this year")</f>
        <v>2012 estimated expenditures show that at the end of this year</v>
      </c>
    </row>
    <row r="7" ht="15.75">
      <c r="A7" s="379" t="s">
        <v>543</v>
      </c>
    </row>
    <row r="8" ht="15.75">
      <c r="A8" s="379" t="s">
        <v>544</v>
      </c>
    </row>
    <row r="10" ht="15.75">
      <c r="A10" t="s">
        <v>450</v>
      </c>
    </row>
    <row r="11" ht="15.75">
      <c r="A11" t="s">
        <v>451</v>
      </c>
    </row>
    <row r="12" ht="15.75">
      <c r="A12" t="s">
        <v>452</v>
      </c>
    </row>
    <row r="13" spans="1:7" ht="15.75">
      <c r="A13" s="380"/>
      <c r="B13" s="380"/>
      <c r="C13" s="380"/>
      <c r="D13" s="380"/>
      <c r="E13" s="380"/>
      <c r="F13" s="380"/>
      <c r="G13" s="380"/>
    </row>
    <row r="14" ht="15.75">
      <c r="A14" s="378" t="s">
        <v>545</v>
      </c>
    </row>
    <row r="15" ht="15.75">
      <c r="A15" s="379"/>
    </row>
    <row r="16" ht="15.75">
      <c r="A16" s="379" t="s">
        <v>546</v>
      </c>
    </row>
    <row r="17" ht="15.75">
      <c r="A17" s="379" t="s">
        <v>547</v>
      </c>
    </row>
    <row r="18" ht="15.75">
      <c r="A18" s="379" t="s">
        <v>548</v>
      </c>
    </row>
    <row r="19" ht="15.75">
      <c r="A19" s="379"/>
    </row>
    <row r="20" ht="15.75">
      <c r="A20" s="379" t="s">
        <v>549</v>
      </c>
    </row>
    <row r="21" ht="15.75">
      <c r="A21" s="379" t="s">
        <v>550</v>
      </c>
    </row>
    <row r="22" ht="15.75">
      <c r="A22" s="379" t="s">
        <v>551</v>
      </c>
    </row>
    <row r="23" ht="15.75">
      <c r="A23" s="379" t="s">
        <v>552</v>
      </c>
    </row>
    <row r="24" ht="15.75">
      <c r="A24" s="379"/>
    </row>
    <row r="25" ht="15.75">
      <c r="A25" s="378" t="s">
        <v>514</v>
      </c>
    </row>
    <row r="26" ht="15.75">
      <c r="A26" s="378"/>
    </row>
    <row r="27" ht="15.75">
      <c r="A27" s="379" t="s">
        <v>515</v>
      </c>
    </row>
    <row r="28" spans="1:6" ht="15.75">
      <c r="A28" s="379" t="s">
        <v>516</v>
      </c>
      <c r="B28" s="379"/>
      <c r="C28" s="379"/>
      <c r="D28" s="379"/>
      <c r="E28" s="379"/>
      <c r="F28" s="379"/>
    </row>
    <row r="29" spans="1:6" ht="15.75">
      <c r="A29" s="379" t="s">
        <v>517</v>
      </c>
      <c r="B29" s="379"/>
      <c r="C29" s="379"/>
      <c r="D29" s="379"/>
      <c r="E29" s="379"/>
      <c r="F29" s="379"/>
    </row>
    <row r="30" spans="1:6" ht="15.75">
      <c r="A30" s="379" t="s">
        <v>518</v>
      </c>
      <c r="B30" s="379"/>
      <c r="C30" s="379"/>
      <c r="D30" s="379"/>
      <c r="E30" s="379"/>
      <c r="F30" s="379"/>
    </row>
    <row r="31" ht="15.75">
      <c r="A31" s="379"/>
    </row>
    <row r="32" spans="1:7" ht="15.75">
      <c r="A32" s="378" t="s">
        <v>519</v>
      </c>
      <c r="B32" s="378"/>
      <c r="C32" s="378"/>
      <c r="D32" s="378"/>
      <c r="E32" s="378"/>
      <c r="F32" s="378"/>
      <c r="G32" s="378"/>
    </row>
    <row r="33" spans="1:7" ht="15.75">
      <c r="A33" s="378" t="s">
        <v>520</v>
      </c>
      <c r="B33" s="378"/>
      <c r="C33" s="378"/>
      <c r="D33" s="378"/>
      <c r="E33" s="378"/>
      <c r="F33" s="378"/>
      <c r="G33" s="378"/>
    </row>
    <row r="34" spans="1:7" ht="15.75">
      <c r="A34" s="378"/>
      <c r="B34" s="378"/>
      <c r="C34" s="378"/>
      <c r="D34" s="378"/>
      <c r="E34" s="378"/>
      <c r="F34" s="378"/>
      <c r="G34" s="378"/>
    </row>
    <row r="35" spans="1:7" ht="15.75">
      <c r="A35" s="379" t="s">
        <v>553</v>
      </c>
      <c r="B35" s="379"/>
      <c r="C35" s="379"/>
      <c r="D35" s="379"/>
      <c r="E35" s="379"/>
      <c r="F35" s="379"/>
      <c r="G35" s="379"/>
    </row>
    <row r="36" spans="1:7" ht="15.75">
      <c r="A36" s="379" t="s">
        <v>554</v>
      </c>
      <c r="B36" s="379"/>
      <c r="C36" s="379"/>
      <c r="D36" s="379"/>
      <c r="E36" s="379"/>
      <c r="F36" s="379"/>
      <c r="G36" s="379"/>
    </row>
    <row r="37" spans="1:7" ht="15.75">
      <c r="A37" s="379" t="s">
        <v>555</v>
      </c>
      <c r="B37" s="379"/>
      <c r="C37" s="379"/>
      <c r="D37" s="379"/>
      <c r="E37" s="379"/>
      <c r="F37" s="379"/>
      <c r="G37" s="379"/>
    </row>
    <row r="38" spans="1:7" ht="15.75">
      <c r="A38" s="379" t="s">
        <v>556</v>
      </c>
      <c r="B38" s="379"/>
      <c r="C38" s="379"/>
      <c r="D38" s="379"/>
      <c r="E38" s="379"/>
      <c r="F38" s="379"/>
      <c r="G38" s="379"/>
    </row>
    <row r="39" spans="1:7" ht="15.75">
      <c r="A39" s="379" t="s">
        <v>557</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521</v>
      </c>
      <c r="B42" s="379"/>
      <c r="C42" s="379"/>
      <c r="D42" s="379"/>
      <c r="E42" s="379"/>
      <c r="F42" s="379"/>
    </row>
    <row r="43" spans="1:6" ht="15.75">
      <c r="A43" s="393" t="s">
        <v>407</v>
      </c>
      <c r="B43" s="379"/>
      <c r="C43" s="379"/>
      <c r="D43" s="379"/>
      <c r="E43" s="379"/>
      <c r="F43" s="379"/>
    </row>
    <row r="44" spans="1:6" ht="15.75">
      <c r="A44" s="393" t="s">
        <v>408</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409</v>
      </c>
      <c r="B47" s="379"/>
      <c r="C47" s="379"/>
      <c r="D47" s="379"/>
      <c r="E47" s="379"/>
      <c r="F47" s="379"/>
    </row>
    <row r="48" spans="1:6" ht="15.75">
      <c r="A48" s="393" t="s">
        <v>410</v>
      </c>
      <c r="B48" s="379"/>
      <c r="C48" s="379"/>
      <c r="D48" s="379"/>
      <c r="E48" s="379"/>
      <c r="F48" s="379"/>
    </row>
    <row r="49" spans="1:7" ht="15.75">
      <c r="A49" s="379"/>
      <c r="B49" s="379"/>
      <c r="C49" s="379"/>
      <c r="D49" s="379"/>
      <c r="E49" s="379"/>
      <c r="F49" s="379"/>
      <c r="G49" s="379"/>
    </row>
    <row r="50" spans="1:7" ht="15.75">
      <c r="A50" s="379" t="s">
        <v>475</v>
      </c>
      <c r="B50" s="379"/>
      <c r="C50" s="379"/>
      <c r="D50" s="379"/>
      <c r="E50" s="379"/>
      <c r="F50" s="379"/>
      <c r="G50" s="379"/>
    </row>
    <row r="51" spans="1:7" ht="15.75">
      <c r="A51" s="379" t="s">
        <v>476</v>
      </c>
      <c r="B51" s="379"/>
      <c r="C51" s="379"/>
      <c r="D51" s="379"/>
      <c r="E51" s="379"/>
      <c r="F51" s="379"/>
      <c r="G51" s="379"/>
    </row>
    <row r="52" spans="1:7" ht="15.75">
      <c r="A52" s="379" t="s">
        <v>477</v>
      </c>
      <c r="B52" s="379"/>
      <c r="C52" s="379"/>
      <c r="D52" s="379"/>
      <c r="E52" s="379"/>
      <c r="F52" s="379"/>
      <c r="G52" s="379"/>
    </row>
    <row r="53" spans="1:7" ht="15.75">
      <c r="A53" s="379" t="s">
        <v>478</v>
      </c>
      <c r="B53" s="379"/>
      <c r="C53" s="379"/>
      <c r="D53" s="379"/>
      <c r="E53" s="379"/>
      <c r="F53" s="379"/>
      <c r="G53" s="379"/>
    </row>
    <row r="54" spans="1:7" ht="15.75">
      <c r="A54" s="379" t="s">
        <v>479</v>
      </c>
      <c r="B54" s="379"/>
      <c r="C54" s="379"/>
      <c r="D54" s="379"/>
      <c r="E54" s="379"/>
      <c r="F54" s="379"/>
      <c r="G54" s="379"/>
    </row>
    <row r="55" spans="1:7" ht="15.75">
      <c r="A55" s="379"/>
      <c r="B55" s="379"/>
      <c r="C55" s="379"/>
      <c r="D55" s="379"/>
      <c r="E55" s="379"/>
      <c r="F55" s="379"/>
      <c r="G55" s="379"/>
    </row>
    <row r="56" spans="1:6" ht="15.75">
      <c r="A56" s="393" t="s">
        <v>417</v>
      </c>
      <c r="B56" s="379"/>
      <c r="C56" s="379"/>
      <c r="D56" s="379"/>
      <c r="E56" s="379"/>
      <c r="F56" s="379"/>
    </row>
    <row r="57" spans="1:6" ht="15.75">
      <c r="A57" s="393" t="s">
        <v>418</v>
      </c>
      <c r="B57" s="379"/>
      <c r="C57" s="379"/>
      <c r="D57" s="379"/>
      <c r="E57" s="379"/>
      <c r="F57" s="379"/>
    </row>
    <row r="58" spans="1:6" ht="15.75">
      <c r="A58" s="393" t="s">
        <v>419</v>
      </c>
      <c r="B58" s="379"/>
      <c r="C58" s="379"/>
      <c r="D58" s="379"/>
      <c r="E58" s="379"/>
      <c r="F58" s="379"/>
    </row>
    <row r="59" spans="1:6" ht="15.75">
      <c r="A59" s="393"/>
      <c r="B59" s="379"/>
      <c r="C59" s="379"/>
      <c r="D59" s="379"/>
      <c r="E59" s="379"/>
      <c r="F59" s="379"/>
    </row>
    <row r="60" spans="1:7" ht="15.75">
      <c r="A60" s="379" t="s">
        <v>558</v>
      </c>
      <c r="B60" s="379"/>
      <c r="C60" s="379"/>
      <c r="D60" s="379"/>
      <c r="E60" s="379"/>
      <c r="F60" s="379"/>
      <c r="G60" s="379"/>
    </row>
    <row r="61" spans="1:7" ht="15.75">
      <c r="A61" s="379" t="s">
        <v>559</v>
      </c>
      <c r="B61" s="379"/>
      <c r="C61" s="379"/>
      <c r="D61" s="379"/>
      <c r="E61" s="379"/>
      <c r="F61" s="379"/>
      <c r="G61" s="379"/>
    </row>
    <row r="62" spans="1:7" ht="15.75">
      <c r="A62" s="379" t="s">
        <v>560</v>
      </c>
      <c r="B62" s="379"/>
      <c r="C62" s="379"/>
      <c r="D62" s="379"/>
      <c r="E62" s="379"/>
      <c r="F62" s="379"/>
      <c r="G62" s="379"/>
    </row>
    <row r="63" spans="1:7" ht="15.75">
      <c r="A63" s="379" t="s">
        <v>561</v>
      </c>
      <c r="B63" s="379"/>
      <c r="C63" s="379"/>
      <c r="D63" s="379"/>
      <c r="E63" s="379"/>
      <c r="F63" s="379"/>
      <c r="G63" s="379"/>
    </row>
    <row r="64" spans="1:7" ht="15.75">
      <c r="A64" s="379" t="s">
        <v>562</v>
      </c>
      <c r="B64" s="379"/>
      <c r="C64" s="379"/>
      <c r="D64" s="379"/>
      <c r="E64" s="379"/>
      <c r="F64" s="379"/>
      <c r="G64" s="379"/>
    </row>
    <row r="66" spans="1:6" ht="15.75">
      <c r="A66" s="393" t="s">
        <v>525</v>
      </c>
      <c r="B66" s="379"/>
      <c r="C66" s="379"/>
      <c r="D66" s="379"/>
      <c r="E66" s="379"/>
      <c r="F66" s="379"/>
    </row>
    <row r="67" spans="1:6" ht="15.75">
      <c r="A67" s="393" t="s">
        <v>526</v>
      </c>
      <c r="B67" s="379"/>
      <c r="C67" s="379"/>
      <c r="D67" s="379"/>
      <c r="E67" s="379"/>
      <c r="F67" s="379"/>
    </row>
    <row r="68" spans="1:6" ht="15.75">
      <c r="A68" s="393" t="s">
        <v>527</v>
      </c>
      <c r="B68" s="379"/>
      <c r="C68" s="379"/>
      <c r="D68" s="379"/>
      <c r="E68" s="379"/>
      <c r="F68" s="379"/>
    </row>
    <row r="69" spans="1:6" ht="15.75">
      <c r="A69" s="393" t="s">
        <v>528</v>
      </c>
      <c r="B69" s="379"/>
      <c r="C69" s="379"/>
      <c r="D69" s="379"/>
      <c r="E69" s="379"/>
      <c r="F69" s="379"/>
    </row>
    <row r="70" spans="1:6" ht="15.75">
      <c r="A70" s="393" t="s">
        <v>529</v>
      </c>
      <c r="B70" s="379"/>
      <c r="C70" s="379"/>
      <c r="D70" s="379"/>
      <c r="E70" s="379"/>
      <c r="F70" s="379"/>
    </row>
    <row r="71" ht="15.75">
      <c r="A71" s="379"/>
    </row>
    <row r="72" ht="15.75">
      <c r="A72" s="379" t="s">
        <v>446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563</v>
      </c>
      <c r="B3" s="380"/>
      <c r="C3" s="380"/>
      <c r="D3" s="380"/>
      <c r="E3" s="380"/>
      <c r="F3" s="380"/>
      <c r="G3" s="380"/>
    </row>
    <row r="4" spans="1:7" ht="15.75">
      <c r="A4" s="380" t="s">
        <v>564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393</v>
      </c>
    </row>
    <row r="8" ht="15.75">
      <c r="A8" s="379" t="str">
        <f>CONCATENATE("estimated ",inputPrYr!D5," 'total expenditures' exceed your ",inputPrYr!D5,"")</f>
        <v>estimated 2012 'total expenditures' exceed your 2012</v>
      </c>
    </row>
    <row r="9" ht="15.75">
      <c r="A9" s="396" t="s">
        <v>565</v>
      </c>
    </row>
    <row r="10" ht="15.75">
      <c r="A10" s="379"/>
    </row>
    <row r="11" ht="15.75">
      <c r="A11" s="379" t="s">
        <v>566</v>
      </c>
    </row>
    <row r="12" ht="15.75">
      <c r="A12" s="379" t="s">
        <v>567</v>
      </c>
    </row>
    <row r="13" ht="15.75">
      <c r="A13" s="379" t="s">
        <v>568</v>
      </c>
    </row>
    <row r="14" ht="15.75">
      <c r="A14" s="379"/>
    </row>
    <row r="15" ht="15.75">
      <c r="A15" s="378" t="s">
        <v>569</v>
      </c>
    </row>
    <row r="16" spans="1:7" ht="15.75">
      <c r="A16" s="380"/>
      <c r="B16" s="380"/>
      <c r="C16" s="380"/>
      <c r="D16" s="380"/>
      <c r="E16" s="380"/>
      <c r="F16" s="380"/>
      <c r="G16" s="380"/>
    </row>
    <row r="17" spans="1:8" ht="15.75">
      <c r="A17" s="397" t="s">
        <v>570</v>
      </c>
      <c r="B17" s="374"/>
      <c r="C17" s="374"/>
      <c r="D17" s="374"/>
      <c r="E17" s="374"/>
      <c r="F17" s="374"/>
      <c r="G17" s="374"/>
      <c r="H17" s="374"/>
    </row>
    <row r="18" spans="1:7" ht="15.75">
      <c r="A18" s="379" t="s">
        <v>571</v>
      </c>
      <c r="B18" s="398"/>
      <c r="C18" s="398"/>
      <c r="D18" s="398"/>
      <c r="E18" s="398"/>
      <c r="F18" s="398"/>
      <c r="G18" s="398"/>
    </row>
    <row r="19" ht="15.75">
      <c r="A19" s="379" t="s">
        <v>572</v>
      </c>
    </row>
    <row r="20" ht="15.75">
      <c r="A20" s="379" t="s">
        <v>573</v>
      </c>
    </row>
    <row r="22" ht="15.75">
      <c r="A22" s="378" t="s">
        <v>574</v>
      </c>
    </row>
    <row r="24" ht="15.75">
      <c r="A24" s="379" t="s">
        <v>575</v>
      </c>
    </row>
    <row r="25" ht="15.75">
      <c r="A25" s="379" t="s">
        <v>576</v>
      </c>
    </row>
    <row r="26" ht="15.75">
      <c r="A26" s="379" t="s">
        <v>577</v>
      </c>
    </row>
    <row r="28" ht="15.75">
      <c r="A28" s="378" t="s">
        <v>578</v>
      </c>
    </row>
    <row r="30" ht="15.75">
      <c r="A30" t="s">
        <v>579</v>
      </c>
    </row>
    <row r="31" ht="15.75">
      <c r="A31" t="s">
        <v>580</v>
      </c>
    </row>
    <row r="32" ht="15.75">
      <c r="A32" t="s">
        <v>581</v>
      </c>
    </row>
    <row r="33" ht="15.75">
      <c r="A33" s="37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9" t="s">
        <v>595</v>
      </c>
    </row>
    <row r="50" ht="15.75">
      <c r="A50" s="379"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694" t="s">
        <v>646</v>
      </c>
      <c r="C6" s="695"/>
      <c r="D6" s="695"/>
      <c r="E6" s="695"/>
      <c r="F6" s="695"/>
      <c r="G6" s="695"/>
      <c r="H6" s="695"/>
      <c r="I6" s="695"/>
      <c r="J6" s="695"/>
      <c r="K6" s="695"/>
      <c r="L6" s="445"/>
    </row>
    <row r="7" spans="1:12" ht="40.5" customHeight="1">
      <c r="A7" s="442"/>
      <c r="B7" s="696" t="s">
        <v>647</v>
      </c>
      <c r="C7" s="697"/>
      <c r="D7" s="697"/>
      <c r="E7" s="697"/>
      <c r="F7" s="697"/>
      <c r="G7" s="697"/>
      <c r="H7" s="697"/>
      <c r="I7" s="697"/>
      <c r="J7" s="697"/>
      <c r="K7" s="697"/>
      <c r="L7" s="442"/>
    </row>
    <row r="8" spans="1:12" ht="14.25">
      <c r="A8" s="442"/>
      <c r="B8" s="698" t="s">
        <v>648</v>
      </c>
      <c r="C8" s="698"/>
      <c r="D8" s="698"/>
      <c r="E8" s="698"/>
      <c r="F8" s="698"/>
      <c r="G8" s="698"/>
      <c r="H8" s="698"/>
      <c r="I8" s="698"/>
      <c r="J8" s="698"/>
      <c r="K8" s="698"/>
      <c r="L8" s="442"/>
    </row>
    <row r="9" spans="1:12" ht="14.25">
      <c r="A9" s="442"/>
      <c r="L9" s="442"/>
    </row>
    <row r="10" spans="1:12" ht="14.25">
      <c r="A10" s="442"/>
      <c r="B10" s="698" t="s">
        <v>649</v>
      </c>
      <c r="C10" s="698"/>
      <c r="D10" s="698"/>
      <c r="E10" s="698"/>
      <c r="F10" s="698"/>
      <c r="G10" s="698"/>
      <c r="H10" s="698"/>
      <c r="I10" s="698"/>
      <c r="J10" s="698"/>
      <c r="K10" s="698"/>
      <c r="L10" s="442"/>
    </row>
    <row r="11" spans="1:12" ht="14.25">
      <c r="A11" s="442"/>
      <c r="B11" s="446"/>
      <c r="C11" s="446"/>
      <c r="D11" s="446"/>
      <c r="E11" s="446"/>
      <c r="F11" s="446"/>
      <c r="G11" s="446"/>
      <c r="H11" s="446"/>
      <c r="I11" s="446"/>
      <c r="J11" s="446"/>
      <c r="K11" s="446"/>
      <c r="L11" s="442"/>
    </row>
    <row r="12" spans="1:12" ht="32.25" customHeight="1">
      <c r="A12" s="442"/>
      <c r="B12" s="699" t="s">
        <v>650</v>
      </c>
      <c r="C12" s="699"/>
      <c r="D12" s="699"/>
      <c r="E12" s="699"/>
      <c r="F12" s="699"/>
      <c r="G12" s="699"/>
      <c r="H12" s="699"/>
      <c r="I12" s="699"/>
      <c r="J12" s="699"/>
      <c r="K12" s="699"/>
      <c r="L12" s="442"/>
    </row>
    <row r="13" spans="1:12" ht="14.25">
      <c r="A13" s="442"/>
      <c r="L13" s="442"/>
    </row>
    <row r="14" spans="1:12" ht="14.25">
      <c r="A14" s="442"/>
      <c r="B14" s="447" t="s">
        <v>651</v>
      </c>
      <c r="L14" s="442"/>
    </row>
    <row r="15" spans="1:12" ht="14.25">
      <c r="A15" s="442"/>
      <c r="L15" s="442"/>
    </row>
    <row r="16" spans="1:12" ht="14.25">
      <c r="A16" s="442"/>
      <c r="B16" s="444" t="s">
        <v>652</v>
      </c>
      <c r="L16" s="442"/>
    </row>
    <row r="17" spans="1:12" ht="14.25">
      <c r="A17" s="442"/>
      <c r="B17" s="444" t="s">
        <v>653</v>
      </c>
      <c r="L17" s="442"/>
    </row>
    <row r="18" spans="1:12" ht="14.25">
      <c r="A18" s="442"/>
      <c r="L18" s="442"/>
    </row>
    <row r="19" spans="1:12" ht="14.25">
      <c r="A19" s="442"/>
      <c r="B19" s="447" t="s">
        <v>654</v>
      </c>
      <c r="L19" s="442"/>
    </row>
    <row r="20" spans="1:12" ht="14.25">
      <c r="A20" s="442"/>
      <c r="B20" s="447"/>
      <c r="L20" s="442"/>
    </row>
    <row r="21" spans="1:12" ht="14.25">
      <c r="A21" s="442"/>
      <c r="B21" s="444" t="s">
        <v>655</v>
      </c>
      <c r="L21" s="442"/>
    </row>
    <row r="22" spans="1:12" ht="14.25">
      <c r="A22" s="442"/>
      <c r="L22" s="442"/>
    </row>
    <row r="23" spans="1:12" ht="14.25">
      <c r="A23" s="442"/>
      <c r="B23" s="444" t="s">
        <v>656</v>
      </c>
      <c r="E23" s="444" t="s">
        <v>657</v>
      </c>
      <c r="F23" s="700">
        <v>133685008</v>
      </c>
      <c r="G23" s="700"/>
      <c r="L23" s="442"/>
    </row>
    <row r="24" spans="1:12" ht="14.25">
      <c r="A24" s="442"/>
      <c r="L24" s="442"/>
    </row>
    <row r="25" spans="1:12" ht="14.25">
      <c r="A25" s="442"/>
      <c r="C25" s="701">
        <f>F23</f>
        <v>133685008</v>
      </c>
      <c r="D25" s="701"/>
      <c r="E25" s="444" t="s">
        <v>658</v>
      </c>
      <c r="F25" s="448">
        <v>1000</v>
      </c>
      <c r="G25" s="448" t="s">
        <v>657</v>
      </c>
      <c r="H25" s="449">
        <f>F23/F25</f>
        <v>133685.008</v>
      </c>
      <c r="L25" s="442"/>
    </row>
    <row r="26" spans="1:12" ht="15" thickBot="1">
      <c r="A26" s="442"/>
      <c r="L26" s="442"/>
    </row>
    <row r="27" spans="1:12" ht="14.25">
      <c r="A27" s="442"/>
      <c r="B27" s="450" t="s">
        <v>651</v>
      </c>
      <c r="C27" s="451"/>
      <c r="D27" s="451"/>
      <c r="E27" s="451"/>
      <c r="F27" s="451"/>
      <c r="G27" s="451"/>
      <c r="H27" s="451"/>
      <c r="I27" s="451"/>
      <c r="J27" s="451"/>
      <c r="K27" s="452"/>
      <c r="L27" s="442"/>
    </row>
    <row r="28" spans="1:12" ht="14.25">
      <c r="A28" s="442"/>
      <c r="B28" s="453">
        <f>F23</f>
        <v>133685008</v>
      </c>
      <c r="C28" s="454" t="s">
        <v>659</v>
      </c>
      <c r="D28" s="454"/>
      <c r="E28" s="454" t="s">
        <v>658</v>
      </c>
      <c r="F28" s="455">
        <v>1000</v>
      </c>
      <c r="G28" s="455" t="s">
        <v>657</v>
      </c>
      <c r="H28" s="456">
        <f>B28/F28</f>
        <v>133685.008</v>
      </c>
      <c r="I28" s="454" t="s">
        <v>660</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2" t="s">
        <v>647</v>
      </c>
      <c r="C30" s="702"/>
      <c r="D30" s="702"/>
      <c r="E30" s="702"/>
      <c r="F30" s="702"/>
      <c r="G30" s="702"/>
      <c r="H30" s="702"/>
      <c r="I30" s="702"/>
      <c r="J30" s="702"/>
      <c r="K30" s="702"/>
      <c r="L30" s="442"/>
    </row>
    <row r="31" spans="1:12" ht="14.25">
      <c r="A31" s="442"/>
      <c r="B31" s="698" t="s">
        <v>661</v>
      </c>
      <c r="C31" s="698"/>
      <c r="D31" s="698"/>
      <c r="E31" s="698"/>
      <c r="F31" s="698"/>
      <c r="G31" s="698"/>
      <c r="H31" s="698"/>
      <c r="I31" s="698"/>
      <c r="J31" s="698"/>
      <c r="K31" s="698"/>
      <c r="L31" s="442"/>
    </row>
    <row r="32" spans="1:12" ht="14.25">
      <c r="A32" s="442"/>
      <c r="L32" s="442"/>
    </row>
    <row r="33" spans="1:12" ht="14.25">
      <c r="A33" s="442"/>
      <c r="B33" s="698" t="s">
        <v>662</v>
      </c>
      <c r="C33" s="698"/>
      <c r="D33" s="698"/>
      <c r="E33" s="698"/>
      <c r="F33" s="698"/>
      <c r="G33" s="698"/>
      <c r="H33" s="698"/>
      <c r="I33" s="698"/>
      <c r="J33" s="698"/>
      <c r="K33" s="698"/>
      <c r="L33" s="442"/>
    </row>
    <row r="34" spans="1:12" ht="14.25">
      <c r="A34" s="442"/>
      <c r="L34" s="442"/>
    </row>
    <row r="35" spans="1:12" ht="89.25" customHeight="1">
      <c r="A35" s="442"/>
      <c r="B35" s="699" t="s">
        <v>663</v>
      </c>
      <c r="C35" s="703"/>
      <c r="D35" s="703"/>
      <c r="E35" s="703"/>
      <c r="F35" s="703"/>
      <c r="G35" s="703"/>
      <c r="H35" s="703"/>
      <c r="I35" s="703"/>
      <c r="J35" s="703"/>
      <c r="K35" s="703"/>
      <c r="L35" s="442"/>
    </row>
    <row r="36" spans="1:12" ht="14.25">
      <c r="A36" s="442"/>
      <c r="L36" s="442"/>
    </row>
    <row r="37" spans="1:12" ht="14.25">
      <c r="A37" s="442"/>
      <c r="B37" s="447" t="s">
        <v>664</v>
      </c>
      <c r="L37" s="442"/>
    </row>
    <row r="38" spans="1:12" ht="14.25">
      <c r="A38" s="442"/>
      <c r="L38" s="442"/>
    </row>
    <row r="39" spans="1:12" ht="14.25">
      <c r="A39" s="442"/>
      <c r="B39" s="444" t="s">
        <v>665</v>
      </c>
      <c r="L39" s="442"/>
    </row>
    <row r="40" spans="1:12" ht="14.25">
      <c r="A40" s="442"/>
      <c r="L40" s="442"/>
    </row>
    <row r="41" spans="1:12" ht="14.25">
      <c r="A41" s="442"/>
      <c r="C41" s="704">
        <v>3120000</v>
      </c>
      <c r="D41" s="704"/>
      <c r="E41" s="444" t="s">
        <v>658</v>
      </c>
      <c r="F41" s="448">
        <v>1000</v>
      </c>
      <c r="G41" s="448" t="s">
        <v>657</v>
      </c>
      <c r="H41" s="461">
        <f>C41/F41</f>
        <v>3120</v>
      </c>
      <c r="L41" s="442"/>
    </row>
    <row r="42" spans="1:12" ht="14.25">
      <c r="A42" s="442"/>
      <c r="L42" s="442"/>
    </row>
    <row r="43" spans="1:12" ht="14.25">
      <c r="A43" s="442"/>
      <c r="B43" s="444" t="s">
        <v>666</v>
      </c>
      <c r="L43" s="442"/>
    </row>
    <row r="44" spans="1:12" ht="14.25">
      <c r="A44" s="442"/>
      <c r="L44" s="442"/>
    </row>
    <row r="45" spans="1:12" ht="14.25">
      <c r="A45" s="442"/>
      <c r="B45" s="444" t="s">
        <v>667</v>
      </c>
      <c r="L45" s="442"/>
    </row>
    <row r="46" spans="1:12" ht="15" thickBot="1">
      <c r="A46" s="442"/>
      <c r="L46" s="442"/>
    </row>
    <row r="47" spans="1:12" ht="14.25">
      <c r="A47" s="442"/>
      <c r="B47" s="462" t="s">
        <v>651</v>
      </c>
      <c r="C47" s="451"/>
      <c r="D47" s="451"/>
      <c r="E47" s="451"/>
      <c r="F47" s="451"/>
      <c r="G47" s="451"/>
      <c r="H47" s="451"/>
      <c r="I47" s="451"/>
      <c r="J47" s="451"/>
      <c r="K47" s="452"/>
      <c r="L47" s="442"/>
    </row>
    <row r="48" spans="1:12" ht="14.25">
      <c r="A48" s="442"/>
      <c r="B48" s="700">
        <v>133685008</v>
      </c>
      <c r="C48" s="700"/>
      <c r="D48" s="454" t="s">
        <v>668</v>
      </c>
      <c r="E48" s="454" t="s">
        <v>658</v>
      </c>
      <c r="F48" s="455">
        <v>1000</v>
      </c>
      <c r="G48" s="455" t="s">
        <v>657</v>
      </c>
      <c r="H48" s="456">
        <f>B48/F48</f>
        <v>133685.008</v>
      </c>
      <c r="I48" s="454" t="s">
        <v>669</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670</v>
      </c>
      <c r="D50" s="454"/>
      <c r="E50" s="454" t="s">
        <v>658</v>
      </c>
      <c r="F50" s="456">
        <f>H48</f>
        <v>133685.008</v>
      </c>
      <c r="G50" s="705" t="s">
        <v>671</v>
      </c>
      <c r="H50" s="706"/>
      <c r="I50" s="455" t="s">
        <v>657</v>
      </c>
      <c r="J50" s="465">
        <f>B50/F50</f>
        <v>52.8690023342034</v>
      </c>
      <c r="K50" s="457"/>
      <c r="L50" s="442"/>
    </row>
    <row r="51" spans="1:15" ht="15" thickBot="1">
      <c r="A51" s="442"/>
      <c r="B51" s="458"/>
      <c r="C51" s="459"/>
      <c r="D51" s="459"/>
      <c r="E51" s="459"/>
      <c r="F51" s="459"/>
      <c r="G51" s="459"/>
      <c r="H51" s="459"/>
      <c r="I51" s="707" t="s">
        <v>672</v>
      </c>
      <c r="J51" s="707"/>
      <c r="K51" s="708"/>
      <c r="L51" s="442"/>
      <c r="O51" s="466"/>
    </row>
    <row r="52" spans="1:12" ht="40.5" customHeight="1">
      <c r="A52" s="442"/>
      <c r="B52" s="702" t="s">
        <v>647</v>
      </c>
      <c r="C52" s="702"/>
      <c r="D52" s="702"/>
      <c r="E52" s="702"/>
      <c r="F52" s="702"/>
      <c r="G52" s="702"/>
      <c r="H52" s="702"/>
      <c r="I52" s="702"/>
      <c r="J52" s="702"/>
      <c r="K52" s="702"/>
      <c r="L52" s="442"/>
    </row>
    <row r="53" spans="1:12" ht="14.25">
      <c r="A53" s="442"/>
      <c r="B53" s="698" t="s">
        <v>673</v>
      </c>
      <c r="C53" s="698"/>
      <c r="D53" s="698"/>
      <c r="E53" s="698"/>
      <c r="F53" s="698"/>
      <c r="G53" s="698"/>
      <c r="H53" s="698"/>
      <c r="I53" s="698"/>
      <c r="J53" s="698"/>
      <c r="K53" s="698"/>
      <c r="L53" s="442"/>
    </row>
    <row r="54" spans="1:12" ht="14.25">
      <c r="A54" s="442"/>
      <c r="B54" s="446"/>
      <c r="C54" s="446"/>
      <c r="D54" s="446"/>
      <c r="E54" s="446"/>
      <c r="F54" s="446"/>
      <c r="G54" s="446"/>
      <c r="H54" s="446"/>
      <c r="I54" s="446"/>
      <c r="J54" s="446"/>
      <c r="K54" s="446"/>
      <c r="L54" s="442"/>
    </row>
    <row r="55" spans="1:12" ht="14.25">
      <c r="A55" s="442"/>
      <c r="B55" s="694" t="s">
        <v>674</v>
      </c>
      <c r="C55" s="694"/>
      <c r="D55" s="694"/>
      <c r="E55" s="694"/>
      <c r="F55" s="694"/>
      <c r="G55" s="694"/>
      <c r="H55" s="694"/>
      <c r="I55" s="694"/>
      <c r="J55" s="694"/>
      <c r="K55" s="694"/>
      <c r="L55" s="442"/>
    </row>
    <row r="56" spans="1:12" ht="15" customHeight="1">
      <c r="A56" s="442"/>
      <c r="L56" s="442"/>
    </row>
    <row r="57" spans="1:24" ht="74.25" customHeight="1">
      <c r="A57" s="442"/>
      <c r="B57" s="699" t="s">
        <v>675</v>
      </c>
      <c r="C57" s="703"/>
      <c r="D57" s="703"/>
      <c r="E57" s="703"/>
      <c r="F57" s="703"/>
      <c r="G57" s="703"/>
      <c r="H57" s="703"/>
      <c r="I57" s="703"/>
      <c r="J57" s="703"/>
      <c r="K57" s="703"/>
      <c r="L57" s="442"/>
      <c r="M57" s="467"/>
      <c r="N57" s="468"/>
      <c r="O57" s="468"/>
      <c r="P57" s="468"/>
      <c r="Q57" s="468"/>
      <c r="R57" s="468"/>
      <c r="S57" s="468"/>
      <c r="T57" s="468"/>
      <c r="U57" s="468"/>
      <c r="V57" s="468"/>
      <c r="W57" s="468"/>
      <c r="X57" s="468"/>
    </row>
    <row r="58" spans="1:24" ht="15" customHeight="1">
      <c r="A58" s="442"/>
      <c r="B58" s="699"/>
      <c r="C58" s="703"/>
      <c r="D58" s="703"/>
      <c r="E58" s="703"/>
      <c r="F58" s="703"/>
      <c r="G58" s="703"/>
      <c r="H58" s="703"/>
      <c r="I58" s="703"/>
      <c r="J58" s="703"/>
      <c r="K58" s="703"/>
      <c r="L58" s="442"/>
      <c r="M58" s="467"/>
      <c r="N58" s="468"/>
      <c r="O58" s="468"/>
      <c r="P58" s="468"/>
      <c r="Q58" s="468"/>
      <c r="R58" s="468"/>
      <c r="S58" s="468"/>
      <c r="T58" s="468"/>
      <c r="U58" s="468"/>
      <c r="V58" s="468"/>
      <c r="W58" s="468"/>
      <c r="X58" s="468"/>
    </row>
    <row r="59" spans="1:24" ht="14.25">
      <c r="A59" s="442"/>
      <c r="B59" s="447" t="s">
        <v>664</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676</v>
      </c>
      <c r="L61" s="442"/>
      <c r="M61" s="468"/>
      <c r="N61" s="468"/>
      <c r="O61" s="468"/>
      <c r="P61" s="468"/>
      <c r="Q61" s="468"/>
      <c r="R61" s="468"/>
      <c r="S61" s="468"/>
      <c r="T61" s="468"/>
      <c r="U61" s="468"/>
      <c r="V61" s="468"/>
      <c r="W61" s="468"/>
      <c r="X61" s="468"/>
    </row>
    <row r="62" spans="1:24" ht="14.25">
      <c r="A62" s="442"/>
      <c r="B62" s="444" t="s">
        <v>677</v>
      </c>
      <c r="L62" s="442"/>
      <c r="M62" s="468"/>
      <c r="N62" s="468"/>
      <c r="O62" s="468"/>
      <c r="P62" s="468"/>
      <c r="Q62" s="468"/>
      <c r="R62" s="468"/>
      <c r="S62" s="468"/>
      <c r="T62" s="468"/>
      <c r="U62" s="468"/>
      <c r="V62" s="468"/>
      <c r="W62" s="468"/>
      <c r="X62" s="468"/>
    </row>
    <row r="63" spans="1:24" ht="14.25">
      <c r="A63" s="442"/>
      <c r="B63" s="444" t="s">
        <v>678</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679</v>
      </c>
      <c r="L65" s="442"/>
      <c r="M65" s="468"/>
      <c r="N65" s="468"/>
      <c r="O65" s="468"/>
      <c r="P65" s="468"/>
      <c r="Q65" s="468"/>
      <c r="R65" s="468"/>
      <c r="S65" s="468"/>
      <c r="T65" s="468"/>
      <c r="U65" s="468"/>
      <c r="V65" s="468"/>
      <c r="W65" s="468"/>
      <c r="X65" s="468"/>
    </row>
    <row r="66" spans="1:24" ht="14.25">
      <c r="A66" s="442"/>
      <c r="B66" s="444" t="s">
        <v>680</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681</v>
      </c>
      <c r="L68" s="442"/>
      <c r="M68" s="469"/>
      <c r="N68" s="470"/>
      <c r="O68" s="470"/>
      <c r="P68" s="470"/>
      <c r="Q68" s="470"/>
      <c r="R68" s="470"/>
      <c r="S68" s="470"/>
      <c r="T68" s="470"/>
      <c r="U68" s="470"/>
      <c r="V68" s="470"/>
      <c r="W68" s="470"/>
      <c r="X68" s="468"/>
    </row>
    <row r="69" spans="1:24" ht="14.25">
      <c r="A69" s="442"/>
      <c r="B69" s="444" t="s">
        <v>682</v>
      </c>
      <c r="L69" s="442"/>
      <c r="M69" s="468"/>
      <c r="N69" s="468"/>
      <c r="O69" s="468"/>
      <c r="P69" s="468"/>
      <c r="Q69" s="468"/>
      <c r="R69" s="468"/>
      <c r="S69" s="468"/>
      <c r="T69" s="468"/>
      <c r="U69" s="468"/>
      <c r="V69" s="468"/>
      <c r="W69" s="468"/>
      <c r="X69" s="468"/>
    </row>
    <row r="70" spans="1:24" ht="14.25">
      <c r="A70" s="442"/>
      <c r="B70" s="444" t="s">
        <v>683</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651</v>
      </c>
      <c r="C72" s="451"/>
      <c r="D72" s="451"/>
      <c r="E72" s="451"/>
      <c r="F72" s="451"/>
      <c r="G72" s="451"/>
      <c r="H72" s="451"/>
      <c r="I72" s="451"/>
      <c r="J72" s="451"/>
      <c r="K72" s="452"/>
      <c r="L72" s="471"/>
    </row>
    <row r="73" spans="1:12" ht="14.25">
      <c r="A73" s="442"/>
      <c r="B73" s="463"/>
      <c r="C73" s="454" t="s">
        <v>659</v>
      </c>
      <c r="D73" s="454"/>
      <c r="E73" s="454"/>
      <c r="F73" s="454"/>
      <c r="G73" s="454"/>
      <c r="H73" s="454"/>
      <c r="I73" s="454"/>
      <c r="J73" s="454"/>
      <c r="K73" s="457"/>
      <c r="L73" s="471"/>
    </row>
    <row r="74" spans="1:12" ht="14.25">
      <c r="A74" s="442"/>
      <c r="B74" s="463" t="s">
        <v>684</v>
      </c>
      <c r="C74" s="700">
        <v>133685008</v>
      </c>
      <c r="D74" s="700"/>
      <c r="E74" s="455" t="s">
        <v>658</v>
      </c>
      <c r="F74" s="455">
        <v>1000</v>
      </c>
      <c r="G74" s="455" t="s">
        <v>657</v>
      </c>
      <c r="H74" s="472">
        <f>C74/F74</f>
        <v>133685.008</v>
      </c>
      <c r="I74" s="454" t="s">
        <v>685</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686</v>
      </c>
      <c r="D76" s="454"/>
      <c r="E76" s="455"/>
      <c r="F76" s="454" t="s">
        <v>685</v>
      </c>
      <c r="G76" s="454"/>
      <c r="H76" s="454"/>
      <c r="I76" s="454"/>
      <c r="J76" s="454"/>
      <c r="K76" s="457"/>
      <c r="L76" s="471"/>
    </row>
    <row r="77" spans="1:12" ht="14.25">
      <c r="A77" s="442"/>
      <c r="B77" s="463" t="s">
        <v>687</v>
      </c>
      <c r="C77" s="700">
        <v>5000</v>
      </c>
      <c r="D77" s="700"/>
      <c r="E77" s="455" t="s">
        <v>658</v>
      </c>
      <c r="F77" s="472">
        <f>H74</f>
        <v>133685.008</v>
      </c>
      <c r="G77" s="455" t="s">
        <v>657</v>
      </c>
      <c r="H77" s="465">
        <f>C77/F77</f>
        <v>0.03740135169083432</v>
      </c>
      <c r="I77" s="454" t="s">
        <v>688</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689</v>
      </c>
      <c r="D79" s="474"/>
      <c r="E79" s="475"/>
      <c r="F79" s="474"/>
      <c r="G79" s="474"/>
      <c r="H79" s="474"/>
      <c r="I79" s="474"/>
      <c r="J79" s="474"/>
      <c r="K79" s="476"/>
      <c r="L79" s="471"/>
    </row>
    <row r="80" spans="1:12" ht="14.25">
      <c r="A80" s="442"/>
      <c r="B80" s="463" t="s">
        <v>690</v>
      </c>
      <c r="C80" s="700">
        <v>100000</v>
      </c>
      <c r="D80" s="700"/>
      <c r="E80" s="455" t="s">
        <v>300</v>
      </c>
      <c r="F80" s="455">
        <v>0.115</v>
      </c>
      <c r="G80" s="455" t="s">
        <v>657</v>
      </c>
      <c r="H80" s="472">
        <f>C80*F80</f>
        <v>11500</v>
      </c>
      <c r="I80" s="454" t="s">
        <v>691</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692</v>
      </c>
      <c r="D82" s="474"/>
      <c r="E82" s="475"/>
      <c r="F82" s="474" t="s">
        <v>688</v>
      </c>
      <c r="G82" s="474"/>
      <c r="H82" s="474"/>
      <c r="I82" s="474"/>
      <c r="J82" s="474" t="s">
        <v>693</v>
      </c>
      <c r="K82" s="476"/>
      <c r="L82" s="471"/>
    </row>
    <row r="83" spans="1:12" ht="14.25">
      <c r="A83" s="442"/>
      <c r="B83" s="463" t="s">
        <v>694</v>
      </c>
      <c r="C83" s="709">
        <f>H80</f>
        <v>11500</v>
      </c>
      <c r="D83" s="709"/>
      <c r="E83" s="455" t="s">
        <v>300</v>
      </c>
      <c r="F83" s="465">
        <f>H77</f>
        <v>0.03740135169083432</v>
      </c>
      <c r="G83" s="455" t="s">
        <v>658</v>
      </c>
      <c r="H83" s="455">
        <v>1000</v>
      </c>
      <c r="I83" s="455" t="s">
        <v>657</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2" t="s">
        <v>647</v>
      </c>
      <c r="C85" s="702"/>
      <c r="D85" s="702"/>
      <c r="E85" s="702"/>
      <c r="F85" s="702"/>
      <c r="G85" s="702"/>
      <c r="H85" s="702"/>
      <c r="I85" s="702"/>
      <c r="J85" s="702"/>
      <c r="K85" s="702"/>
      <c r="L85" s="442"/>
    </row>
    <row r="86" spans="1:12" ht="14.25">
      <c r="A86" s="442"/>
      <c r="B86" s="694" t="s">
        <v>695</v>
      </c>
      <c r="C86" s="694"/>
      <c r="D86" s="694"/>
      <c r="E86" s="694"/>
      <c r="F86" s="694"/>
      <c r="G86" s="694"/>
      <c r="H86" s="694"/>
      <c r="I86" s="694"/>
      <c r="J86" s="694"/>
      <c r="K86" s="694"/>
      <c r="L86" s="442"/>
    </row>
    <row r="87" spans="1:12" ht="14.25">
      <c r="A87" s="442"/>
      <c r="B87" s="482"/>
      <c r="C87" s="482"/>
      <c r="D87" s="482"/>
      <c r="E87" s="482"/>
      <c r="F87" s="482"/>
      <c r="G87" s="482"/>
      <c r="H87" s="482"/>
      <c r="I87" s="482"/>
      <c r="J87" s="482"/>
      <c r="K87" s="482"/>
      <c r="L87" s="442"/>
    </row>
    <row r="88" spans="1:12" ht="14.25">
      <c r="A88" s="442"/>
      <c r="B88" s="694" t="s">
        <v>696</v>
      </c>
      <c r="C88" s="694"/>
      <c r="D88" s="694"/>
      <c r="E88" s="694"/>
      <c r="F88" s="694"/>
      <c r="G88" s="694"/>
      <c r="H88" s="694"/>
      <c r="I88" s="694"/>
      <c r="J88" s="694"/>
      <c r="K88" s="694"/>
      <c r="L88" s="442"/>
    </row>
    <row r="89" spans="1:12" ht="14.25">
      <c r="A89" s="442"/>
      <c r="B89" s="483"/>
      <c r="C89" s="483"/>
      <c r="D89" s="483"/>
      <c r="E89" s="483"/>
      <c r="F89" s="483"/>
      <c r="G89" s="483"/>
      <c r="H89" s="483"/>
      <c r="I89" s="483"/>
      <c r="J89" s="483"/>
      <c r="K89" s="483"/>
      <c r="L89" s="442"/>
    </row>
    <row r="90" spans="1:12" ht="45" customHeight="1">
      <c r="A90" s="442"/>
      <c r="B90" s="699" t="s">
        <v>697</v>
      </c>
      <c r="C90" s="699"/>
      <c r="D90" s="699"/>
      <c r="E90" s="699"/>
      <c r="F90" s="699"/>
      <c r="G90" s="699"/>
      <c r="H90" s="699"/>
      <c r="I90" s="699"/>
      <c r="J90" s="699"/>
      <c r="K90" s="699"/>
      <c r="L90" s="442"/>
    </row>
    <row r="91" spans="1:12" ht="15" customHeight="1" thickBot="1">
      <c r="A91" s="442"/>
      <c r="L91" s="442"/>
    </row>
    <row r="92" spans="1:12" ht="15" customHeight="1">
      <c r="A92" s="442"/>
      <c r="B92" s="484" t="s">
        <v>651</v>
      </c>
      <c r="C92" s="485"/>
      <c r="D92" s="485"/>
      <c r="E92" s="485"/>
      <c r="F92" s="485"/>
      <c r="G92" s="485"/>
      <c r="H92" s="485"/>
      <c r="I92" s="485"/>
      <c r="J92" s="485"/>
      <c r="K92" s="486"/>
      <c r="L92" s="442"/>
    </row>
    <row r="93" spans="1:12" ht="15" customHeight="1">
      <c r="A93" s="442"/>
      <c r="B93" s="487"/>
      <c r="C93" s="488" t="s">
        <v>659</v>
      </c>
      <c r="D93" s="488"/>
      <c r="E93" s="488"/>
      <c r="F93" s="488"/>
      <c r="G93" s="488"/>
      <c r="H93" s="488"/>
      <c r="I93" s="488"/>
      <c r="J93" s="488"/>
      <c r="K93" s="489"/>
      <c r="L93" s="442"/>
    </row>
    <row r="94" spans="1:12" ht="15" customHeight="1">
      <c r="A94" s="442"/>
      <c r="B94" s="487" t="s">
        <v>684</v>
      </c>
      <c r="C94" s="700">
        <v>133685008</v>
      </c>
      <c r="D94" s="700"/>
      <c r="E94" s="455" t="s">
        <v>658</v>
      </c>
      <c r="F94" s="455">
        <v>1000</v>
      </c>
      <c r="G94" s="455" t="s">
        <v>657</v>
      </c>
      <c r="H94" s="472">
        <f>C94/F94</f>
        <v>133685.008</v>
      </c>
      <c r="I94" s="488" t="s">
        <v>685</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686</v>
      </c>
      <c r="D96" s="488"/>
      <c r="E96" s="455"/>
      <c r="F96" s="488" t="s">
        <v>685</v>
      </c>
      <c r="G96" s="488"/>
      <c r="H96" s="488"/>
      <c r="I96" s="488"/>
      <c r="J96" s="488"/>
      <c r="K96" s="489"/>
      <c r="L96" s="442"/>
    </row>
    <row r="97" spans="1:12" ht="15" customHeight="1">
      <c r="A97" s="442"/>
      <c r="B97" s="487" t="s">
        <v>687</v>
      </c>
      <c r="C97" s="700">
        <v>50000</v>
      </c>
      <c r="D97" s="700"/>
      <c r="E97" s="455" t="s">
        <v>658</v>
      </c>
      <c r="F97" s="472">
        <f>H94</f>
        <v>133685.008</v>
      </c>
      <c r="G97" s="455" t="s">
        <v>657</v>
      </c>
      <c r="H97" s="465">
        <f>C97/F97</f>
        <v>0.3740135169083432</v>
      </c>
      <c r="I97" s="488" t="s">
        <v>688</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698</v>
      </c>
      <c r="D99" s="491"/>
      <c r="E99" s="475"/>
      <c r="F99" s="491"/>
      <c r="G99" s="491"/>
      <c r="H99" s="491"/>
      <c r="I99" s="491"/>
      <c r="J99" s="491"/>
      <c r="K99" s="492"/>
      <c r="L99" s="442"/>
    </row>
    <row r="100" spans="1:12" ht="15" customHeight="1">
      <c r="A100" s="442"/>
      <c r="B100" s="487" t="s">
        <v>690</v>
      </c>
      <c r="C100" s="700">
        <v>2500000</v>
      </c>
      <c r="D100" s="700"/>
      <c r="E100" s="455" t="s">
        <v>300</v>
      </c>
      <c r="F100" s="493">
        <v>0.3</v>
      </c>
      <c r="G100" s="455" t="s">
        <v>657</v>
      </c>
      <c r="H100" s="472">
        <f>C100*F100</f>
        <v>750000</v>
      </c>
      <c r="I100" s="488" t="s">
        <v>691</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692</v>
      </c>
      <c r="D102" s="491"/>
      <c r="E102" s="475"/>
      <c r="F102" s="491" t="s">
        <v>688</v>
      </c>
      <c r="G102" s="491"/>
      <c r="H102" s="491"/>
      <c r="I102" s="491"/>
      <c r="J102" s="491" t="s">
        <v>693</v>
      </c>
      <c r="K102" s="492"/>
      <c r="L102" s="442"/>
    </row>
    <row r="103" spans="1:12" ht="15" customHeight="1">
      <c r="A103" s="442"/>
      <c r="B103" s="487" t="s">
        <v>694</v>
      </c>
      <c r="C103" s="709">
        <f>H100</f>
        <v>750000</v>
      </c>
      <c r="D103" s="709"/>
      <c r="E103" s="455" t="s">
        <v>300</v>
      </c>
      <c r="F103" s="465">
        <f>H97</f>
        <v>0.3740135169083432</v>
      </c>
      <c r="G103" s="455" t="s">
        <v>658</v>
      </c>
      <c r="H103" s="455">
        <v>1000</v>
      </c>
      <c r="I103" s="455" t="s">
        <v>657</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2" t="s">
        <v>647</v>
      </c>
      <c r="C105" s="710"/>
      <c r="D105" s="710"/>
      <c r="E105" s="710"/>
      <c r="F105" s="710"/>
      <c r="G105" s="710"/>
      <c r="H105" s="710"/>
      <c r="I105" s="710"/>
      <c r="J105" s="710"/>
      <c r="K105" s="710"/>
      <c r="L105" s="442"/>
    </row>
    <row r="106" spans="1:12" ht="15" customHeight="1">
      <c r="A106" s="442"/>
      <c r="B106" s="711" t="s">
        <v>699</v>
      </c>
      <c r="C106" s="695"/>
      <c r="D106" s="695"/>
      <c r="E106" s="695"/>
      <c r="F106" s="695"/>
      <c r="G106" s="695"/>
      <c r="H106" s="695"/>
      <c r="I106" s="695"/>
      <c r="J106" s="695"/>
      <c r="K106" s="695"/>
      <c r="L106" s="442"/>
    </row>
    <row r="107" spans="1:12" ht="15" customHeight="1">
      <c r="A107" s="442"/>
      <c r="B107" s="488"/>
      <c r="C107" s="496"/>
      <c r="D107" s="496"/>
      <c r="E107" s="455"/>
      <c r="F107" s="465"/>
      <c r="G107" s="455"/>
      <c r="H107" s="455"/>
      <c r="I107" s="455"/>
      <c r="J107" s="477"/>
      <c r="K107" s="488"/>
      <c r="L107" s="442"/>
    </row>
    <row r="108" spans="1:12" ht="15" customHeight="1">
      <c r="A108" s="442"/>
      <c r="B108" s="711" t="s">
        <v>700</v>
      </c>
      <c r="C108" s="712"/>
      <c r="D108" s="712"/>
      <c r="E108" s="712"/>
      <c r="F108" s="712"/>
      <c r="G108" s="712"/>
      <c r="H108" s="712"/>
      <c r="I108" s="712"/>
      <c r="J108" s="712"/>
      <c r="K108" s="712"/>
      <c r="L108" s="442"/>
    </row>
    <row r="109" spans="1:12" ht="15" customHeight="1">
      <c r="A109" s="442"/>
      <c r="B109" s="488"/>
      <c r="C109" s="496"/>
      <c r="D109" s="496"/>
      <c r="E109" s="455"/>
      <c r="F109" s="465"/>
      <c r="G109" s="455"/>
      <c r="H109" s="455"/>
      <c r="I109" s="455"/>
      <c r="J109" s="477"/>
      <c r="K109" s="488"/>
      <c r="L109" s="442"/>
    </row>
    <row r="110" spans="1:12" ht="59.25" customHeight="1">
      <c r="A110" s="442"/>
      <c r="B110" s="713" t="s">
        <v>701</v>
      </c>
      <c r="C110" s="703"/>
      <c r="D110" s="703"/>
      <c r="E110" s="703"/>
      <c r="F110" s="703"/>
      <c r="G110" s="703"/>
      <c r="H110" s="703"/>
      <c r="I110" s="703"/>
      <c r="J110" s="703"/>
      <c r="K110" s="703"/>
      <c r="L110" s="442"/>
    </row>
    <row r="111" spans="1:12" ht="15" thickBot="1">
      <c r="A111" s="442"/>
      <c r="B111" s="446"/>
      <c r="C111" s="446"/>
      <c r="D111" s="446"/>
      <c r="E111" s="446"/>
      <c r="F111" s="446"/>
      <c r="G111" s="446"/>
      <c r="H111" s="446"/>
      <c r="I111" s="446"/>
      <c r="J111" s="446"/>
      <c r="K111" s="446"/>
      <c r="L111" s="497"/>
    </row>
    <row r="112" spans="1:12" ht="14.25">
      <c r="A112" s="442"/>
      <c r="B112" s="450" t="s">
        <v>651</v>
      </c>
      <c r="C112" s="451"/>
      <c r="D112" s="451"/>
      <c r="E112" s="451"/>
      <c r="F112" s="451"/>
      <c r="G112" s="451"/>
      <c r="H112" s="451"/>
      <c r="I112" s="451"/>
      <c r="J112" s="451"/>
      <c r="K112" s="452"/>
      <c r="L112" s="442"/>
    </row>
    <row r="113" spans="1:12" ht="14.25">
      <c r="A113" s="442"/>
      <c r="B113" s="463"/>
      <c r="C113" s="454" t="s">
        <v>659</v>
      </c>
      <c r="D113" s="454"/>
      <c r="E113" s="454"/>
      <c r="F113" s="454"/>
      <c r="G113" s="454"/>
      <c r="H113" s="454"/>
      <c r="I113" s="454"/>
      <c r="J113" s="454"/>
      <c r="K113" s="457"/>
      <c r="L113" s="442"/>
    </row>
    <row r="114" spans="1:12" ht="14.25">
      <c r="A114" s="442"/>
      <c r="B114" s="463" t="s">
        <v>684</v>
      </c>
      <c r="C114" s="700">
        <v>133685008</v>
      </c>
      <c r="D114" s="700"/>
      <c r="E114" s="455" t="s">
        <v>658</v>
      </c>
      <c r="F114" s="455">
        <v>1000</v>
      </c>
      <c r="G114" s="455" t="s">
        <v>657</v>
      </c>
      <c r="H114" s="472">
        <f>C114/F114</f>
        <v>133685.008</v>
      </c>
      <c r="I114" s="454" t="s">
        <v>685</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686</v>
      </c>
      <c r="D116" s="454"/>
      <c r="E116" s="455"/>
      <c r="F116" s="454" t="s">
        <v>685</v>
      </c>
      <c r="G116" s="454"/>
      <c r="H116" s="454"/>
      <c r="I116" s="454"/>
      <c r="J116" s="454"/>
      <c r="K116" s="457"/>
      <c r="L116" s="442"/>
    </row>
    <row r="117" spans="1:12" ht="14.25">
      <c r="A117" s="442"/>
      <c r="B117" s="463" t="s">
        <v>687</v>
      </c>
      <c r="C117" s="700">
        <v>50000</v>
      </c>
      <c r="D117" s="700"/>
      <c r="E117" s="455" t="s">
        <v>658</v>
      </c>
      <c r="F117" s="472">
        <f>H114</f>
        <v>133685.008</v>
      </c>
      <c r="G117" s="455" t="s">
        <v>657</v>
      </c>
      <c r="H117" s="465">
        <f>C117/F117</f>
        <v>0.3740135169083432</v>
      </c>
      <c r="I117" s="454" t="s">
        <v>688</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698</v>
      </c>
      <c r="D119" s="474"/>
      <c r="E119" s="475"/>
      <c r="F119" s="474"/>
      <c r="G119" s="474"/>
      <c r="H119" s="474"/>
      <c r="I119" s="474"/>
      <c r="J119" s="474"/>
      <c r="K119" s="476"/>
      <c r="L119" s="442"/>
    </row>
    <row r="120" spans="1:12" ht="14.25">
      <c r="A120" s="442"/>
      <c r="B120" s="463" t="s">
        <v>690</v>
      </c>
      <c r="C120" s="700">
        <v>2500000</v>
      </c>
      <c r="D120" s="700"/>
      <c r="E120" s="455" t="s">
        <v>300</v>
      </c>
      <c r="F120" s="493">
        <v>0.25</v>
      </c>
      <c r="G120" s="455" t="s">
        <v>657</v>
      </c>
      <c r="H120" s="472">
        <f>C120*F120</f>
        <v>625000</v>
      </c>
      <c r="I120" s="454" t="s">
        <v>691</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692</v>
      </c>
      <c r="D122" s="474"/>
      <c r="E122" s="475"/>
      <c r="F122" s="474" t="s">
        <v>688</v>
      </c>
      <c r="G122" s="474"/>
      <c r="H122" s="474"/>
      <c r="I122" s="474"/>
      <c r="J122" s="474" t="s">
        <v>693</v>
      </c>
      <c r="K122" s="476"/>
      <c r="L122" s="442"/>
    </row>
    <row r="123" spans="1:12" ht="14.25">
      <c r="A123" s="442"/>
      <c r="B123" s="463" t="s">
        <v>694</v>
      </c>
      <c r="C123" s="709">
        <f>H120</f>
        <v>625000</v>
      </c>
      <c r="D123" s="709"/>
      <c r="E123" s="455" t="s">
        <v>300</v>
      </c>
      <c r="F123" s="465">
        <f>H117</f>
        <v>0.3740135169083432</v>
      </c>
      <c r="G123" s="455" t="s">
        <v>658</v>
      </c>
      <c r="H123" s="455">
        <v>1000</v>
      </c>
      <c r="I123" s="455" t="s">
        <v>657</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2" t="s">
        <v>647</v>
      </c>
      <c r="C125" s="702"/>
      <c r="D125" s="702"/>
      <c r="E125" s="702"/>
      <c r="F125" s="702"/>
      <c r="G125" s="702"/>
      <c r="H125" s="702"/>
      <c r="I125" s="702"/>
      <c r="J125" s="702"/>
      <c r="K125" s="702"/>
      <c r="L125" s="497"/>
    </row>
    <row r="126" spans="1:12" ht="14.25">
      <c r="A126" s="442"/>
      <c r="B126" s="694" t="s">
        <v>702</v>
      </c>
      <c r="C126" s="694"/>
      <c r="D126" s="694"/>
      <c r="E126" s="694"/>
      <c r="F126" s="694"/>
      <c r="G126" s="694"/>
      <c r="H126" s="694"/>
      <c r="I126" s="694"/>
      <c r="J126" s="694"/>
      <c r="K126" s="694"/>
      <c r="L126" s="497"/>
    </row>
    <row r="127" spans="1:12" ht="14.25">
      <c r="A127" s="442"/>
      <c r="B127" s="446"/>
      <c r="C127" s="446"/>
      <c r="D127" s="446"/>
      <c r="E127" s="446"/>
      <c r="F127" s="446"/>
      <c r="G127" s="446"/>
      <c r="H127" s="446"/>
      <c r="I127" s="446"/>
      <c r="J127" s="446"/>
      <c r="K127" s="446"/>
      <c r="L127" s="497"/>
    </row>
    <row r="128" spans="1:12" ht="14.25">
      <c r="A128" s="442"/>
      <c r="B128" s="694" t="s">
        <v>703</v>
      </c>
      <c r="C128" s="694"/>
      <c r="D128" s="694"/>
      <c r="E128" s="694"/>
      <c r="F128" s="694"/>
      <c r="G128" s="694"/>
      <c r="H128" s="694"/>
      <c r="I128" s="694"/>
      <c r="J128" s="694"/>
      <c r="K128" s="694"/>
      <c r="L128" s="497"/>
    </row>
    <row r="129" spans="1:12" ht="14.25">
      <c r="A129" s="442"/>
      <c r="B129" s="483"/>
      <c r="C129" s="483"/>
      <c r="D129" s="483"/>
      <c r="E129" s="483"/>
      <c r="F129" s="483"/>
      <c r="G129" s="483"/>
      <c r="H129" s="483"/>
      <c r="I129" s="483"/>
      <c r="J129" s="483"/>
      <c r="K129" s="483"/>
      <c r="L129" s="497"/>
    </row>
    <row r="130" spans="1:12" ht="74.25" customHeight="1">
      <c r="A130" s="442"/>
      <c r="B130" s="699" t="s">
        <v>704</v>
      </c>
      <c r="C130" s="699"/>
      <c r="D130" s="699"/>
      <c r="E130" s="699"/>
      <c r="F130" s="699"/>
      <c r="G130" s="699"/>
      <c r="H130" s="699"/>
      <c r="I130" s="699"/>
      <c r="J130" s="699"/>
      <c r="K130" s="699"/>
      <c r="L130" s="497"/>
    </row>
    <row r="131" spans="1:12" ht="15" thickBot="1">
      <c r="A131" s="442"/>
      <c r="L131" s="442"/>
    </row>
    <row r="132" spans="1:12" ht="14.25">
      <c r="A132" s="442"/>
      <c r="B132" s="450" t="s">
        <v>651</v>
      </c>
      <c r="C132" s="451"/>
      <c r="D132" s="451"/>
      <c r="E132" s="451"/>
      <c r="F132" s="451"/>
      <c r="G132" s="451"/>
      <c r="H132" s="451"/>
      <c r="I132" s="451"/>
      <c r="J132" s="451"/>
      <c r="K132" s="452"/>
      <c r="L132" s="442"/>
    </row>
    <row r="133" spans="1:12" ht="14.25">
      <c r="A133" s="442"/>
      <c r="B133" s="463"/>
      <c r="C133" s="714" t="s">
        <v>705</v>
      </c>
      <c r="D133" s="714"/>
      <c r="E133" s="454"/>
      <c r="F133" s="455" t="s">
        <v>706</v>
      </c>
      <c r="G133" s="454"/>
      <c r="H133" s="714" t="s">
        <v>691</v>
      </c>
      <c r="I133" s="714"/>
      <c r="J133" s="454"/>
      <c r="K133" s="457"/>
      <c r="L133" s="442"/>
    </row>
    <row r="134" spans="1:12" ht="14.25">
      <c r="A134" s="442"/>
      <c r="B134" s="463" t="s">
        <v>684</v>
      </c>
      <c r="C134" s="700">
        <v>100000</v>
      </c>
      <c r="D134" s="700"/>
      <c r="E134" s="455" t="s">
        <v>300</v>
      </c>
      <c r="F134" s="455">
        <v>0.115</v>
      </c>
      <c r="G134" s="455" t="s">
        <v>657</v>
      </c>
      <c r="H134" s="715">
        <f>C134*F134</f>
        <v>11500</v>
      </c>
      <c r="I134" s="715"/>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716" t="s">
        <v>691</v>
      </c>
      <c r="D136" s="716"/>
      <c r="E136" s="474"/>
      <c r="F136" s="475" t="s">
        <v>707</v>
      </c>
      <c r="G136" s="475"/>
      <c r="H136" s="474"/>
      <c r="I136" s="474"/>
      <c r="J136" s="474" t="s">
        <v>708</v>
      </c>
      <c r="K136" s="476"/>
      <c r="L136" s="442"/>
    </row>
    <row r="137" spans="1:12" ht="14.25">
      <c r="A137" s="442"/>
      <c r="B137" s="463" t="s">
        <v>687</v>
      </c>
      <c r="C137" s="715">
        <f>H134</f>
        <v>11500</v>
      </c>
      <c r="D137" s="715"/>
      <c r="E137" s="455" t="s">
        <v>300</v>
      </c>
      <c r="F137" s="498">
        <v>52.869</v>
      </c>
      <c r="G137" s="455" t="s">
        <v>658</v>
      </c>
      <c r="H137" s="455">
        <v>1000</v>
      </c>
      <c r="I137" s="455" t="s">
        <v>657</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647</v>
      </c>
      <c r="C139" s="504"/>
      <c r="D139" s="504"/>
      <c r="E139" s="505"/>
      <c r="F139" s="506"/>
      <c r="G139" s="505"/>
      <c r="H139" s="505"/>
      <c r="I139" s="505"/>
      <c r="J139" s="507"/>
      <c r="K139" s="508"/>
      <c r="L139" s="442"/>
    </row>
    <row r="140" spans="1:12" ht="14.25">
      <c r="A140" s="442"/>
      <c r="B140" s="509" t="s">
        <v>709</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710</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717" t="s">
        <v>711</v>
      </c>
      <c r="C144" s="718"/>
      <c r="D144" s="718"/>
      <c r="E144" s="718"/>
      <c r="F144" s="718"/>
      <c r="G144" s="718"/>
      <c r="H144" s="718"/>
      <c r="I144" s="718"/>
      <c r="J144" s="718"/>
      <c r="K144" s="719"/>
      <c r="L144" s="442"/>
    </row>
    <row r="145" spans="1:12" ht="15" thickBot="1">
      <c r="A145" s="442"/>
      <c r="B145" s="463"/>
      <c r="C145" s="472"/>
      <c r="D145" s="472"/>
      <c r="E145" s="455"/>
      <c r="F145" s="515"/>
      <c r="G145" s="455"/>
      <c r="H145" s="455"/>
      <c r="I145" s="455"/>
      <c r="J145" s="499"/>
      <c r="K145" s="457"/>
      <c r="L145" s="442"/>
    </row>
    <row r="146" spans="1:12" ht="14.25">
      <c r="A146" s="442"/>
      <c r="B146" s="450" t="s">
        <v>651</v>
      </c>
      <c r="C146" s="516"/>
      <c r="D146" s="516"/>
      <c r="E146" s="517"/>
      <c r="F146" s="518"/>
      <c r="G146" s="517"/>
      <c r="H146" s="517"/>
      <c r="I146" s="517"/>
      <c r="J146" s="519"/>
      <c r="K146" s="452"/>
      <c r="L146" s="442"/>
    </row>
    <row r="147" spans="1:12" ht="14.25">
      <c r="A147" s="442"/>
      <c r="B147" s="463"/>
      <c r="C147" s="715" t="s">
        <v>712</v>
      </c>
      <c r="D147" s="715"/>
      <c r="E147" s="455"/>
      <c r="F147" s="515" t="s">
        <v>713</v>
      </c>
      <c r="G147" s="455"/>
      <c r="H147" s="455"/>
      <c r="I147" s="455"/>
      <c r="J147" s="720" t="s">
        <v>714</v>
      </c>
      <c r="K147" s="721"/>
      <c r="L147" s="442"/>
    </row>
    <row r="148" spans="1:12" ht="14.25">
      <c r="A148" s="442"/>
      <c r="B148" s="463"/>
      <c r="C148" s="722">
        <v>52.869</v>
      </c>
      <c r="D148" s="722"/>
      <c r="E148" s="455" t="s">
        <v>300</v>
      </c>
      <c r="F148" s="520">
        <v>133685008</v>
      </c>
      <c r="G148" s="521" t="s">
        <v>658</v>
      </c>
      <c r="H148" s="455">
        <v>1000</v>
      </c>
      <c r="I148" s="455" t="s">
        <v>657</v>
      </c>
      <c r="J148" s="715">
        <f>C148*(F148/1000)</f>
        <v>7067792.687952</v>
      </c>
      <c r="K148" s="723"/>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715</v>
      </c>
    </row>
    <row r="3" ht="31.5">
      <c r="A3" s="525" t="s">
        <v>716</v>
      </c>
    </row>
    <row r="4" ht="15.75">
      <c r="A4" s="526" t="s">
        <v>717</v>
      </c>
    </row>
    <row r="7" ht="31.5">
      <c r="A7" s="525" t="s">
        <v>718</v>
      </c>
    </row>
    <row r="8" ht="15.75">
      <c r="A8" s="526" t="s">
        <v>719</v>
      </c>
    </row>
    <row r="11" ht="15.75">
      <c r="A11" s="524" t="s">
        <v>720</v>
      </c>
    </row>
    <row r="12" ht="15.75">
      <c r="A12" s="526" t="s">
        <v>721</v>
      </c>
    </row>
    <row r="15" ht="15.75">
      <c r="A15" s="524" t="s">
        <v>722</v>
      </c>
    </row>
    <row r="16" ht="15.75">
      <c r="A16" s="526" t="s">
        <v>723</v>
      </c>
    </row>
    <row r="19" ht="15.75">
      <c r="A19" s="524" t="s">
        <v>724</v>
      </c>
    </row>
    <row r="20" ht="15.75">
      <c r="A20" s="526" t="s">
        <v>725</v>
      </c>
    </row>
    <row r="23" ht="15.75">
      <c r="A23" s="524" t="s">
        <v>726</v>
      </c>
    </row>
    <row r="24" ht="15.75">
      <c r="A24" s="526" t="s">
        <v>727</v>
      </c>
    </row>
    <row r="27" ht="15.75">
      <c r="A27" s="524" t="s">
        <v>728</v>
      </c>
    </row>
    <row r="28" ht="15.75">
      <c r="A28" s="526" t="s">
        <v>729</v>
      </c>
    </row>
    <row r="31" ht="15.75">
      <c r="A31" s="524" t="s">
        <v>730</v>
      </c>
    </row>
    <row r="32" ht="15.75">
      <c r="A32" s="526" t="s">
        <v>731</v>
      </c>
    </row>
    <row r="35" ht="15.75">
      <c r="A35" s="524" t="s">
        <v>732</v>
      </c>
    </row>
    <row r="36" ht="15.75">
      <c r="A36" s="526" t="s">
        <v>733</v>
      </c>
    </row>
    <row r="39" ht="15.75">
      <c r="A39" s="524" t="s">
        <v>734</v>
      </c>
    </row>
    <row r="40" ht="15.75">
      <c r="A40" s="526"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
      <selection activeCell="E29" sqref="E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Fall River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4" t="s">
        <v>161</v>
      </c>
      <c r="B4" s="615"/>
      <c r="C4" s="615"/>
      <c r="D4" s="615"/>
      <c r="E4" s="61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3540921</v>
      </c>
    </row>
    <row r="8" spans="1:5" ht="15.75">
      <c r="A8" s="22" t="str">
        <f>CONCATENATE("New Improvements for ",E1-1,"")</f>
        <v>New Improvements for 2011</v>
      </c>
      <c r="B8" s="19"/>
      <c r="C8" s="19"/>
      <c r="D8" s="19"/>
      <c r="E8" s="309">
        <v>15035</v>
      </c>
    </row>
    <row r="9" spans="1:5" ht="15.75">
      <c r="A9" s="22" t="str">
        <f>CONCATENATE("Personal Property excluding oil, gas, and mobile homes - ",E1-1,"")</f>
        <v>Personal Property excluding oil, gas, and mobile homes - 2011</v>
      </c>
      <c r="B9" s="19"/>
      <c r="C9" s="19"/>
      <c r="D9" s="19"/>
      <c r="E9" s="309">
        <v>101091</v>
      </c>
    </row>
    <row r="10" spans="1:5" ht="15.75">
      <c r="A10" s="22" t="str">
        <f>CONCATENATE("Property that has changed in use for ",E1-1,"")</f>
        <v>Property that has changed in use for 2011</v>
      </c>
      <c r="B10" s="19"/>
      <c r="C10" s="19"/>
      <c r="D10" s="19"/>
      <c r="E10" s="309">
        <v>62380</v>
      </c>
    </row>
    <row r="11" spans="1:5" ht="15.75">
      <c r="A11" s="22" t="str">
        <f>CONCATENATE("Personal Property excluding oil, gas, and mobile homes- ",E1-2,"")</f>
        <v>Personal Property excluding oil, gas, and mobile homes- 2010</v>
      </c>
      <c r="B11" s="19"/>
      <c r="C11" s="19"/>
      <c r="D11" s="19"/>
      <c r="E11" s="309">
        <v>90221</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6" t="s">
        <v>296</v>
      </c>
      <c r="B16" s="617"/>
      <c r="C16" s="101"/>
      <c r="D16" s="313" t="s">
        <v>3</v>
      </c>
      <c r="E16" s="312"/>
    </row>
    <row r="17" spans="1:5" ht="15.75">
      <c r="A17" s="82" t="str">
        <f>inputPrYr!B16</f>
        <v>General</v>
      </c>
      <c r="B17" s="20"/>
      <c r="C17" s="19"/>
      <c r="D17" s="314">
        <v>0.167</v>
      </c>
      <c r="E17" s="312"/>
    </row>
    <row r="18" spans="1:5" ht="15.75">
      <c r="A18" s="82">
        <f>inputPrYr!B17</f>
        <v>0</v>
      </c>
      <c r="B18" s="291"/>
      <c r="C18" s="19"/>
      <c r="D18" s="315"/>
      <c r="E18" s="312"/>
    </row>
    <row r="19" spans="1:5" ht="15.75">
      <c r="A19" s="82">
        <f>inputPrYr!B18</f>
        <v>0</v>
      </c>
      <c r="B19" s="291"/>
      <c r="C19" s="19"/>
      <c r="D19" s="315"/>
      <c r="E19" s="312"/>
    </row>
    <row r="20" spans="1:5" ht="15.75">
      <c r="A20" s="82" t="str">
        <f>inputPrYr!B19</f>
        <v>Building</v>
      </c>
      <c r="B20" s="291"/>
      <c r="C20" s="19"/>
      <c r="D20" s="315">
        <v>0.261</v>
      </c>
      <c r="E20" s="312"/>
    </row>
    <row r="21" spans="1:5" ht="15.75">
      <c r="A21" s="82" t="str">
        <f>inputPrYr!B20</f>
        <v>Cemetery</v>
      </c>
      <c r="B21" s="291"/>
      <c r="C21" s="19"/>
      <c r="D21" s="315">
        <v>0.987</v>
      </c>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1.415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3414488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755</v>
      </c>
    </row>
    <row r="32" spans="1:5" ht="15.75">
      <c r="A32" s="322" t="s">
        <v>287</v>
      </c>
      <c r="B32" s="291"/>
      <c r="C32" s="291"/>
      <c r="D32" s="31"/>
      <c r="E32" s="34">
        <v>21</v>
      </c>
    </row>
    <row r="33" spans="1:5" ht="15.75">
      <c r="A33" s="322" t="s">
        <v>163</v>
      </c>
      <c r="B33" s="291"/>
      <c r="C33" s="291"/>
      <c r="D33" s="31"/>
      <c r="E33" s="34">
        <v>60</v>
      </c>
    </row>
    <row r="34" spans="1:5" ht="15.75">
      <c r="A34" s="322" t="s">
        <v>164</v>
      </c>
      <c r="B34" s="291"/>
      <c r="C34" s="291"/>
      <c r="D34" s="31"/>
      <c r="E34" s="34">
        <v>0</v>
      </c>
    </row>
    <row r="35" spans="1:5" ht="15.75">
      <c r="A35" s="322" t="s">
        <v>165</v>
      </c>
      <c r="B35" s="291"/>
      <c r="C35" s="291"/>
      <c r="D35" s="31"/>
      <c r="E35" s="34">
        <v>0</v>
      </c>
    </row>
    <row r="36" spans="1:5" ht="15.75">
      <c r="A36" s="322" t="s">
        <v>104</v>
      </c>
      <c r="B36" s="20"/>
      <c r="C36" s="20"/>
      <c r="D36" s="321"/>
      <c r="E36" s="34">
        <v>0</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1.156</v>
      </c>
    </row>
    <row r="40" spans="1:5" ht="15.75">
      <c r="A40" s="300" t="s">
        <v>168</v>
      </c>
      <c r="B40" s="300"/>
      <c r="C40" s="19"/>
      <c r="D40" s="19"/>
      <c r="E40" s="430">
        <v>0</v>
      </c>
    </row>
    <row r="41" spans="1:5" ht="15.75">
      <c r="A41" s="323" t="s">
        <v>169</v>
      </c>
      <c r="B41" s="323"/>
      <c r="C41" s="324"/>
      <c r="D41" s="324"/>
      <c r="E41" s="325"/>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6"/>
      <c r="B44" s="326" t="str">
        <f>CONCATENATE("",E1-2," Expenditure Amounts")</f>
        <v>2010 Expenditure Amounts</v>
      </c>
      <c r="C44" s="620" t="str">
        <f>CONCATENATE("Note: If the ",E1-2," budget was amended, then the")</f>
        <v>Note: If the 2010 budget was amended, then the</v>
      </c>
      <c r="D44" s="621"/>
      <c r="E44" s="621"/>
    </row>
    <row r="45" spans="1:5" ht="15.75">
      <c r="A45" s="327" t="s">
        <v>217</v>
      </c>
      <c r="B45" s="327" t="s">
        <v>218</v>
      </c>
      <c r="C45" s="328" t="s">
        <v>219</v>
      </c>
      <c r="D45" s="329"/>
      <c r="E45" s="329"/>
    </row>
    <row r="46" spans="1:5" ht="15.75">
      <c r="A46" s="330" t="str">
        <f>inputPrYr!B16</f>
        <v>General</v>
      </c>
      <c r="B46" s="36">
        <v>2050</v>
      </c>
      <c r="C46" s="328" t="s">
        <v>220</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t="str">
        <f>inputPrYr!B19</f>
        <v>Building</v>
      </c>
      <c r="B49" s="36">
        <v>1970</v>
      </c>
      <c r="C49" s="151"/>
      <c r="D49" s="151"/>
      <c r="E49" s="151"/>
    </row>
    <row r="50" spans="1:5" ht="15.75">
      <c r="A50" s="330" t="str">
        <f>inputPrYr!B20</f>
        <v>Cemetery</v>
      </c>
      <c r="B50" s="36">
        <v>5510</v>
      </c>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808</v>
      </c>
    </row>
    <row r="2" ht="15.75">
      <c r="A2" s="91" t="s">
        <v>809</v>
      </c>
    </row>
    <row r="4" ht="15.75">
      <c r="A4" s="401" t="s">
        <v>806</v>
      </c>
    </row>
    <row r="5" ht="15.75">
      <c r="A5" s="91" t="s">
        <v>807</v>
      </c>
    </row>
    <row r="7" ht="15.75">
      <c r="A7" s="401" t="s">
        <v>803</v>
      </c>
    </row>
    <row r="8" ht="15.75">
      <c r="A8" s="604" t="s">
        <v>804</v>
      </c>
    </row>
    <row r="10" ht="15.75">
      <c r="A10" s="401" t="s">
        <v>800</v>
      </c>
    </row>
    <row r="11" ht="15.75">
      <c r="A11" s="91" t="s">
        <v>801</v>
      </c>
    </row>
    <row r="12" ht="15.75">
      <c r="A12" s="91" t="s">
        <v>802</v>
      </c>
    </row>
    <row r="14" ht="15.75">
      <c r="A14" s="401" t="s">
        <v>773</v>
      </c>
    </row>
    <row r="15" ht="15.75">
      <c r="A15" s="604" t="s">
        <v>774</v>
      </c>
    </row>
    <row r="16" ht="15.75">
      <c r="A16" s="604" t="s">
        <v>775</v>
      </c>
    </row>
    <row r="17" ht="31.5">
      <c r="A17" s="603" t="s">
        <v>776</v>
      </c>
    </row>
    <row r="18" ht="15.75">
      <c r="A18" s="604" t="s">
        <v>777</v>
      </c>
    </row>
    <row r="19" ht="15.75">
      <c r="A19" s="604" t="s">
        <v>778</v>
      </c>
    </row>
    <row r="20" ht="15.75">
      <c r="A20" s="604" t="s">
        <v>779</v>
      </c>
    </row>
    <row r="21" ht="15.75">
      <c r="A21" s="604" t="s">
        <v>780</v>
      </c>
    </row>
    <row r="22" ht="15.75">
      <c r="A22" s="604" t="s">
        <v>781</v>
      </c>
    </row>
    <row r="23" ht="15.75">
      <c r="A23" s="604" t="s">
        <v>782</v>
      </c>
    </row>
    <row r="24" ht="15.75">
      <c r="A24" s="604" t="s">
        <v>783</v>
      </c>
    </row>
    <row r="25" ht="15.75">
      <c r="A25" s="604" t="s">
        <v>784</v>
      </c>
    </row>
    <row r="26" ht="15.75">
      <c r="A26" s="604" t="s">
        <v>785</v>
      </c>
    </row>
    <row r="27" ht="15.75">
      <c r="A27" s="604" t="s">
        <v>796</v>
      </c>
    </row>
    <row r="28" ht="15.75">
      <c r="A28" s="604" t="s">
        <v>786</v>
      </c>
    </row>
    <row r="29" ht="15.75">
      <c r="A29" s="604" t="s">
        <v>787</v>
      </c>
    </row>
    <row r="30" ht="15.75">
      <c r="A30" s="604" t="s">
        <v>788</v>
      </c>
    </row>
    <row r="31" ht="15.75">
      <c r="A31" s="604" t="s">
        <v>789</v>
      </c>
    </row>
    <row r="32" ht="15.75">
      <c r="A32" s="604" t="s">
        <v>790</v>
      </c>
    </row>
    <row r="33" ht="15.75">
      <c r="A33" s="604" t="s">
        <v>791</v>
      </c>
    </row>
    <row r="34" ht="15.75">
      <c r="A34" s="604" t="s">
        <v>792</v>
      </c>
    </row>
    <row r="35" ht="15.75">
      <c r="A35" s="604" t="s">
        <v>793</v>
      </c>
    </row>
    <row r="36" ht="15.75">
      <c r="A36" s="604" t="s">
        <v>794</v>
      </c>
    </row>
    <row r="37" ht="15.75">
      <c r="A37" s="604" t="s">
        <v>799</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625</v>
      </c>
    </row>
    <row r="48" ht="15.75">
      <c r="A48" s="91" t="s">
        <v>634</v>
      </c>
    </row>
    <row r="50" ht="15.75">
      <c r="A50" s="401" t="s">
        <v>599</v>
      </c>
    </row>
    <row r="51" ht="15.75">
      <c r="A51" s="402" t="s">
        <v>600</v>
      </c>
    </row>
    <row r="52" ht="15.75">
      <c r="A52" s="402" t="s">
        <v>601</v>
      </c>
    </row>
    <row r="53" ht="15.75">
      <c r="A53" s="402" t="s">
        <v>602</v>
      </c>
    </row>
    <row r="54" ht="15.75">
      <c r="A54" s="400" t="s">
        <v>603</v>
      </c>
    </row>
    <row r="56" ht="15.75">
      <c r="A56" s="373" t="s">
        <v>326</v>
      </c>
    </row>
    <row r="57" ht="15.75">
      <c r="A57" s="91" t="s">
        <v>328</v>
      </c>
    </row>
    <row r="58" ht="15.75">
      <c r="A58" s="91" t="s">
        <v>329</v>
      </c>
    </row>
    <row r="59" ht="15.75">
      <c r="A59" s="91" t="s">
        <v>330</v>
      </c>
    </row>
    <row r="60" ht="15.75">
      <c r="A60" s="91" t="s">
        <v>331</v>
      </c>
    </row>
    <row r="61" ht="15.75">
      <c r="A61" s="91" t="s">
        <v>332</v>
      </c>
    </row>
    <row r="62" ht="15.75">
      <c r="A62" s="91" t="s">
        <v>333</v>
      </c>
    </row>
    <row r="63" ht="15.75">
      <c r="A63" s="91" t="s">
        <v>348</v>
      </c>
    </row>
    <row r="64" ht="15.75">
      <c r="A64" s="91" t="s">
        <v>349</v>
      </c>
    </row>
    <row r="65" ht="15.75">
      <c r="A65" s="91" t="s">
        <v>350</v>
      </c>
    </row>
    <row r="66" ht="15.75">
      <c r="A66" s="91" t="s">
        <v>351</v>
      </c>
    </row>
    <row r="67" ht="15.75">
      <c r="A67" s="91" t="s">
        <v>367</v>
      </c>
    </row>
    <row r="68" ht="31.5">
      <c r="A68" s="360" t="s">
        <v>368</v>
      </c>
    </row>
    <row r="69" ht="15.75">
      <c r="A69" s="360" t="s">
        <v>377</v>
      </c>
    </row>
    <row r="70" ht="15.75">
      <c r="A70" s="375" t="s">
        <v>380</v>
      </c>
    </row>
    <row r="71" ht="15.75">
      <c r="A71" s="376" t="s">
        <v>381</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22" t="s">
        <v>382</v>
      </c>
      <c r="B2" s="623"/>
      <c r="C2" s="623"/>
      <c r="D2" s="623"/>
      <c r="E2" s="623"/>
      <c r="F2" s="623"/>
    </row>
    <row r="4" spans="1:6" ht="15.75">
      <c r="A4" s="383"/>
      <c r="B4" s="383"/>
      <c r="C4" s="383"/>
      <c r="D4" s="385"/>
      <c r="E4" s="383"/>
      <c r="F4" s="383"/>
    </row>
    <row r="5" spans="1:6" ht="15.75">
      <c r="A5" s="384" t="s">
        <v>383</v>
      </c>
      <c r="B5" s="386" t="s">
        <v>828</v>
      </c>
      <c r="C5" s="387"/>
      <c r="D5" s="384" t="s">
        <v>798</v>
      </c>
      <c r="E5" s="383"/>
      <c r="F5" s="383"/>
    </row>
    <row r="6" spans="1:6" ht="15.75">
      <c r="A6" s="384"/>
      <c r="B6" s="388"/>
      <c r="C6" s="389"/>
      <c r="D6" s="384" t="s">
        <v>797</v>
      </c>
      <c r="E6" s="383"/>
      <c r="F6" s="383"/>
    </row>
    <row r="7" spans="1:6" ht="15.75">
      <c r="A7" s="384" t="s">
        <v>384</v>
      </c>
      <c r="B7" s="386" t="s">
        <v>827</v>
      </c>
      <c r="C7" s="390"/>
      <c r="D7" s="384"/>
      <c r="E7" s="383"/>
      <c r="F7" s="383"/>
    </row>
    <row r="8" spans="1:6" ht="15.75">
      <c r="A8" s="384"/>
      <c r="B8" s="384"/>
      <c r="C8" s="384"/>
      <c r="D8" s="384"/>
      <c r="E8" s="383"/>
      <c r="F8" s="383"/>
    </row>
    <row r="9" spans="1:6" ht="15.75">
      <c r="A9" s="384" t="s">
        <v>385</v>
      </c>
      <c r="B9" s="391" t="s">
        <v>826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386</v>
      </c>
      <c r="B12" s="391" t="s">
        <v>826</v>
      </c>
      <c r="C12" s="391"/>
      <c r="D12" s="391"/>
      <c r="E12" s="392"/>
      <c r="F12" s="383"/>
    </row>
    <row r="15" spans="1:6" ht="15.75">
      <c r="A15" s="624" t="s">
        <v>387</v>
      </c>
      <c r="B15" s="624"/>
      <c r="C15" s="384"/>
      <c r="D15" s="384"/>
      <c r="E15" s="384"/>
      <c r="F15" s="383"/>
    </row>
    <row r="16" spans="1:6" ht="15.75">
      <c r="A16" s="384"/>
      <c r="B16" s="384"/>
      <c r="C16" s="384"/>
      <c r="D16" s="384"/>
      <c r="E16" s="384"/>
      <c r="F16" s="383"/>
    </row>
    <row r="17" spans="1:5" ht="15.75">
      <c r="A17" s="384" t="s">
        <v>383</v>
      </c>
      <c r="B17" s="388" t="s">
        <v>388</v>
      </c>
      <c r="C17" s="384"/>
      <c r="D17" s="384"/>
      <c r="E17" s="384"/>
    </row>
    <row r="18" spans="1:5" ht="15.75">
      <c r="A18" s="384"/>
      <c r="B18" s="384"/>
      <c r="C18" s="384"/>
      <c r="D18" s="384"/>
      <c r="E18" s="384"/>
    </row>
    <row r="19" spans="1:5" ht="15.75">
      <c r="A19" s="384" t="s">
        <v>384</v>
      </c>
      <c r="B19" s="384" t="s">
        <v>389</v>
      </c>
      <c r="C19" s="384"/>
      <c r="D19" s="384"/>
      <c r="E19" s="384"/>
    </row>
    <row r="20" spans="1:5" ht="15.75">
      <c r="A20" s="384"/>
      <c r="B20" s="384"/>
      <c r="C20" s="384"/>
      <c r="D20" s="384"/>
      <c r="E20" s="384"/>
    </row>
    <row r="21" spans="1:5" ht="15.75">
      <c r="A21" s="384" t="s">
        <v>385</v>
      </c>
      <c r="B21" s="384" t="s">
        <v>391</v>
      </c>
      <c r="C21" s="384"/>
      <c r="D21" s="384"/>
      <c r="E21" s="384"/>
    </row>
    <row r="22" spans="1:5" ht="15.75">
      <c r="A22" s="384"/>
      <c r="B22" s="384"/>
      <c r="C22" s="384"/>
      <c r="D22" s="384"/>
      <c r="E22" s="384"/>
    </row>
    <row r="23" spans="1:5" ht="15.75">
      <c r="A23" s="384" t="s">
        <v>386</v>
      </c>
      <c r="B23" s="384" t="s">
        <v>390</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9" sqref="B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73</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Wilson County, State of Kansas</v>
      </c>
      <c r="C3" s="635"/>
      <c r="D3" s="635"/>
      <c r="E3" s="635"/>
      <c r="F3" s="635"/>
      <c r="G3" s="635"/>
      <c r="H3" s="635"/>
    </row>
    <row r="4" spans="2:7" s="14" customFormat="1" ht="15.75">
      <c r="B4" s="158" t="s">
        <v>155</v>
      </c>
      <c r="C4" s="156"/>
      <c r="D4" s="156"/>
      <c r="E4" s="156"/>
      <c r="F4" s="156"/>
      <c r="G4" s="156"/>
    </row>
    <row r="5" s="14" customFormat="1" ht="15.75">
      <c r="D5" s="426" t="str">
        <f>inputPrYr!D2</f>
        <v>Fall River Township</v>
      </c>
    </row>
    <row r="6" spans="2:7" s="14" customFormat="1" ht="15.75">
      <c r="B6" s="634" t="s">
        <v>153</v>
      </c>
      <c r="C6" s="635"/>
      <c r="D6" s="635"/>
      <c r="E6" s="635"/>
      <c r="F6" s="635"/>
      <c r="G6" s="635"/>
    </row>
    <row r="7" spans="2:7" s="14" customFormat="1" ht="15.75" customHeight="1">
      <c r="B7" s="636" t="s">
        <v>154</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9" t="s">
        <v>288</v>
      </c>
      <c r="F12" s="628" t="str">
        <f>CONCATENATE("Amount of ",H1-1," Ad Valorem Tax")</f>
        <v>Amount of 2011 Ad Valorem Tax</v>
      </c>
      <c r="G12" s="23" t="s">
        <v>289</v>
      </c>
    </row>
    <row r="13" spans="4:7" s="14" customFormat="1" ht="15.75">
      <c r="D13" s="23" t="s">
        <v>290</v>
      </c>
      <c r="E13" s="589" t="s">
        <v>218</v>
      </c>
      <c r="F13" s="629"/>
      <c r="G13" s="167" t="s">
        <v>291</v>
      </c>
    </row>
    <row r="14" spans="2:7" s="14" customFormat="1" ht="15.75">
      <c r="B14" s="82" t="s">
        <v>292</v>
      </c>
      <c r="C14" s="20"/>
      <c r="D14" s="26" t="s">
        <v>293</v>
      </c>
      <c r="E14" s="590" t="s">
        <v>745</v>
      </c>
      <c r="F14" s="630"/>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144</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5140</v>
      </c>
      <c r="F20" s="172">
        <f>IF(gen!$E$57&lt;&gt;0,gen!$E$57,0)</f>
        <v>971</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Building</v>
      </c>
      <c r="C23" s="284" t="str">
        <f>IF(inputPrYr!C19&gt;0,inputPrYr!C19,"  ")</f>
        <v>79-1962</v>
      </c>
      <c r="D23" s="285">
        <f>IF('bldg-cem'!C77&gt;0,'bldg-cem'!C77,"  ")</f>
        <v>7</v>
      </c>
      <c r="E23" s="172">
        <f>IF('bldg-cem'!$E$32&lt;&gt;0,'bldg-cem'!$E$32,"  ")</f>
        <v>2300</v>
      </c>
      <c r="F23" s="172" t="str">
        <f>IF('bldg-cem'!$E$39&lt;&gt;0,'bldg-cem'!$E$39,"  ")</f>
        <v>  </v>
      </c>
      <c r="G23" s="168" t="str">
        <f>IF(AND('bldg-cem'!E39=0,$C$38&gt;=0)," ",IF(AND(F23&gt;0,$C$38=0)," ",IF(AND(F23&gt;0,$C$38&gt;0),ROUND(F23/$C$38*1000,3))))</f>
        <v> </v>
      </c>
    </row>
    <row r="24" spans="2:7" s="14" customFormat="1" ht="15.75">
      <c r="B24" s="96" t="str">
        <f>IF(inputPrYr!$B20&gt;"  ",inputPrYr!$B20,"  ")</f>
        <v>Cemetery</v>
      </c>
      <c r="C24" s="284" t="str">
        <f>IF(inputPrYr!C20&gt;0,inputPrYr!C20,"  ")</f>
        <v>79-1962</v>
      </c>
      <c r="D24" s="285">
        <f>IF('bldg-cem'!C77&gt;0,'bldg-cem'!C77,"  ")</f>
        <v>7</v>
      </c>
      <c r="E24" s="172">
        <f>IF('bldg-cem'!$E$69&lt;&gt;0,'bldg-cem'!$E$69,"  ")</f>
        <v>6000</v>
      </c>
      <c r="F24" s="172">
        <f>IF('bldg-cem'!$E$76&lt;&gt;0,'bldg-cem'!$E$76,"  ")</f>
        <v>3981</v>
      </c>
      <c r="G24" s="168" t="str">
        <f>IF(AND('bldg-cem'!E76=0,$C$38&gt;=0),"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t="str">
        <f>IF(road!C67&gt;0,road!C67,"  ")</f>
        <v>  </v>
      </c>
      <c r="E32" s="192"/>
      <c r="F32" s="192"/>
      <c r="G32" s="168"/>
    </row>
    <row r="33" spans="2:7" s="14" customFormat="1" ht="16.5" thickBot="1">
      <c r="B33" s="290" t="s">
        <v>299</v>
      </c>
      <c r="C33" s="291"/>
      <c r="D33" s="170" t="s">
        <v>300</v>
      </c>
      <c r="E33" s="292">
        <f>SUM(E20:E28)</f>
        <v>13440</v>
      </c>
      <c r="F33" s="292">
        <f>SUM(F20:F28)</f>
        <v>4952</v>
      </c>
      <c r="G33" s="293">
        <f>IF(SUM(G20:G28)&gt;0,SUM(G20:G28),"")</f>
      </c>
    </row>
    <row r="34" spans="2:4" s="14" customFormat="1" ht="16.5" thickTop="1">
      <c r="B34" s="27" t="s">
        <v>173</v>
      </c>
      <c r="C34" s="283"/>
      <c r="D34" s="288">
        <f>summ!D47</f>
        <v>8</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38" t="s">
        <v>128</v>
      </c>
      <c r="D37" s="639"/>
      <c r="E37" s="298"/>
      <c r="G37" s="22" t="s">
        <v>301</v>
      </c>
    </row>
    <row r="38" spans="2:7" s="14" customFormat="1" ht="15.75">
      <c r="B38" s="27" t="s">
        <v>102</v>
      </c>
      <c r="C38" s="640"/>
      <c r="D38" s="641"/>
      <c r="E38" s="299"/>
      <c r="G38" s="22"/>
    </row>
    <row r="39" spans="2:7" s="14" customFormat="1" ht="15.75">
      <c r="B39" s="300"/>
      <c r="C39" s="642" t="str">
        <f>CONCATENATE("Nov. 1, ",H1-1," Valuation")</f>
        <v>Nov. 1, 2011 Valuation</v>
      </c>
      <c r="D39" s="643"/>
      <c r="E39" s="298"/>
      <c r="G39" s="22"/>
    </row>
    <row r="40" spans="2:7" s="14" customFormat="1" ht="15.75">
      <c r="B40" s="300" t="s">
        <v>302</v>
      </c>
      <c r="E40" s="19"/>
      <c r="G40" s="22"/>
    </row>
    <row r="41" spans="2:7" s="14" customFormat="1" ht="15.75">
      <c r="B41" s="301" t="s">
        <v>820</v>
      </c>
      <c r="C41" s="301"/>
      <c r="E41" s="298"/>
      <c r="F41" s="19"/>
      <c r="G41" s="19"/>
    </row>
    <row r="42" spans="2:3" s="14" customFormat="1" ht="15.75">
      <c r="B42" s="302"/>
      <c r="C42" s="302"/>
    </row>
    <row r="43" spans="2:7" s="14" customFormat="1" ht="15.75">
      <c r="B43" s="300" t="s">
        <v>148</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152</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304</v>
      </c>
      <c r="C52" s="14"/>
      <c r="D52" s="14"/>
      <c r="E52" s="625" t="s">
        <v>303</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Fall River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4829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4829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15035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101091</v>
      </c>
      <c r="F14" s="270"/>
      <c r="G14" s="55"/>
      <c r="H14" s="55"/>
      <c r="I14" s="53"/>
      <c r="J14" s="55"/>
    </row>
    <row r="15" spans="1:10" ht="15.75">
      <c r="A15" s="269"/>
      <c r="B15" s="14" t="s">
        <v>91</v>
      </c>
      <c r="C15" s="14" t="str">
        <f>CONCATENATE("Personal Property ",J1-2,"")</f>
        <v>Personal Property 2010</v>
      </c>
      <c r="D15" s="269" t="s">
        <v>86</v>
      </c>
      <c r="E15" s="273">
        <f>inputOth!E11</f>
        <v>90221</v>
      </c>
      <c r="F15" s="270"/>
      <c r="G15" s="53"/>
      <c r="H15" s="53"/>
      <c r="I15" s="55"/>
      <c r="J15" s="55"/>
    </row>
    <row r="16" spans="1:10" ht="15.75">
      <c r="A16" s="269"/>
      <c r="B16" s="14" t="s">
        <v>92</v>
      </c>
      <c r="C16" s="14" t="s">
        <v>112</v>
      </c>
      <c r="D16" s="14"/>
      <c r="E16" s="55"/>
      <c r="F16" s="55" t="s">
        <v>15</v>
      </c>
      <c r="G16" s="271">
        <f>IF(E14&gt;E15,E14-E15,0)</f>
        <v>10870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62380</v>
      </c>
      <c r="H18" s="55"/>
      <c r="I18" s="55"/>
      <c r="J18" s="55"/>
    </row>
    <row r="19" spans="1:10" ht="15.75">
      <c r="A19" s="14" t="s">
        <v>288</v>
      </c>
      <c r="B19" s="14"/>
      <c r="C19" s="14"/>
      <c r="D19" s="269"/>
      <c r="E19" s="53"/>
      <c r="F19" s="53"/>
      <c r="G19" s="53"/>
      <c r="H19" s="55"/>
      <c r="I19" s="55"/>
      <c r="J19" s="55"/>
    </row>
    <row r="20" spans="1:10" ht="15.75">
      <c r="A20" s="269" t="s">
        <v>94</v>
      </c>
      <c r="B20" s="17" t="s">
        <v>113</v>
      </c>
      <c r="C20" s="14"/>
      <c r="D20" s="14"/>
      <c r="E20" s="55"/>
      <c r="F20" s="55"/>
      <c r="G20" s="271">
        <f>G11+G16+G18</f>
        <v>88285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3540921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3452636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0.025570317867275903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123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4952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4952</v>
      </c>
    </row>
    <row r="35" spans="1:10" ht="16.5" thickTop="1">
      <c r="A35" s="14"/>
      <c r="B35" s="14"/>
      <c r="C35" s="14"/>
      <c r="D35" s="14"/>
      <c r="E35" s="14"/>
      <c r="F35" s="14"/>
      <c r="G35" s="14"/>
      <c r="H35" s="14"/>
      <c r="I35" s="14"/>
      <c r="J35" s="14"/>
    </row>
    <row r="36" spans="1:10" s="278"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75">
      <c r="A37" s="644" t="s">
        <v>117</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3" sqref="B1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Fall River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237</v>
      </c>
      <c r="C6" s="626"/>
      <c r="D6" s="626"/>
      <c r="E6" s="626"/>
      <c r="F6" s="626"/>
      <c r="G6" s="626"/>
      <c r="H6" s="626"/>
      <c r="I6" s="626"/>
      <c r="J6" s="626"/>
      <c r="K6" s="626"/>
      <c r="L6" s="62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75">
      <c r="B10" s="251" t="str">
        <f>CONCATENATE("",J1-1," Budgeted Funds")</f>
        <v>2011 Budgeted Funds</v>
      </c>
      <c r="C10" s="190"/>
      <c r="D10" s="647"/>
      <c r="E10" s="647"/>
      <c r="F10" s="25"/>
      <c r="G10" s="26" t="s">
        <v>81</v>
      </c>
      <c r="H10" s="26"/>
      <c r="I10" s="26" t="s">
        <v>82</v>
      </c>
      <c r="J10" s="167" t="s">
        <v>125</v>
      </c>
      <c r="K10" s="167" t="s">
        <v>165</v>
      </c>
      <c r="L10" s="111"/>
    </row>
    <row r="11" spans="2:12" ht="15.75">
      <c r="B11" s="96" t="str">
        <f>inputPrYr!B16</f>
        <v>General</v>
      </c>
      <c r="C11" s="252"/>
      <c r="D11" s="96">
        <f>IF(inputPrYr!E16&gt;0,inputPrYr!E16,"  ")</f>
        <v>569</v>
      </c>
      <c r="E11" s="253">
        <f>IF(inputOth!D17&gt;0,inputOth!D17,"  ")</f>
        <v>0.167</v>
      </c>
      <c r="F11" s="254"/>
      <c r="G11" s="96">
        <f>IF(inputPrYr!E16=0,0,G22-SUM(G12:G19))</f>
        <v>89</v>
      </c>
      <c r="H11" s="255"/>
      <c r="I11" s="96">
        <f>IF(inputPrYr!E16=0,0,I24-SUM(I12:I19))</f>
        <v>2</v>
      </c>
      <c r="J11" s="96">
        <f>IF(inputPrYr!E16=0,0,J26-SUM(J12:J19))</f>
        <v>7</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Building</v>
      </c>
      <c r="C14" s="252"/>
      <c r="D14" s="96">
        <f>IF(inputPrYr!E19&gt;=0,inputPrYr!E19,"  ")</f>
        <v>891</v>
      </c>
      <c r="E14" s="253">
        <f>IF(inputOth!D20&gt;0,inputOth!D20,"  ")</f>
        <v>0.261</v>
      </c>
      <c r="F14" s="254"/>
      <c r="G14" s="96">
        <f>IF(inputPrYr!E19=0,0,ROUND(D14*$G$30,0))</f>
        <v>139</v>
      </c>
      <c r="H14" s="255"/>
      <c r="I14" s="96">
        <f>IF(inputPrYr!$E$19=0,0,ROUND($D$14*$I$32,0))</f>
        <v>4</v>
      </c>
      <c r="J14" s="96">
        <f>IF(inputPrYr!E19=0,0,ROUND($D14*$J$34,0))</f>
        <v>11</v>
      </c>
      <c r="K14" s="96">
        <f>IF(inputPrYr!E19=0,0,ROUND($D14*$K$36,0))</f>
        <v>0</v>
      </c>
      <c r="L14" s="256" t="e">
        <f>IF(inputOth!D20&gt;0,ROUND(E14*#REF!*-1,0),"")</f>
        <v>#REF!</v>
      </c>
    </row>
    <row r="15" spans="2:12" ht="15.75">
      <c r="B15" s="96" t="str">
        <f>IF(inputPrYr!$B20&gt;"  ",inputPrYr!$B20,"  ")</f>
        <v>Cemetery</v>
      </c>
      <c r="C15" s="252"/>
      <c r="D15" s="96">
        <f>IF(inputPrYr!E20&gt;=0,inputPrYr!E20,"  ")</f>
        <v>3369</v>
      </c>
      <c r="E15" s="253">
        <f>IF(inputOth!D21&gt;0,inputOth!D21,"  ")</f>
        <v>0.987</v>
      </c>
      <c r="F15" s="254"/>
      <c r="G15" s="96">
        <f>IF(inputPrYr!E20=0,0,ROUND(D15*$G$30,0))</f>
        <v>527</v>
      </c>
      <c r="H15" s="255"/>
      <c r="I15" s="96">
        <f>IF(inputPrYr!$E$20=0,0,ROUND($D$15*$I$32,0))</f>
        <v>15</v>
      </c>
      <c r="J15" s="96">
        <f>IF(inputPrYr!E20=0,0,ROUND($D15*$J$34,0))</f>
        <v>42</v>
      </c>
      <c r="K15" s="96">
        <f>IF(inputPrYr!E20=0,0,ROUND($D15*$K$36,0))</f>
        <v>0</v>
      </c>
      <c r="L15" s="256" t="e">
        <f>IF(inputOth!D21&gt;0,ROUND(E15*#REF!*-1,0),"")</f>
        <v>#REF!</v>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4829</v>
      </c>
      <c r="E20" s="259">
        <f>SUM(E11:E19)</f>
        <v>1.415</v>
      </c>
      <c r="F20" s="260"/>
      <c r="G20" s="258">
        <f>SUM(G11:G19)</f>
        <v>755</v>
      </c>
      <c r="H20" s="258"/>
      <c r="I20" s="258">
        <f>SUM(I11:I19)</f>
        <v>21</v>
      </c>
      <c r="J20" s="258">
        <f>SUM(J11:J19)</f>
        <v>60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755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60</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0.15634706978670532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0.004348726444398426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0.012424932698281217</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1" sqref="E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Fall River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174</v>
      </c>
      <c r="B5" s="627"/>
      <c r="C5" s="627"/>
      <c r="D5" s="627"/>
      <c r="E5" s="627"/>
      <c r="F5" s="627"/>
    </row>
    <row r="6" spans="1:6" ht="14.25" customHeight="1">
      <c r="A6" s="136"/>
      <c r="B6" s="230"/>
      <c r="C6" s="230"/>
      <c r="D6" s="230"/>
      <c r="E6" s="230"/>
      <c r="F6" s="230"/>
    </row>
    <row r="7" spans="1:6" ht="15" customHeight="1">
      <c r="A7" s="231" t="s">
        <v>294</v>
      </c>
      <c r="B7" s="231" t="s">
        <v>631</v>
      </c>
      <c r="C7" s="232" t="s">
        <v>32</v>
      </c>
      <c r="D7" s="232" t="s">
        <v>175</v>
      </c>
      <c r="E7" s="231" t="s">
        <v>176</v>
      </c>
      <c r="F7" s="231" t="s">
        <v>177</v>
      </c>
    </row>
    <row r="8" spans="1:6" ht="15" customHeight="1">
      <c r="A8" s="233" t="s">
        <v>632</v>
      </c>
      <c r="B8" s="233" t="s">
        <v>633</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t="s">
        <v>824</v>
      </c>
      <c r="B10" s="238" t="s">
        <v>283</v>
      </c>
      <c r="C10" s="239"/>
      <c r="D10" s="239"/>
      <c r="E10" s="239">
        <v>2300</v>
      </c>
      <c r="F10" s="238" t="s">
        <v>829</v>
      </c>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0</v>
      </c>
      <c r="D27" s="245">
        <f>SUM(D10:D26)</f>
        <v>0</v>
      </c>
      <c r="E27" s="245">
        <f>SUM(E10:E26)</f>
        <v>2300</v>
      </c>
      <c r="F27" s="140"/>
    </row>
    <row r="28" spans="1:6" ht="15.75">
      <c r="A28" s="140"/>
      <c r="B28" s="244" t="s">
        <v>630</v>
      </c>
      <c r="C28" s="140"/>
      <c r="D28" s="241"/>
      <c r="E28" s="241"/>
      <c r="F28" s="140"/>
    </row>
    <row r="29" spans="1:6" ht="15.75">
      <c r="A29" s="140"/>
      <c r="B29" s="192" t="s">
        <v>182</v>
      </c>
      <c r="C29" s="246">
        <f>C27</f>
        <v>0</v>
      </c>
      <c r="D29" s="246">
        <f>SUM(D27-D28)</f>
        <v>0</v>
      </c>
      <c r="E29" s="246">
        <f>SUM(E27-E28)</f>
        <v>2300</v>
      </c>
      <c r="F29" s="140"/>
    </row>
    <row r="30" spans="1:6" ht="15.75">
      <c r="A30" s="140"/>
      <c r="B30" s="14"/>
      <c r="C30" s="14"/>
      <c r="D30" s="14"/>
      <c r="E30" s="14"/>
      <c r="F30" s="140"/>
    </row>
    <row r="31" spans="1:6" ht="15.75">
      <c r="A31" s="140"/>
      <c r="B31" s="14"/>
      <c r="C31" s="14"/>
      <c r="D31" s="14"/>
      <c r="E31" s="14"/>
      <c r="F31" s="140"/>
    </row>
    <row r="32" spans="1:6" ht="15.75">
      <c r="A32" s="610" t="s">
        <v>810</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3">
      <selection activeCell="A1" sqref="A1"/>
    </sheetView>
  </sheetViews>
  <sheetFormatPr defaultColWidth="62.3984375" defaultRowHeight="15.75"/>
  <cols>
    <col min="1" max="16384" width="62.3984375" style="12" customWidth="1"/>
  </cols>
  <sheetData>
    <row r="1" ht="18.75">
      <c r="A1" s="229" t="s">
        <v>327</v>
      </c>
    </row>
    <row r="2" ht="15.75">
      <c r="A2" s="91"/>
    </row>
    <row r="3" ht="51" customHeight="1">
      <c r="A3" s="432" t="s">
        <v>736</v>
      </c>
    </row>
    <row r="4" ht="17.25" customHeight="1">
      <c r="A4" s="432"/>
    </row>
    <row r="5" ht="15.75">
      <c r="A5" s="91"/>
    </row>
    <row r="6" ht="52.5" customHeight="1">
      <c r="A6" s="176" t="s">
        <v>369</v>
      </c>
    </row>
    <row r="7" ht="15.75">
      <c r="A7" s="91"/>
    </row>
    <row r="8" ht="15.75">
      <c r="A8" s="91"/>
    </row>
    <row r="9" ht="70.5" customHeight="1">
      <c r="A9" s="176" t="s">
        <v>370</v>
      </c>
    </row>
    <row r="10" ht="15.75">
      <c r="A10" s="177"/>
    </row>
    <row r="11" ht="15.75">
      <c r="A11" s="177"/>
    </row>
    <row r="12" ht="63">
      <c r="A12" s="531" t="s">
        <v>737</v>
      </c>
    </row>
    <row r="13" ht="15.75">
      <c r="A13" s="177"/>
    </row>
    <row r="14" ht="15.75">
      <c r="A14" s="177"/>
    </row>
    <row r="15" ht="63">
      <c r="A15" s="531" t="s">
        <v>738</v>
      </c>
    </row>
    <row r="16" ht="15.75">
      <c r="A16" s="177"/>
    </row>
    <row r="17" ht="15.75">
      <c r="A17" s="91"/>
    </row>
    <row r="18" ht="56.25" customHeight="1">
      <c r="A18" s="176" t="s">
        <v>371</v>
      </c>
    </row>
    <row r="19" ht="15.75">
      <c r="A19" s="177"/>
    </row>
    <row r="20" ht="15.75">
      <c r="A20" s="177"/>
    </row>
    <row r="21" ht="87.75" customHeight="1">
      <c r="A21" s="176" t="s">
        <v>372</v>
      </c>
    </row>
    <row r="22" ht="15.75">
      <c r="A22" s="177"/>
    </row>
    <row r="23" ht="15.75">
      <c r="A23" s="91"/>
    </row>
    <row r="24" ht="54.75" customHeight="1">
      <c r="A24" s="176" t="s">
        <v>373</v>
      </c>
    </row>
    <row r="25" ht="15.75">
      <c r="A25" s="91"/>
    </row>
    <row r="26" ht="15.75">
      <c r="A26" s="91"/>
    </row>
    <row r="27" ht="69" customHeight="1">
      <c r="A27" s="176" t="s">
        <v>374</v>
      </c>
    </row>
    <row r="28" ht="15.75">
      <c r="A28" s="91"/>
    </row>
    <row r="29" ht="15.75">
      <c r="A29" s="226"/>
    </row>
    <row r="30" ht="47.25" customHeight="1">
      <c r="A30" s="227" t="s">
        <v>375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2011-07-19T15:02:01Z</cp:lastPrinted>
  <dcterms:created xsi:type="dcterms:W3CDTF">1998-08-26T16:30:41Z</dcterms:created>
  <dcterms:modified xsi:type="dcterms:W3CDTF">2011-08-25T19:15:42Z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