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debt-lease" sheetId="10" r:id="rId10"/>
    <sheet name="gen" sheetId="11" r:id="rId11"/>
    <sheet name="summ" sheetId="12" r:id="rId12"/>
    <sheet name="Notice of Publication" sheetId="13" r:id="rId13"/>
    <sheet name="Resolution" sheetId="14" r:id="rId14"/>
    <sheet name="road" sheetId="15" r:id="rId15"/>
    <sheet name="DebtService" sheetId="16" r:id="rId16"/>
    <sheet name="levypage9" sheetId="17" r:id="rId17"/>
    <sheet name="levypage10" sheetId="18" r:id="rId18"/>
    <sheet name="levypage11" sheetId="19" r:id="rId19"/>
    <sheet name="nolevypage12" sheetId="20" r:id="rId20"/>
    <sheet name="nhood" sheetId="21" r:id="rId21"/>
    <sheet name="nonbud" sheetId="22" r:id="rId22"/>
    <sheet name="NonBudFunds" sheetId="23" r:id="rId23"/>
    <sheet name="TransferStatutes"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5">'DebtService'!$B$1:$E$62</definedName>
    <definedName name="_xlnm.Print_Area" localSheetId="10">'gen'!$B$1:$E$61</definedName>
    <definedName name="_xlnm.Print_Area" localSheetId="1">'inputPrYr'!$A$1:$E$83</definedName>
    <definedName name="_xlnm.Print_Area" localSheetId="14">'road'!$B$1:$F$68</definedName>
    <definedName name="_xlnm.Print_Area" localSheetId="11">'summ'!$B$1:$I$47</definedName>
  </definedNames>
  <calcPr fullCalcOnLoad="1"/>
</workbook>
</file>

<file path=xl/sharedStrings.xml><?xml version="1.0" encoding="utf-8"?>
<sst xmlns="http://schemas.openxmlformats.org/spreadsheetml/2006/main" count="1413" uniqueCount="826">
  <si>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</si>
  <si>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</si>
  <si>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</si>
  <si>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</si>
  <si>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</si>
  <si>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</si>
  <si>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</si>
  <si>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</si>
  <si>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</si>
  <si>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</si>
  <si>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</si>
  <si>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</si>
  <si>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</si>
  <si>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</si>
  <si>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</si>
  <si>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</si>
  <si>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</si>
  <si>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</si>
  <si>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</si>
  <si>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</si>
  <si>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</si>
  <si>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</si>
  <si>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</si>
  <si>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</si>
  <si>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</si>
  <si>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</si>
  <si>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</si>
  <si>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</si>
  <si>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</si>
  <si>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</si>
  <si>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</si>
  <si>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</si>
  <si>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</si>
  <si>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</si>
  <si>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</si>
  <si>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</si>
  <si>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</si>
  <si>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</si>
  <si>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</si>
  <si>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</si>
  <si>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</si>
  <si>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</si>
  <si>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</si>
  <si>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</si>
  <si>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</si>
  <si>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</si>
  <si>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</si>
  <si>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</si>
  <si>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</si>
  <si>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</si>
  <si>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</si>
  <si>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</si>
  <si>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</si>
  <si>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</si>
  <si>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</si>
  <si>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</si>
  <si>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</si>
  <si>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</si>
  <si>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</si>
  <si>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</si>
  <si>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</si>
  <si>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</si>
  <si>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</si>
  <si>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</si>
  <si>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</si>
  <si>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</si>
  <si>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</si>
  <si>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</si>
  <si>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</si>
  <si>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</si>
  <si>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</si>
  <si>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</si>
  <si>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</si>
  <si>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</si>
  <si>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</si>
  <si>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</si>
  <si>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</si>
  <si>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</si>
  <si>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</si>
  <si>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</si>
  <si>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</si>
  <si>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</si>
  <si>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</si>
  <si>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</si>
  <si>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</si>
  <si>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</si>
  <si>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</si>
  <si>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</si>
  <si>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</si>
  <si>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</si>
  <si>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</si>
  <si>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</si>
  <si>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</si>
  <si>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</si>
  <si>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</si>
  <si>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</si>
  <si>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</si>
  <si>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</si>
  <si>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</si>
  <si>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</si>
  <si>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</si>
  <si>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</si>
  <si>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</si>
  <si>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</si>
  <si>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</si>
  <si>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</si>
  <si>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</si>
  <si>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</si>
  <si>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</si>
  <si>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</si>
  <si>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</si>
  <si>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</si>
  <si>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</si>
  <si>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</si>
  <si>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</si>
  <si>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</si>
  <si>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</si>
  <si>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</si>
  <si>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</si>
  <si>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</si>
  <si>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</si>
  <si>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</si>
  <si>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</si>
  <si>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</si>
  <si>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</si>
  <si>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</si>
  <si>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</si>
  <si>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</si>
  <si>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</si>
  <si>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</si>
  <si>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</si>
  <si>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</si>
  <si>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</si>
  <si>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</si>
  <si>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</si>
  <si>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</si>
  <si>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</si>
  <si>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</si>
  <si>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</si>
  <si>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</si>
  <si>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</si>
  <si>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</si>
  <si>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</si>
  <si>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</si>
  <si>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</si>
  <si>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</si>
  <si>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</si>
  <si>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</si>
  <si>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</si>
  <si>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</si>
  <si>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</si>
  <si>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</si>
  <si>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</si>
  <si>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</si>
  <si>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</si>
  <si>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</si>
  <si>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</si>
  <si>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</si>
  <si>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</si>
  <si>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</si>
  <si>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</si>
  <si>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</si>
  <si>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</si>
  <si>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</si>
  <si>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</si>
  <si>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</si>
  <si>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</si>
  <si>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</si>
  <si>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</si>
  <si>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</si>
  <si>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</si>
  <si>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</si>
  <si>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</si>
  <si>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</si>
  <si>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</si>
  <si>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</si>
  <si>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</si>
  <si>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</si>
  <si>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</si>
  <si>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</si>
  <si>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</si>
  <si>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</si>
  <si>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</si>
  <si>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</si>
  <si>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</si>
  <si>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</si>
  <si>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</si>
  <si>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</si>
  <si>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</si>
  <si>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</si>
  <si>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</si>
  <si>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</si>
  <si>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</si>
  <si>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</si>
  <si>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</si>
  <si>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</si>
  <si>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</si>
  <si>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</si>
  <si>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</si>
  <si>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</si>
  <si>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</si>
  <si>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</si>
  <si>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</si>
  <si>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</si>
  <si>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</si>
  <si>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</si>
  <si>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</si>
  <si>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</si>
  <si>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</si>
  <si>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</si>
  <si>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</si>
  <si>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</si>
  <si>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</si>
  <si>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</si>
  <si>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</si>
  <si>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</si>
  <si>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</si>
  <si>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</si>
  <si>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</si>
  <si>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</si>
  <si>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</si>
  <si>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</si>
  <si>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</si>
  <si>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</si>
  <si>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</si>
  <si>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</si>
  <si>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</si>
  <si>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</si>
  <si>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</si>
  <si>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</si>
  <si>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</si>
  <si>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</si>
  <si>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</si>
  <si>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</si>
  <si>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</si>
  <si>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</si>
  <si>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</si>
  <si>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</si>
  <si>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</si>
  <si>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</si>
  <si>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</si>
  <si>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</si>
  <si>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</si>
  <si>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</si>
  <si>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</si>
  <si>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</si>
  <si>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</si>
  <si>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</si>
  <si>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</si>
  <si>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</si>
  <si>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</si>
  <si>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</si>
  <si>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</si>
  <si>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</si>
  <si>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</si>
  <si>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</si>
  <si>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</si>
  <si>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</si>
  <si>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</si>
  <si>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</si>
  <si>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</si>
  <si>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</si>
  <si>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</si>
  <si>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</si>
  <si>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</si>
  <si>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</si>
  <si>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</si>
  <si>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</si>
  <si>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</si>
  <si>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</si>
  <si>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</si>
  <si>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</si>
  <si>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</si>
  <si>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</si>
  <si>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</si>
  <si>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</si>
  <si>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</si>
  <si>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</si>
  <si>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</si>
  <si>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</si>
  <si>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</si>
  <si>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</si>
  <si>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</si>
  <si>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</si>
  <si>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</si>
  <si>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</si>
  <si>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</si>
  <si>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</si>
  <si>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</si>
  <si>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</si>
  <si>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</si>
  <si>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</si>
  <si>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</si>
  <si>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</si>
  <si>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</si>
  <si>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</si>
  <si>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</si>
  <si>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</si>
  <si>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</si>
  <si>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</si>
  <si>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</si>
  <si>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</si>
  <si>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</si>
  <si>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</si>
  <si>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</si>
  <si>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</si>
  <si>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</si>
  <si>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</si>
  <si>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</si>
  <si>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</si>
  <si>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</si>
  <si>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</si>
  <si>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</si>
  <si>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</si>
  <si>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</si>
  <si>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</si>
  <si>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</si>
  <si>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</si>
  <si>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</si>
  <si>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</si>
  <si>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</si>
  <si>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</si>
  <si>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</si>
  <si>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</si>
  <si>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</si>
  <si>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</si>
  <si>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</si>
  <si>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</si>
  <si>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</si>
  <si>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</si>
  <si>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</si>
  <si>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</si>
  <si>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</si>
  <si>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</si>
  <si>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</si>
  <si>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</si>
  <si>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</si>
  <si>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</si>
  <si>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</si>
  <si>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</si>
  <si>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</si>
  <si>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</si>
  <si>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</si>
  <si>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</si>
  <si>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</si>
  <si>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</si>
  <si>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</si>
  <si>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</si>
  <si>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</si>
  <si>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</si>
  <si>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</si>
  <si>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</si>
  <si>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</si>
  <si>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</si>
  <si>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</si>
  <si>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</si>
  <si>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</si>
  <si>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</si>
  <si>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</si>
  <si>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</si>
  <si>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</si>
  <si>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</si>
  <si>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</si>
  <si>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</si>
  <si>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</si>
  <si>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</si>
  <si>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</si>
  <si>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</si>
  <si>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</si>
  <si>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</si>
  <si>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</si>
  <si>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</si>
  <si>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</si>
  <si>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</si>
  <si>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</si>
  <si>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</si>
  <si>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</si>
  <si>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</si>
  <si>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</si>
  <si>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</si>
  <si>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</si>
  <si>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</si>
  <si>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</si>
  <si>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</si>
  <si>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</si>
  <si>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</si>
  <si>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</si>
  <si>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</si>
  <si>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</si>
  <si>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</si>
  <si>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</si>
  <si>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</si>
  <si>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</si>
  <si>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</si>
  <si>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</si>
  <si>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</si>
  <si>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</si>
  <si>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</si>
  <si>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</si>
  <si>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</si>
  <si>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</si>
  <si>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</si>
  <si>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</si>
  <si>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</si>
  <si>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</si>
  <si>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</si>
  <si>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</si>
  <si>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</si>
  <si>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</si>
  <si>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</si>
  <si>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</si>
  <si>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</si>
  <si>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</si>
  <si>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</si>
  <si>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</si>
  <si>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</si>
  <si>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</si>
  <si>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</si>
  <si>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</si>
  <si>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</si>
  <si>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</si>
  <si>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</si>
  <si>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</si>
  <si>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</si>
  <si>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</si>
  <si>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</si>
  <si>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</si>
  <si>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</si>
  <si>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</si>
  <si>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</si>
  <si>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</si>
  <si>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</si>
  <si>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</si>
  <si>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</si>
  <si>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</si>
  <si>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</si>
  <si>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</si>
  <si>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</si>
  <si>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</si>
  <si>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</si>
  <si>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</si>
  <si>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</si>
  <si>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</si>
  <si>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</si>
  <si>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</si>
  <si>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</si>
  <si>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</si>
  <si>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</si>
  <si>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</si>
  <si>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</si>
  <si>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</si>
  <si>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</si>
  <si>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</si>
  <si>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</si>
  <si>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</si>
  <si>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</si>
  <si>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</si>
  <si>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</si>
  <si>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</si>
  <si>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</si>
  <si>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</si>
  <si>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</si>
  <si>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</si>
  <si>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</si>
  <si>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</si>
  <si>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</si>
  <si>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</si>
  <si>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</si>
  <si>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</si>
  <si>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</si>
  <si>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</si>
  <si>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</si>
  <si>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</si>
  <si>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</si>
  <si>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</si>
  <si>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</si>
  <si>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</si>
  <si>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</si>
  <si>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</si>
  <si>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</si>
  <si>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</si>
  <si>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</si>
  <si>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</si>
  <si>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</si>
  <si>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</si>
  <si>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</si>
  <si>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</si>
  <si>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</si>
  <si>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</si>
  <si>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</si>
  <si>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</si>
  <si>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</si>
  <si>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</si>
  <si>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</si>
  <si>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</si>
  <si>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</si>
  <si>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</si>
  <si>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</si>
  <si>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</si>
  <si>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</si>
  <si>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</si>
  <si>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</si>
  <si>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</si>
  <si>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</si>
  <si>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</si>
  <si>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</si>
  <si>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</si>
  <si>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</si>
  <si>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</si>
  <si>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</si>
  <si>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</si>
  <si>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</si>
  <si>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</si>
  <si>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</si>
  <si>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</si>
  <si>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</si>
  <si>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</si>
  <si>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</si>
  <si>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</si>
  <si>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</si>
  <si>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</si>
  <si>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</si>
  <si>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</si>
  <si>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</si>
  <si>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</si>
  <si>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</si>
  <si>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</si>
  <si>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</si>
  <si>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</si>
  <si>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</si>
  <si>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</si>
  <si>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</si>
  <si>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</si>
  <si>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</si>
  <si>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</si>
  <si>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</si>
  <si>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</si>
  <si>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</si>
  <si>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</si>
  <si>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</si>
  <si>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</si>
  <si>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</si>
  <si>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</si>
  <si>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</si>
  <si>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</si>
  <si>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</si>
  <si>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</si>
  <si>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</si>
  <si>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</si>
  <si>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</si>
  <si>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</si>
  <si>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</si>
  <si>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</si>
  <si>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</si>
  <si>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</si>
  <si>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</si>
  <si>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</si>
  <si>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</si>
  <si>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</si>
  <si>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</si>
  <si>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</si>
  <si>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</si>
  <si>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</si>
  <si>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</si>
  <si>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</si>
  <si>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</si>
  <si>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</si>
  <si>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</si>
  <si>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</si>
  <si>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</si>
  <si>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</si>
  <si>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</si>
  <si>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</si>
  <si>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</si>
  <si>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</si>
  <si>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</si>
  <si>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</si>
  <si>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</si>
  <si>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</si>
  <si>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</si>
  <si>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</si>
  <si>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</si>
  <si>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</si>
  <si>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</si>
  <si>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</si>
  <si>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</si>
  <si>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</si>
  <si>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</si>
  <si>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</si>
  <si>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</si>
  <si>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</si>
  <si>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</si>
  <si>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</si>
  <si>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</si>
  <si>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</si>
  <si>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</si>
  <si>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</si>
  <si>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</si>
  <si>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</si>
  <si>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</si>
  <si>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</si>
  <si>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</si>
  <si>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</si>
  <si>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</si>
  <si>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</si>
  <si>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</si>
  <si>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</si>
  <si>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</si>
  <si>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</si>
  <si>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</si>
  <si>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</si>
  <si>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</si>
  <si>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</si>
  <si>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</si>
  <si>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</si>
  <si>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</si>
  <si>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</si>
  <si>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</si>
  <si>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</si>
  <si>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</si>
  <si>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</si>
  <si>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</si>
  <si>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</si>
  <si>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</si>
  <si>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</si>
  <si>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</si>
  <si>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</si>
  <si>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</si>
  <si>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</si>
  <si>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</si>
  <si>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</si>
  <si>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</si>
  <si>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</si>
  <si>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</si>
  <si>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</si>
  <si>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</si>
  <si>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</si>
  <si>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</si>
  <si>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</si>
  <si>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</si>
  <si>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</si>
  <si>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</si>
  <si>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</si>
  <si>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</si>
  <si>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</si>
  <si>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</si>
  <si>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</si>
  <si>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</si>
  <si>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</si>
  <si>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</si>
  <si>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</si>
  <si>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</si>
  <si>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</si>
  <si>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</si>
  <si>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</si>
  <si>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</si>
  <si>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</si>
  <si>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</si>
  <si>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</si>
  <si>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</si>
  <si>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</si>
  <si>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</si>
  <si>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</si>
  <si>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</si>
  <si>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</si>
  <si>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</si>
  <si>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</si>
  <si>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</si>
  <si>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</si>
  <si>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</si>
  <si>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</si>
  <si>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</si>
  <si>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</si>
  <si>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</si>
  <si>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</si>
  <si>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</si>
  <si>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</si>
  <si>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</si>
  <si>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</si>
  <si>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</si>
  <si>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</si>
  <si>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</si>
  <si>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</si>
  <si>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</si>
  <si>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</si>
  <si>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</si>
  <si>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</si>
  <si>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</si>
  <si>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</si>
  <si>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</si>
  <si>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</si>
  <si>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</si>
  <si>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</si>
  <si>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</si>
  <si>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</si>
  <si>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</si>
  <si>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</si>
  <si>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</si>
  <si>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</si>
  <si>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</si>
  <si>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</si>
  <si>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</si>
  <si>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</si>
  <si>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</si>
  <si>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</si>
  <si>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</si>
  <si>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</si>
  <si>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</si>
  <si>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</si>
  <si>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</si>
  <si>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</si>
  <si>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</si>
  <si>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</si>
  <si>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</si>
  <si>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</si>
  <si>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</si>
  <si>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</si>
  <si>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</si>
  <si>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</si>
  <si>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</si>
  <si>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</si>
  <si>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</si>
  <si>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</si>
  <si>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</si>
  <si>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</si>
  <si>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</si>
  <si>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</si>
  <si>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</si>
  <si>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</si>
  <si>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</si>
  <si>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</si>
  <si>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</si>
  <si>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</si>
  <si>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</si>
  <si>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</si>
  <si>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</si>
  <si>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</si>
  <si>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</si>
  <si>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</si>
  <si>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</si>
  <si>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</si>
  <si>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</si>
  <si>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</si>
  <si>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</si>
  <si>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</si>
  <si>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</si>
  <si>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</si>
  <si>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</si>
  <si>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</si>
  <si>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</si>
  <si>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</si>
  <si>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</si>
  <si>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</si>
  <si>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</si>
  <si>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</si>
  <si>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</si>
  <si>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</si>
  <si>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</si>
  <si>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</si>
  <si>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</si>
  <si>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</si>
  <si>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</si>
  <si>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</si>
  <si>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</si>
  <si>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</si>
  <si>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</si>
  <si>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</si>
  <si>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</si>
  <si>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</si>
  <si>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</si>
  <si>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</si>
  <si>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</si>
  <si>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</si>
  <si>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</si>
  <si>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</si>
  <si>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</si>
  <si>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</si>
  <si>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</si>
  <si>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</si>
  <si>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</si>
  <si>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</si>
  <si>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</si>
  <si>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</si>
  <si>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</si>
  <si>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</si>
  <si>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</si>
  <si>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</si>
  <si>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</si>
  <si>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</si>
  <si>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</si>
  <si>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</si>
  <si>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</si>
  <si>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</si>
  <si>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</si>
  <si>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</si>
  <si>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</si>
  <si>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</si>
  <si>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</si>
  <si>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</si>
  <si>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</si>
  <si>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</si>
  <si>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</si>
  <si>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</si>
  <si>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</si>
  <si>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</si>
  <si>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</si>
  <si>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Wendell Township</t>
  </si>
  <si>
    <t>Thomas County</t>
  </si>
  <si>
    <t>Municipal Services</t>
  </si>
  <si>
    <t>The Rexford City Building</t>
  </si>
  <si>
    <t>Darrell Dible Residence, 2822 County RD 36, Rexford KS</t>
  </si>
  <si>
    <t>7:00 p.m.</t>
  </si>
  <si>
    <t>2001 Motor Grader</t>
  </si>
  <si>
    <t>NONE</t>
  </si>
  <si>
    <t>Special City &amp; CO Hwy</t>
  </si>
  <si>
    <t>Publication</t>
  </si>
  <si>
    <t>Wages</t>
  </si>
  <si>
    <t>Lease Purchase - Equipment</t>
  </si>
  <si>
    <t>Repairs</t>
  </si>
  <si>
    <t>Budget Preparation</t>
  </si>
  <si>
    <t>Utilities</t>
  </si>
  <si>
    <t>Capital Outlay</t>
  </si>
  <si>
    <t>August 4, 2011</t>
  </si>
  <si>
    <t>Rogers Brazier</t>
  </si>
  <si>
    <t>1994 Tractor</t>
  </si>
  <si>
    <t>Darrel Dible,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</si>
</sst>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0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6" applyNumberFormat="1" applyFont="1" applyFill="1" applyAlignment="1" applyProtection="1">
      <alignment vertical="center"/>
      <protection/>
    </xf>
    <xf numFmtId="0" fontId="6" fillId="34" borderId="0" xfId="436" applyFont="1" applyFill="1" applyAlignment="1" applyProtection="1">
      <alignment vertical="center"/>
      <protection/>
    </xf>
    <xf numFmtId="0" fontId="6" fillId="0" borderId="0" xfId="436" applyFont="1" applyAlignment="1" applyProtection="1">
      <alignment vertical="center"/>
      <protection locked="0"/>
    </xf>
    <xf numFmtId="0" fontId="5" fillId="34" borderId="0" xfId="437" applyFont="1" applyFill="1" applyAlignment="1" applyProtection="1">
      <alignment horizontal="centerContinuous" vertical="center"/>
      <protection/>
    </xf>
    <xf numFmtId="0" fontId="6" fillId="34" borderId="0" xfId="43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6" applyFont="1" applyFill="1" applyBorder="1" applyAlignment="1" applyProtection="1">
      <alignment horizontal="left" vertical="center"/>
      <protection/>
    </xf>
    <xf numFmtId="0" fontId="5" fillId="34" borderId="17" xfId="436" applyFont="1" applyFill="1" applyBorder="1" applyAlignment="1" applyProtection="1">
      <alignment vertical="center"/>
      <protection/>
    </xf>
    <xf numFmtId="0" fontId="5" fillId="34" borderId="24" xfId="436" applyFont="1" applyFill="1" applyBorder="1" applyAlignment="1" applyProtection="1">
      <alignment vertical="center"/>
      <protection/>
    </xf>
    <xf numFmtId="3" fontId="5" fillId="34" borderId="19" xfId="436" applyNumberFormat="1" applyFont="1" applyFill="1" applyBorder="1" applyAlignment="1" applyProtection="1">
      <alignment vertical="center"/>
      <protection/>
    </xf>
    <xf numFmtId="37" fontId="5" fillId="36" borderId="16" xfId="436" applyNumberFormat="1" applyFont="1" applyFill="1" applyBorder="1" applyAlignment="1" applyProtection="1">
      <alignment vertical="center"/>
      <protection/>
    </xf>
    <xf numFmtId="0" fontId="5" fillId="34" borderId="19" xfId="436" applyFont="1" applyFill="1" applyBorder="1" applyAlignment="1" applyProtection="1">
      <alignment vertical="center"/>
      <protection/>
    </xf>
    <xf numFmtId="0" fontId="6" fillId="34" borderId="0" xfId="437" applyFont="1" applyFill="1" applyAlignment="1" applyProtection="1">
      <alignment horizontal="centerContinuous" vertical="center"/>
      <protection/>
    </xf>
    <xf numFmtId="0" fontId="6" fillId="34" borderId="0" xfId="437" applyFont="1" applyFill="1" applyAlignment="1" applyProtection="1">
      <alignment vertical="center"/>
      <protection/>
    </xf>
    <xf numFmtId="0" fontId="6" fillId="0" borderId="0" xfId="43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7" applyFont="1" applyFill="1" applyBorder="1" applyAlignment="1" applyProtection="1">
      <alignment vertical="center"/>
      <protection/>
    </xf>
    <xf numFmtId="0" fontId="6" fillId="34" borderId="0" xfId="437"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5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7" applyFont="1" applyAlignment="1">
      <alignment vertical="center"/>
      <protection/>
    </xf>
    <xf numFmtId="0" fontId="6" fillId="0" borderId="0" xfId="405"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6">
      <alignment/>
      <protection/>
    </xf>
    <xf numFmtId="0" fontId="6" fillId="0" borderId="0" xfId="416" applyFont="1" applyAlignment="1">
      <alignment horizontal="left" vertical="center"/>
      <protection/>
    </xf>
    <xf numFmtId="0" fontId="0" fillId="0" borderId="0" xfId="416" applyNumberFormat="1" applyFont="1" applyAlignment="1">
      <alignment horizontal="left" vertical="center"/>
      <protection/>
    </xf>
    <xf numFmtId="182" fontId="25" fillId="0" borderId="0" xfId="416" applyNumberFormat="1" applyFont="1" applyAlignment="1">
      <alignment horizontal="left" vertical="center"/>
      <protection/>
    </xf>
    <xf numFmtId="49" fontId="6" fillId="0" borderId="0" xfId="416" applyNumberFormat="1" applyFont="1" applyAlignment="1">
      <alignment horizontal="left" vertical="center"/>
      <protection/>
    </xf>
    <xf numFmtId="0" fontId="25" fillId="0" borderId="0" xfId="416" applyFont="1" applyAlignment="1">
      <alignment horizontal="left" vertical="center"/>
      <protection/>
    </xf>
    <xf numFmtId="183" fontId="25" fillId="0" borderId="0" xfId="416" applyNumberFormat="1" applyFont="1" applyAlignment="1">
      <alignment horizontal="left" vertical="center"/>
      <protection/>
    </xf>
    <xf numFmtId="0" fontId="6" fillId="43" borderId="0" xfId="416" applyFont="1" applyFill="1" applyAlignment="1" applyProtection="1">
      <alignment horizontal="left" vertical="center"/>
      <protection locked="0"/>
    </xf>
    <xf numFmtId="0" fontId="0" fillId="43" borderId="0" xfId="416" applyFill="1" applyAlignment="1" applyProtection="1">
      <alignment horizontal="left" vertical="center"/>
      <protection locked="0"/>
    </xf>
    <xf numFmtId="0" fontId="4" fillId="0" borderId="0" xfId="192" applyFont="1">
      <alignment/>
      <protection/>
    </xf>
    <xf numFmtId="0" fontId="4" fillId="0" borderId="0" xfId="192" applyFont="1" applyFill="1">
      <alignment/>
      <protection/>
    </xf>
    <xf numFmtId="0" fontId="6" fillId="0" borderId="0" xfId="13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9" applyFont="1" applyAlignment="1">
      <alignment vertical="center" wrapText="1"/>
      <protection/>
    </xf>
    <xf numFmtId="0" fontId="6" fillId="0" borderId="0" xfId="428" applyFont="1" applyAlignment="1">
      <alignment vertical="center"/>
      <protection/>
    </xf>
    <xf numFmtId="0" fontId="7" fillId="0" borderId="0" xfId="125" applyFont="1" applyAlignment="1">
      <alignment vertical="center"/>
      <protection/>
    </xf>
    <xf numFmtId="0" fontId="6" fillId="0" borderId="0" xfId="129" applyFont="1" applyAlignment="1">
      <alignment vertical="center"/>
      <protection/>
    </xf>
    <xf numFmtId="0" fontId="6" fillId="34" borderId="0" xfId="0" applyFont="1" applyFill="1" applyAlignment="1">
      <alignment/>
    </xf>
    <xf numFmtId="0" fontId="7" fillId="0" borderId="0" xfId="124"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4"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5" applyNumberFormat="1" applyFont="1" applyFill="1" applyBorder="1" applyAlignment="1" applyProtection="1">
      <alignment horizontal="center" vertical="center"/>
      <protection/>
    </xf>
    <xf numFmtId="37" fontId="6" fillId="34" borderId="13" xfId="75"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5" applyFont="1" applyFill="1" applyAlignment="1" applyProtection="1">
      <alignment vertical="center"/>
      <protection/>
    </xf>
    <xf numFmtId="0" fontId="6" fillId="0" borderId="0" xfId="92" applyFont="1" applyAlignment="1">
      <alignment vertical="center" wrapText="1"/>
      <protection/>
    </xf>
    <xf numFmtId="0" fontId="6" fillId="0" borderId="0" xfId="92"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0" fontId="6" fillId="43" borderId="0" xfId="416" applyFont="1" applyFill="1" applyAlignment="1" applyProtection="1">
      <alignment horizontal="left" vertical="center"/>
      <protection locked="0"/>
    </xf>
    <xf numFmtId="0" fontId="6" fillId="43" borderId="0" xfId="416" applyFont="1" applyFill="1" applyAlignment="1" applyProtection="1">
      <alignment horizontal="left" vertical="center"/>
      <protection locked="0"/>
    </xf>
    <xf numFmtId="49" fontId="6" fillId="43" borderId="0" xfId="416" applyNumberFormat="1" applyFont="1" applyFill="1" applyAlignment="1" applyProtection="1">
      <alignment horizontal="left" vertical="center"/>
      <protection locked="0"/>
    </xf>
    <xf numFmtId="0" fontId="6" fillId="33" borderId="16" xfId="0" applyFont="1" applyFill="1" applyBorder="1" applyAlignment="1" applyProtection="1">
      <alignment/>
      <protection locked="0"/>
    </xf>
    <xf numFmtId="3" fontId="6" fillId="33" borderId="16" xfId="0" applyNumberFormat="1" applyFont="1" applyFill="1" applyBorder="1" applyAlignment="1" applyProtection="1">
      <alignment/>
      <protection locked="0"/>
    </xf>
    <xf numFmtId="2" fontId="6" fillId="33" borderId="16" xfId="0" applyNumberFormat="1" applyFont="1" applyFill="1" applyBorder="1" applyAlignment="1" applyProtection="1">
      <alignment/>
      <protection locked="0"/>
    </xf>
    <xf numFmtId="1" fontId="6" fillId="33" borderId="16" xfId="0" applyNumberFormat="1" applyFont="1" applyFill="1" applyBorder="1" applyAlignment="1" applyProtection="1">
      <alignment/>
      <protection locked="0"/>
    </xf>
    <xf numFmtId="170" fontId="6" fillId="33" borderId="16" xfId="0" applyNumberFormat="1" applyFont="1" applyFill="1" applyBorder="1" applyAlignment="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6" applyFont="1" applyAlignment="1">
      <alignment horizontal="left" vertical="center" wrapText="1"/>
      <protection/>
    </xf>
    <xf numFmtId="0" fontId="0" fillId="0" borderId="0" xfId="416" applyAlignment="1">
      <alignment horizontal="left" vertical="center" wrapText="1"/>
      <protection/>
    </xf>
    <xf numFmtId="0" fontId="20" fillId="0" borderId="0" xfId="416"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92" applyNumberFormat="1" applyFont="1" applyFill="1" applyBorder="1" applyAlignment="1" applyProtection="1">
      <alignment horizontal="right" vertical="center"/>
      <protection/>
    </xf>
    <xf numFmtId="0" fontId="4" fillId="0" borderId="19" xfId="92" applyBorder="1" applyAlignment="1">
      <alignment horizontal="right" vertical="center"/>
      <protection/>
    </xf>
    <xf numFmtId="0" fontId="6" fillId="34" borderId="0" xfId="92" applyFont="1" applyFill="1" applyAlignment="1" applyProtection="1">
      <alignment horizontal="right" vertical="center"/>
      <protection/>
    </xf>
    <xf numFmtId="0" fontId="6" fillId="0" borderId="20" xfId="92"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18" fillId="34" borderId="25" xfId="76"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3 2" xfId="66"/>
    <cellStyle name="Hyperlink 3 3" xfId="67"/>
    <cellStyle name="Hyperlink 4" xfId="68"/>
    <cellStyle name="Hyperlink 4 2" xfId="69"/>
    <cellStyle name="Hyperlink 7" xfId="70"/>
    <cellStyle name="Hyperlink 7 2" xfId="71"/>
    <cellStyle name="Input" xfId="72"/>
    <cellStyle name="Linked Cell" xfId="73"/>
    <cellStyle name="Neutral" xfId="74"/>
    <cellStyle name="Normal 10" xfId="75"/>
    <cellStyle name="Normal 10 2" xfId="76"/>
    <cellStyle name="Normal 10 2 2" xfId="77"/>
    <cellStyle name="Normal 10 3" xfId="78"/>
    <cellStyle name="Normal 10 4" xfId="79"/>
    <cellStyle name="Normal 10 5" xfId="80"/>
    <cellStyle name="Normal 10 6"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2" xfId="154"/>
    <cellStyle name="Normal 2 10 2 2" xfId="155"/>
    <cellStyle name="Normal 2 10 3" xfId="156"/>
    <cellStyle name="Normal 2 10 3 2" xfId="157"/>
    <cellStyle name="Normal 2 10 4" xfId="158"/>
    <cellStyle name="Normal 2 10 4 2" xfId="159"/>
    <cellStyle name="Normal 2 10 5" xfId="160"/>
    <cellStyle name="Normal 2 10 5 2" xfId="161"/>
    <cellStyle name="Normal 2 10 6" xfId="162"/>
    <cellStyle name="Normal 2 10 6 2" xfId="163"/>
    <cellStyle name="Normal 2 10 7" xfId="164"/>
    <cellStyle name="Normal 2 10 7 2" xfId="165"/>
    <cellStyle name="Normal 2 10 8" xfId="166"/>
    <cellStyle name="Normal 2 10 8 2" xfId="167"/>
    <cellStyle name="Normal 2 10 9" xfId="168"/>
    <cellStyle name="Normal 2 11" xfId="169"/>
    <cellStyle name="Normal 2 11 10" xfId="170"/>
    <cellStyle name="Normal 2 11 2" xfId="171"/>
    <cellStyle name="Normal 2 11 2 2" xfId="172"/>
    <cellStyle name="Normal 2 11 3" xfId="173"/>
    <cellStyle name="Normal 2 11 3 2" xfId="174"/>
    <cellStyle name="Normal 2 11 4" xfId="175"/>
    <cellStyle name="Normal 2 11 4 2" xfId="176"/>
    <cellStyle name="Normal 2 11 5" xfId="177"/>
    <cellStyle name="Normal 2 11 5 2" xfId="178"/>
    <cellStyle name="Normal 2 11 6" xfId="179"/>
    <cellStyle name="Normal 2 11 6 2" xfId="180"/>
    <cellStyle name="Normal 2 11 7" xfId="181"/>
    <cellStyle name="Normal 2 11 7 2" xfId="182"/>
    <cellStyle name="Normal 2 11 8" xfId="183"/>
    <cellStyle name="Normal 2 11 8 2" xfId="184"/>
    <cellStyle name="Normal 2 11 9" xfId="185"/>
    <cellStyle name="Normal 2 12" xfId="186"/>
    <cellStyle name="Normal 2 13" xfId="187"/>
    <cellStyle name="Normal 2 14" xfId="188"/>
    <cellStyle name="Normal 2 15" xfId="189"/>
    <cellStyle name="Normal 2 16" xfId="190"/>
    <cellStyle name="Normal 2 2" xfId="191"/>
    <cellStyle name="Normal 2 2 10" xfId="192"/>
    <cellStyle name="Normal 2 2 10 2" xfId="193"/>
    <cellStyle name="Normal 2 2 11" xfId="194"/>
    <cellStyle name="Normal 2 2 11 2" xfId="195"/>
    <cellStyle name="Normal 2 2 12" xfId="196"/>
    <cellStyle name="Normal 2 2 12 2" xfId="197"/>
    <cellStyle name="Normal 2 2 12 2 2" xfId="198"/>
    <cellStyle name="Normal 2 2 13" xfId="199"/>
    <cellStyle name="Normal 2 2 13 2" xfId="200"/>
    <cellStyle name="Normal 2 2 13 2 2" xfId="201"/>
    <cellStyle name="Normal 2 2 14" xfId="202"/>
    <cellStyle name="Normal 2 2 14 2" xfId="203"/>
    <cellStyle name="Normal 2 2 15" xfId="204"/>
    <cellStyle name="Normal 2 2 15 2" xfId="205"/>
    <cellStyle name="Normal 2 2 16" xfId="206"/>
    <cellStyle name="Normal 2 2 16 2" xfId="207"/>
    <cellStyle name="Normal 2 2 17" xfId="208"/>
    <cellStyle name="Normal 2 2 18" xfId="209"/>
    <cellStyle name="Normal 2 2 19" xfId="210"/>
    <cellStyle name="Normal 2 2 2" xfId="211"/>
    <cellStyle name="Normal 2 2 2 2" xfId="212"/>
    <cellStyle name="Normal 2 2 2 2 2"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3" xfId="269"/>
    <cellStyle name="Normal 2 4 2 4" xfId="270"/>
    <cellStyle name="Normal 2 4 3" xfId="271"/>
    <cellStyle name="Normal 2 4 3 2" xfId="272"/>
    <cellStyle name="Normal 2 4 3 3" xfId="273"/>
    <cellStyle name="Normal 2 4 4" xfId="274"/>
    <cellStyle name="Normal 2 4 5" xfId="275"/>
    <cellStyle name="Normal 2 4 6" xfId="276"/>
    <cellStyle name="Normal 2 4 7" xfId="277"/>
    <cellStyle name="Normal 2 4 8" xfId="278"/>
    <cellStyle name="Normal 2 4 9" xfId="279"/>
    <cellStyle name="Normal 2 5" xfId="280"/>
    <cellStyle name="Normal 2 5 10" xfId="281"/>
    <cellStyle name="Normal 2 5 11" xfId="282"/>
    <cellStyle name="Normal 2 5 12" xfId="283"/>
    <cellStyle name="Normal 2 5 12 2" xfId="284"/>
    <cellStyle name="Normal 2 5 2" xfId="285"/>
    <cellStyle name="Normal 2 5 2 2" xfId="286"/>
    <cellStyle name="Normal 2 5 3" xfId="287"/>
    <cellStyle name="Normal 2 5 3 2" xfId="288"/>
    <cellStyle name="Normal 2 5 4" xfId="289"/>
    <cellStyle name="Normal 2 5 5" xfId="290"/>
    <cellStyle name="Normal 2 5 6" xfId="291"/>
    <cellStyle name="Normal 2 5 7" xfId="292"/>
    <cellStyle name="Normal 2 5 8" xfId="293"/>
    <cellStyle name="Normal 2 5 9" xfId="294"/>
    <cellStyle name="Normal 2 6" xfId="295"/>
    <cellStyle name="Normal 2 6 10" xfId="296"/>
    <cellStyle name="Normal 2 6 11" xfId="297"/>
    <cellStyle name="Normal 2 6 12" xfId="298"/>
    <cellStyle name="Normal 2 6 2" xfId="299"/>
    <cellStyle name="Normal 2 6 2 2" xfId="300"/>
    <cellStyle name="Normal 2 6 3" xfId="301"/>
    <cellStyle name="Normal 2 6 3 2" xfId="302"/>
    <cellStyle name="Normal 2 6 4" xfId="303"/>
    <cellStyle name="Normal 2 6 5" xfId="304"/>
    <cellStyle name="Normal 2 6 6" xfId="305"/>
    <cellStyle name="Normal 2 6 7" xfId="306"/>
    <cellStyle name="Normal 2 6 8" xfId="307"/>
    <cellStyle name="Normal 2 6 9" xfId="308"/>
    <cellStyle name="Normal 2 7" xfId="309"/>
    <cellStyle name="Normal 2 7 10" xfId="310"/>
    <cellStyle name="Normal 2 7 2" xfId="311"/>
    <cellStyle name="Normal 2 7 2 2" xfId="312"/>
    <cellStyle name="Normal 2 7 2 3" xfId="313"/>
    <cellStyle name="Normal 2 7 3" xfId="314"/>
    <cellStyle name="Normal 2 7 3 2" xfId="315"/>
    <cellStyle name="Normal 2 7 4" xfId="316"/>
    <cellStyle name="Normal 2 7 4 2" xfId="317"/>
    <cellStyle name="Normal 2 7 5" xfId="318"/>
    <cellStyle name="Normal 2 7 5 2" xfId="319"/>
    <cellStyle name="Normal 2 7 6" xfId="320"/>
    <cellStyle name="Normal 2 7 6 2" xfId="321"/>
    <cellStyle name="Normal 2 7 7" xfId="322"/>
    <cellStyle name="Normal 2 7 7 2" xfId="323"/>
    <cellStyle name="Normal 2 7 8" xfId="324"/>
    <cellStyle name="Normal 2 7 8 2" xfId="325"/>
    <cellStyle name="Normal 2 7 9" xfId="326"/>
    <cellStyle name="Normal 2 8" xfId="327"/>
    <cellStyle name="Normal 2 8 10"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2" xfId="346"/>
    <cellStyle name="Normal 2 9 2 2" xfId="347"/>
    <cellStyle name="Normal 2 9 3" xfId="348"/>
    <cellStyle name="Normal 2 9 3 2" xfId="349"/>
    <cellStyle name="Normal 2 9 4" xfId="350"/>
    <cellStyle name="Normal 2 9 4 2" xfId="351"/>
    <cellStyle name="Normal 2 9 5" xfId="352"/>
    <cellStyle name="Normal 2 9 5 2" xfId="353"/>
    <cellStyle name="Normal 2 9 6" xfId="354"/>
    <cellStyle name="Normal 2 9 6 2" xfId="355"/>
    <cellStyle name="Normal 2 9 7" xfId="356"/>
    <cellStyle name="Normal 2 9 7 2" xfId="357"/>
    <cellStyle name="Normal 2 9 8" xfId="358"/>
    <cellStyle name="Normal 2 9 8 2" xfId="359"/>
    <cellStyle name="Normal 2 9 9" xfId="360"/>
    <cellStyle name="Normal 20" xfId="361"/>
    <cellStyle name="Normal 20 2" xfId="362"/>
    <cellStyle name="Normal 20 3" xfId="363"/>
    <cellStyle name="Normal 21" xfId="364"/>
    <cellStyle name="Normal 22" xfId="365"/>
    <cellStyle name="Normal 22 2" xfId="366"/>
    <cellStyle name="Normal 22 3" xfId="367"/>
    <cellStyle name="Normal 23" xfId="368"/>
    <cellStyle name="Normal 23 2" xfId="369"/>
    <cellStyle name="Normal 23 3" xfId="370"/>
    <cellStyle name="Normal 24" xfId="371"/>
    <cellStyle name="Normal 24 2" xfId="372"/>
    <cellStyle name="Normal 24 3" xfId="373"/>
    <cellStyle name="Normal 25" xfId="374"/>
    <cellStyle name="Normal 25 2" xfId="375"/>
    <cellStyle name="Normal 25 3" xfId="376"/>
    <cellStyle name="Normal 3" xfId="377"/>
    <cellStyle name="Normal 3 2" xfId="378"/>
    <cellStyle name="Normal 3 2 2" xfId="379"/>
    <cellStyle name="Normal 3 2 2 2" xfId="380"/>
    <cellStyle name="Normal 3 2 3" xfId="381"/>
    <cellStyle name="Normal 3 2 4" xfId="382"/>
    <cellStyle name="Normal 3 3" xfId="383"/>
    <cellStyle name="Normal 3 3 2" xfId="384"/>
    <cellStyle name="Normal 3 3 2 2" xfId="385"/>
    <cellStyle name="Normal 3 3 3" xfId="386"/>
    <cellStyle name="Normal 3 4" xfId="387"/>
    <cellStyle name="Normal 3 5" xfId="388"/>
    <cellStyle name="Normal 3 6" xfId="389"/>
    <cellStyle name="Normal 3 7" xfId="390"/>
    <cellStyle name="Normal 3 8" xfId="391"/>
    <cellStyle name="Normal 3 9" xfId="392"/>
    <cellStyle name="Normal 4" xfId="393"/>
    <cellStyle name="Normal 4 2" xfId="394"/>
    <cellStyle name="Normal 4 2 2" xfId="395"/>
    <cellStyle name="Normal 4 2 2 2" xfId="396"/>
    <cellStyle name="Normal 4 2 3" xfId="397"/>
    <cellStyle name="Normal 4 2 4" xfId="398"/>
    <cellStyle name="Normal 4 3" xfId="399"/>
    <cellStyle name="Normal 4 3 2" xfId="400"/>
    <cellStyle name="Normal 4 3 3" xfId="401"/>
    <cellStyle name="Normal 4 4" xfId="402"/>
    <cellStyle name="Normal 4 5" xfId="403"/>
    <cellStyle name="Normal 4 6" xfId="404"/>
    <cellStyle name="Normal 5" xfId="405"/>
    <cellStyle name="Normal 5 2" xfId="406"/>
    <cellStyle name="Normal 5 3" xfId="407"/>
    <cellStyle name="Normal 5 3 2" xfId="408"/>
    <cellStyle name="Normal 5 4" xfId="409"/>
    <cellStyle name="Normal 6" xfId="410"/>
    <cellStyle name="Normal 6 2" xfId="411"/>
    <cellStyle name="Normal 6 3" xfId="412"/>
    <cellStyle name="Normal 6 4" xfId="413"/>
    <cellStyle name="Normal 6 5" xfId="414"/>
    <cellStyle name="Normal 7" xfId="415"/>
    <cellStyle name="Normal 7 2" xfId="416"/>
    <cellStyle name="Normal 7 2 2" xfId="417"/>
    <cellStyle name="Normal 7 2 2 2" xfId="418"/>
    <cellStyle name="Normal 7 2 3" xfId="419"/>
    <cellStyle name="Normal 7 2 4" xfId="420"/>
    <cellStyle name="Normal 7 3" xfId="421"/>
    <cellStyle name="Normal 7 4" xfId="422"/>
    <cellStyle name="Normal 7 4 2" xfId="423"/>
    <cellStyle name="Normal 7 5" xfId="424"/>
    <cellStyle name="Normal 7 5 2" xfId="425"/>
    <cellStyle name="Normal 7 5 3" xfId="426"/>
    <cellStyle name="Normal 7 6" xfId="427"/>
    <cellStyle name="Normal 8" xfId="428"/>
    <cellStyle name="Normal 8 2" xfId="429"/>
    <cellStyle name="Normal 9" xfId="430"/>
    <cellStyle name="Normal 9 2" xfId="431"/>
    <cellStyle name="Normal 9 2 2" xfId="432"/>
    <cellStyle name="Normal 9 3" xfId="433"/>
    <cellStyle name="Normal 9 4" xfId="434"/>
    <cellStyle name="Normal 9 5" xfId="435"/>
    <cellStyle name="Normal_debt" xfId="436"/>
    <cellStyle name="Normal_lpform" xfId="437"/>
    <cellStyle name="Note" xfId="438"/>
    <cellStyle name="Output" xfId="439"/>
    <cellStyle name="Percent" xfId="440"/>
    <cellStyle name="Title" xfId="441"/>
    <cellStyle name="Total" xfId="442"/>
    <cellStyle name="Warning Text" xfId="44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748</v>
      </c>
    </row>
    <row r="40" ht="57.75" customHeight="1">
      <c r="A40" s="371" t="s">
        <v>192</v>
      </c>
    </row>
    <row r="41" ht="10.5" customHeight="1">
      <c r="A41" s="360"/>
    </row>
    <row r="42" ht="65.25" customHeight="1">
      <c r="A42" s="360" t="s">
        <v>749</v>
      </c>
    </row>
    <row r="43" ht="59.25" customHeight="1">
      <c r="A43" s="360" t="s">
        <v>193</v>
      </c>
    </row>
    <row r="44" ht="84.75" customHeight="1">
      <c r="A44" s="360" t="s">
        <v>273</v>
      </c>
    </row>
    <row r="45" ht="12" customHeight="1">
      <c r="A45" s="360"/>
    </row>
    <row r="46" ht="67.5" customHeight="1">
      <c r="A46" s="398" t="s">
        <v>606</v>
      </c>
    </row>
    <row r="47" ht="69.75" customHeight="1">
      <c r="A47" s="394"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750</v>
      </c>
    </row>
    <row r="70" ht="63" customHeight="1">
      <c r="A70" s="581" t="s">
        <v>751</v>
      </c>
    </row>
    <row r="71" ht="57" customHeight="1">
      <c r="A71" s="581" t="s">
        <v>752</v>
      </c>
    </row>
    <row r="72" ht="60" customHeight="1">
      <c r="A72" s="360" t="s">
        <v>753</v>
      </c>
    </row>
    <row r="73" ht="117.75" customHeight="1">
      <c r="A73" s="360" t="s">
        <v>754</v>
      </c>
    </row>
    <row r="74" ht="59.25" customHeight="1">
      <c r="A74" s="360" t="s">
        <v>755</v>
      </c>
    </row>
    <row r="75" ht="59.25" customHeight="1">
      <c r="A75" s="581"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81" t="s">
        <v>767</v>
      </c>
    </row>
    <row r="95" ht="75" customHeight="1">
      <c r="A95" s="581" t="s">
        <v>768</v>
      </c>
    </row>
    <row r="96" ht="33.75" customHeight="1">
      <c r="A96" s="360" t="s">
        <v>769</v>
      </c>
    </row>
    <row r="97" ht="51.75" customHeight="1">
      <c r="A97" s="360" t="s">
        <v>770</v>
      </c>
    </row>
    <row r="98" ht="14.25" customHeight="1"/>
    <row r="99" ht="69.75" customHeight="1">
      <c r="A99" s="360" t="s">
        <v>623</v>
      </c>
    </row>
    <row r="101" ht="54" customHeight="1">
      <c r="A101" s="581" t="s">
        <v>771</v>
      </c>
    </row>
    <row r="102" ht="85.5" customHeight="1">
      <c r="A102" s="581" t="s">
        <v>772</v>
      </c>
    </row>
    <row r="103" ht="99" customHeight="1">
      <c r="A103" s="581"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3">
      <selection activeCell="N38" sqref="N3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Wendell Township</v>
      </c>
      <c r="B1" s="179"/>
      <c r="C1" s="179"/>
      <c r="D1" s="179"/>
      <c r="E1" s="179"/>
      <c r="F1" s="179"/>
      <c r="G1" s="179"/>
      <c r="H1" s="179"/>
      <c r="I1" s="14"/>
      <c r="J1" s="14"/>
      <c r="K1" s="15">
        <f>inputPrYr!D5</f>
        <v>2012</v>
      </c>
    </row>
    <row r="2" spans="1:11" ht="15.75">
      <c r="A2" s="178" t="str">
        <f>inputPrYr!$D$3</f>
        <v>Thomas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813</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593" t="s">
        <v>812</v>
      </c>
      <c r="B25" s="597">
        <v>37210</v>
      </c>
      <c r="C25" s="596">
        <v>120</v>
      </c>
      <c r="D25" s="595">
        <v>5.65</v>
      </c>
      <c r="E25" s="594">
        <v>137090</v>
      </c>
      <c r="F25" s="34">
        <v>13711</v>
      </c>
      <c r="G25" s="594">
        <v>13711</v>
      </c>
      <c r="H25" s="594">
        <v>0</v>
      </c>
      <c r="I25" s="212"/>
      <c r="J25" s="212"/>
      <c r="K25" s="212"/>
    </row>
    <row r="26" spans="1:11" s="213" customFormat="1" ht="15.75">
      <c r="A26" s="593" t="s">
        <v>824</v>
      </c>
      <c r="B26" s="597">
        <v>39522</v>
      </c>
      <c r="C26" s="596">
        <v>48</v>
      </c>
      <c r="D26" s="595"/>
      <c r="E26" s="594">
        <v>20000</v>
      </c>
      <c r="F26" s="34">
        <f>5340*2</f>
        <v>10680</v>
      </c>
      <c r="G26" s="594">
        <v>5340</v>
      </c>
      <c r="H26" s="594">
        <v>5340</v>
      </c>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24391</v>
      </c>
      <c r="G36" s="209">
        <f>SUM(G24:G35)</f>
        <v>19051</v>
      </c>
      <c r="H36" s="209">
        <f>SUM(H24:H35)</f>
        <v>5340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4">
      <selection activeCell="E50" sqref="E5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Wendell Township</v>
      </c>
      <c r="C1" s="14"/>
      <c r="D1" s="14"/>
      <c r="E1" s="15">
        <f>inputPrYr!D5</f>
        <v>2012</v>
      </c>
    </row>
    <row r="2" spans="2:5" ht="15.75">
      <c r="B2" s="17"/>
      <c r="C2" s="14"/>
      <c r="D2" s="14"/>
      <c r="E2" s="18"/>
    </row>
    <row r="3" spans="2:5" ht="15.75">
      <c r="B3" s="580"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122</v>
      </c>
      <c r="C6" s="29">
        <v>24307</v>
      </c>
      <c r="D6" s="415">
        <f>C51</f>
        <v>36169</v>
      </c>
      <c r="E6" s="32">
        <f>D51</f>
        <v>41532</v>
      </c>
    </row>
    <row r="7" spans="2:5" ht="15.75">
      <c r="B7" s="27" t="s">
        <v>124</v>
      </c>
      <c r="C7" s="415"/>
      <c r="D7" s="415"/>
      <c r="E7" s="33"/>
    </row>
    <row r="8" spans="2:5" ht="15.75">
      <c r="B8" s="27" t="s">
        <v>16</v>
      </c>
      <c r="C8" s="29">
        <f>51501-803</f>
        <v>50698</v>
      </c>
      <c r="D8" s="415">
        <f>inputPrYr!E16</f>
        <v>42451</v>
      </c>
      <c r="E8" s="33" t="s">
        <v>301</v>
      </c>
    </row>
    <row r="9" spans="2:5" ht="15.75">
      <c r="B9" s="27" t="s">
        <v>17</v>
      </c>
      <c r="C9" s="29"/>
      <c r="D9" s="29"/>
      <c r="E9" s="34"/>
    </row>
    <row r="10" spans="2:5" ht="15.75">
      <c r="B10" s="27" t="s">
        <v>18</v>
      </c>
      <c r="C10" s="29"/>
      <c r="D10" s="29">
        <v>2490</v>
      </c>
      <c r="E10" s="32">
        <f>mvalloc!G11</f>
        <v>2672</v>
      </c>
    </row>
    <row r="11" spans="2:5" ht="15.75">
      <c r="B11" s="27" t="s">
        <v>19</v>
      </c>
      <c r="C11" s="29"/>
      <c r="D11" s="29">
        <v>75</v>
      </c>
      <c r="E11" s="32">
        <f>mvalloc!I11</f>
        <v>88</v>
      </c>
    </row>
    <row r="12" spans="2:5" ht="15.75">
      <c r="B12" s="35" t="s">
        <v>72</v>
      </c>
      <c r="C12" s="29"/>
      <c r="D12" s="29">
        <v>658</v>
      </c>
      <c r="E12" s="32">
        <f>mvalloc!J11</f>
        <v>801</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814</v>
      </c>
      <c r="C18" s="29">
        <v>803</v>
      </c>
      <c r="D18" s="29">
        <v>750</v>
      </c>
      <c r="E18" s="34">
        <v>750</v>
      </c>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120</v>
      </c>
      <c r="D23" s="29">
        <v>100</v>
      </c>
      <c r="E23" s="34">
        <v>100</v>
      </c>
    </row>
    <row r="24" spans="2:5" ht="15.75">
      <c r="B24" s="39" t="s">
        <v>223</v>
      </c>
      <c r="C24" s="29"/>
      <c r="D24" s="29"/>
      <c r="E24" s="34"/>
    </row>
    <row r="25" spans="2:5" ht="15.75">
      <c r="B25" s="39" t="s">
        <v>224</v>
      </c>
      <c r="C25" s="412">
        <f>IF(C26*0.1&lt;C24,"Exceed 10% Rule","")</f>
      </c>
      <c r="D25" s="412">
        <f>IF(D26*0.1&lt;D24,"Exceed 10% Rule","")</f>
      </c>
      <c r="E25" s="45">
        <f>IF(E26*0.1+E57&lt;E24,"Exceed 10% Rule","")</f>
      </c>
    </row>
    <row r="26" spans="2:5" ht="15.75">
      <c r="B26" s="41" t="s">
        <v>23</v>
      </c>
      <c r="C26" s="417">
        <f>SUM(C8:C24)</f>
        <v>51621</v>
      </c>
      <c r="D26" s="417">
        <f>SUM(D8:D24)</f>
        <v>46524</v>
      </c>
      <c r="E26" s="42">
        <f>SUM(E8:E24)</f>
        <v>4411</v>
      </c>
    </row>
    <row r="27" spans="2:5" ht="15.75">
      <c r="B27" s="43" t="s">
        <v>24</v>
      </c>
      <c r="C27" s="417">
        <f>C26+C6</f>
        <v>75928</v>
      </c>
      <c r="D27" s="417">
        <f>D26+D6</f>
        <v>82693</v>
      </c>
      <c r="E27" s="42">
        <f>E26+E6</f>
        <v>45943</v>
      </c>
    </row>
    <row r="28" spans="2:5" ht="15.75">
      <c r="B28" s="27" t="s">
        <v>25</v>
      </c>
      <c r="C28" s="415"/>
      <c r="D28" s="415"/>
      <c r="E28" s="32"/>
    </row>
    <row r="29" spans="2:5" ht="15.75">
      <c r="B29" s="37"/>
      <c r="C29" s="29"/>
      <c r="D29" s="29"/>
      <c r="E29" s="34"/>
    </row>
    <row r="30" spans="2:5" ht="15.75">
      <c r="B30" s="38" t="s">
        <v>105</v>
      </c>
      <c r="C30" s="29">
        <v>831</v>
      </c>
      <c r="D30" s="29">
        <v>850</v>
      </c>
      <c r="E30" s="34">
        <v>850</v>
      </c>
    </row>
    <row r="31" spans="2:5" ht="15.75">
      <c r="B31" s="38" t="s">
        <v>816</v>
      </c>
      <c r="C31" s="29">
        <v>5148</v>
      </c>
      <c r="D31" s="29">
        <v>5500</v>
      </c>
      <c r="E31" s="34">
        <v>5500</v>
      </c>
    </row>
    <row r="32" spans="2:5" ht="15.75">
      <c r="B32" s="38" t="s">
        <v>36</v>
      </c>
      <c r="C32" s="29">
        <v>8501</v>
      </c>
      <c r="D32" s="29">
        <v>8500</v>
      </c>
      <c r="E32" s="34">
        <v>10000</v>
      </c>
    </row>
    <row r="33" spans="2:5" ht="15.75">
      <c r="B33" s="37" t="s">
        <v>817</v>
      </c>
      <c r="C33" s="29">
        <v>19317</v>
      </c>
      <c r="D33" s="29">
        <v>19051</v>
      </c>
      <c r="E33" s="34">
        <v>5340</v>
      </c>
    </row>
    <row r="34" spans="2:5" ht="15.75">
      <c r="B34" s="37" t="s">
        <v>818</v>
      </c>
      <c r="C34" s="29">
        <v>2335</v>
      </c>
      <c r="D34" s="29">
        <v>3000</v>
      </c>
      <c r="E34" s="34">
        <v>5500</v>
      </c>
    </row>
    <row r="35" spans="2:5" ht="15.75">
      <c r="B35" s="38" t="s">
        <v>131</v>
      </c>
      <c r="C35" s="29">
        <v>3006</v>
      </c>
      <c r="D35" s="29">
        <v>3500</v>
      </c>
      <c r="E35" s="34">
        <v>4500</v>
      </c>
    </row>
    <row r="36" spans="2:5" ht="15.75">
      <c r="B36" s="37" t="s">
        <v>815</v>
      </c>
      <c r="C36" s="29">
        <v>152</v>
      </c>
      <c r="D36" s="29">
        <v>200</v>
      </c>
      <c r="E36" s="34">
        <v>300</v>
      </c>
    </row>
    <row r="37" spans="2:5" ht="15.75">
      <c r="B37" s="38" t="s">
        <v>819</v>
      </c>
      <c r="C37" s="29">
        <v>60</v>
      </c>
      <c r="D37" s="29">
        <v>60</v>
      </c>
      <c r="E37" s="34">
        <v>60</v>
      </c>
    </row>
    <row r="38" spans="2:5" ht="15.75">
      <c r="B38" s="37" t="s">
        <v>820</v>
      </c>
      <c r="C38" s="29">
        <v>409</v>
      </c>
      <c r="D38" s="29">
        <v>500</v>
      </c>
      <c r="E38" s="34">
        <v>1000</v>
      </c>
    </row>
    <row r="39" spans="2:5" ht="15.75">
      <c r="B39" s="38" t="s">
        <v>107</v>
      </c>
      <c r="C39" s="29"/>
      <c r="D39" s="29"/>
      <c r="E39" s="34">
        <v>15000</v>
      </c>
    </row>
    <row r="40" spans="2:5" ht="15.75">
      <c r="B40" s="38" t="s">
        <v>821</v>
      </c>
      <c r="C40" s="29"/>
      <c r="D40" s="29"/>
      <c r="E40" s="34">
        <v>41401</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1">
        <f>IF(AND($C$43&gt;0,$C$8&gt;0),"Not Authorized","")</f>
      </c>
      <c r="D44" s="411">
        <f>IF(AND($D$43&gt;0,$D$8&gt;0),"Not Authorized","")</f>
      </c>
      <c r="E44" s="44">
        <f>IF(AND(cert!F20&gt;0,$E$43&gt;0),"Not Authorized","")</f>
      </c>
    </row>
    <row r="45" spans="2:5" ht="15.75">
      <c r="B45" s="27" t="s">
        <v>280</v>
      </c>
      <c r="C45" s="29"/>
      <c r="D45" s="29"/>
      <c r="E45" s="34"/>
    </row>
    <row r="46" spans="2:6" ht="15.75">
      <c r="B46" s="27" t="s">
        <v>645</v>
      </c>
      <c r="C46" s="412">
        <f>IF(C27*0.25&lt;C45,"Exceeds 25%","")</f>
      </c>
      <c r="D46" s="412">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2">
        <f>IF(C50*0.1&lt;C48,"Exceed 10% Rule","")</f>
      </c>
      <c r="D49" s="412">
        <f>IF(D50*0.1&lt;D48,"Exceed 10% Rule","")</f>
      </c>
      <c r="E49" s="45">
        <f>IF(E50*0.1&lt;E48,"Exceed 10% Rule","")</f>
      </c>
      <c r="G49" s="643" t="str">
        <f>CONCATENATE("Projected Carryover Into ",E1+1,"")</f>
        <v>Projected Carryover Into 2013</v>
      </c>
      <c r="H49" s="644"/>
      <c r="I49" s="644"/>
      <c r="J49" s="625"/>
    </row>
    <row r="50" spans="2:10" ht="15.75">
      <c r="B50" s="43" t="s">
        <v>26</v>
      </c>
      <c r="C50" s="409">
        <f>SUM(C29:C48)</f>
        <v>39759</v>
      </c>
      <c r="D50" s="409">
        <f>SUM(D29:D48)</f>
        <v>41161</v>
      </c>
      <c r="E50" s="47">
        <f>SUM(E29:E43,E45,E47:E48)</f>
        <v>89451</v>
      </c>
      <c r="G50" s="531"/>
      <c r="H50" s="532"/>
      <c r="I50" s="532"/>
      <c r="J50" s="533"/>
    </row>
    <row r="51" spans="2:10" ht="15.75">
      <c r="B51" s="27" t="s">
        <v>123</v>
      </c>
      <c r="C51" s="410">
        <f>C27-C50</f>
        <v>36169</v>
      </c>
      <c r="D51" s="410">
        <f>SUM(D27-D50)</f>
        <v>41532</v>
      </c>
      <c r="E51" s="33" t="s">
        <v>301</v>
      </c>
      <c r="G51" s="534">
        <f>D51</f>
        <v>41532</v>
      </c>
      <c r="H51" s="535" t="str">
        <f>CONCATENATE("",E1-1," Ending Cash Balance (est.)")</f>
        <v>2011 Ending Cash Balance (est.)</v>
      </c>
      <c r="I51" s="536"/>
      <c r="J51" s="533"/>
    </row>
    <row r="52" spans="2:10" ht="15.75">
      <c r="B52" s="48" t="str">
        <f>CONCATENATE("",E1-2,"/",E1-1," Budget Authority Amount:")</f>
        <v>2010/2011 Budget Authority Amount:</v>
      </c>
      <c r="C52" s="143">
        <f>inputOth!B46</f>
        <v>92561</v>
      </c>
      <c r="D52" s="172">
        <f>inputPrYr!D16</f>
        <v>90804</v>
      </c>
      <c r="E52" s="33" t="s">
        <v>301</v>
      </c>
      <c r="F52" s="50"/>
      <c r="G52" s="534">
        <f>E26</f>
        <v>4411</v>
      </c>
      <c r="H52" s="537" t="str">
        <f>CONCATENATE("",E1," Non-AV Receipts (est.)")</f>
        <v>2012 Non-AV Receipts (est.)</v>
      </c>
      <c r="I52" s="537"/>
      <c r="J52" s="533"/>
    </row>
    <row r="53" spans="2:10" ht="15.75">
      <c r="B53" s="48"/>
      <c r="C53" s="639" t="s">
        <v>646</v>
      </c>
      <c r="D53" s="640"/>
      <c r="E53" s="34"/>
      <c r="F53" s="530">
        <f>IF(E50/0.95-E50&lt;E53,"Exceeds 5%","")</f>
      </c>
      <c r="G53" s="538">
        <f>E57</f>
        <v>43508</v>
      </c>
      <c r="H53" s="537" t="str">
        <f>CONCATENATE("",E1," Ad Valorem Tax (est.)")</f>
        <v>2012 Ad Valorem Tax (est.)</v>
      </c>
      <c r="I53" s="537"/>
      <c r="J53" s="533"/>
    </row>
    <row r="54" spans="2:10" ht="15.75">
      <c r="B54" s="433" t="str">
        <f>CONCATENATE(C72,"     ",D72)</f>
        <v>     </v>
      </c>
      <c r="C54" s="641" t="s">
        <v>647</v>
      </c>
      <c r="D54" s="642"/>
      <c r="E54" s="32">
        <f>E50+E53</f>
        <v>89451</v>
      </c>
      <c r="G54" s="534">
        <f>SUM(G51:G53)</f>
        <v>89451</v>
      </c>
      <c r="H54" s="537" t="str">
        <f>CONCATENATE("Total ",E1," Resources Available")</f>
        <v>Total 2012 Resources Available</v>
      </c>
      <c r="I54" s="536"/>
      <c r="J54" s="533"/>
    </row>
    <row r="55" spans="2:10" ht="15.75">
      <c r="B55" s="433" t="str">
        <f>CONCATENATE(C73,"     ",D73)</f>
        <v>     </v>
      </c>
      <c r="C55" s="60"/>
      <c r="D55" s="52" t="s">
        <v>28</v>
      </c>
      <c r="E55" s="46">
        <f>IF(E54-E27&gt;0,E54-E27,0)</f>
        <v>43508</v>
      </c>
      <c r="G55" s="539"/>
      <c r="H55" s="537"/>
      <c r="I55" s="537"/>
      <c r="J55" s="533"/>
    </row>
    <row r="56" spans="2:10" ht="15.75">
      <c r="B56" s="52"/>
      <c r="C56" s="437" t="s">
        <v>648</v>
      </c>
      <c r="D56" s="429">
        <f>inputOth!$E$40</f>
        <v>0</v>
      </c>
      <c r="E56" s="32">
        <f>ROUND(IF(D56&gt;0,(E55*D56),0),0)</f>
        <v>0</v>
      </c>
      <c r="G56" s="538">
        <f>C50*0.05+C50</f>
        <v>41746.95</v>
      </c>
      <c r="H56" s="537" t="str">
        <f>CONCATENATE("Less ",E1-2," Expenditures + 5%")</f>
        <v>Less 2010 Expenditures + 5%</v>
      </c>
      <c r="I56" s="536"/>
      <c r="J56" s="533"/>
    </row>
    <row r="57" spans="2:10" ht="15.75">
      <c r="B57" s="14"/>
      <c r="C57" s="637" t="str">
        <f>CONCATENATE("Amount of  ",$E$1-1," Ad Valorem Tax")</f>
        <v>Amount of  2011 Ad Valorem Tax</v>
      </c>
      <c r="D57" s="638"/>
      <c r="E57" s="46">
        <f>E55+E56</f>
        <v>43508</v>
      </c>
      <c r="G57" s="540">
        <f>G54-G56</f>
        <v>47704.05</v>
      </c>
      <c r="H57" s="541" t="str">
        <f>CONCATENATE("Projected ",E1+1," Carryover (est.)")</f>
        <v>Projected 2013 Carryover (est.)</v>
      </c>
      <c r="I57" s="542"/>
      <c r="J57" s="543"/>
    </row>
    <row r="58" spans="2:5" ht="15.75">
      <c r="B58" s="14"/>
      <c r="C58" s="14"/>
      <c r="D58" s="14"/>
      <c r="E58" s="14"/>
    </row>
    <row r="59" spans="2:10" s="54" customFormat="1" ht="15.75">
      <c r="B59" s="19"/>
      <c r="C59" s="19"/>
      <c r="D59" s="53"/>
      <c r="E59" s="19"/>
      <c r="G59" s="557">
        <f>IF(inputOth!E7=0,"",ROUND(gen!E57/inputOth!E7*1000,3))</f>
        <v>31.981</v>
      </c>
      <c r="H59" s="544" t="str">
        <f>CONCATENATE("Projected ",E1-1," Mill Rate (est.)")</f>
        <v>Projected 2011 Mill Rate (est.)</v>
      </c>
      <c r="I59" s="545"/>
      <c r="J59" s="546"/>
    </row>
    <row r="60" spans="2:10" s="56" customFormat="1" ht="15.75">
      <c r="B60" s="14"/>
      <c r="C60" s="14"/>
      <c r="D60" s="55"/>
      <c r="E60" s="14"/>
      <c r="G60" s="547"/>
      <c r="H60" s="547"/>
      <c r="I60" s="547"/>
      <c r="J60" s="547"/>
    </row>
    <row r="61" spans="2:10" ht="15.75">
      <c r="B61" s="52" t="s">
        <v>9</v>
      </c>
      <c r="C61" s="439">
        <v>6</v>
      </c>
      <c r="D61" s="14"/>
      <c r="E61" s="55"/>
      <c r="G61" s="643" t="str">
        <f>CONCATENATE("Desired Carryover Into ",E1+1,"")</f>
        <v>Desired Carryover Into 2013</v>
      </c>
      <c r="H61" s="645"/>
      <c r="I61" s="645"/>
      <c r="J61" s="625"/>
    </row>
    <row r="62" spans="7:10" ht="15.75">
      <c r="G62" s="548"/>
      <c r="H62" s="532"/>
      <c r="I62" s="537"/>
      <c r="J62" s="549"/>
    </row>
    <row r="63" spans="2:10" ht="15.75">
      <c r="B63" s="12"/>
      <c r="G63" s="550" t="s">
        <v>744</v>
      </c>
      <c r="H63" s="537"/>
      <c r="I63" s="537"/>
      <c r="J63" s="551">
        <v>0</v>
      </c>
    </row>
    <row r="64" spans="7:10" ht="15.75">
      <c r="G64" s="548" t="s">
        <v>745</v>
      </c>
      <c r="H64" s="532"/>
      <c r="I64" s="532"/>
      <c r="J64" s="552">
        <f>IF(gen!J63=0,"",ROUND((J63+E57-G57)/inputOth!E7*1000,3)-G59)</f>
      </c>
    </row>
    <row r="65" spans="7:10" ht="15.75">
      <c r="G65" s="553" t="str">
        <f>CONCATENATE("",E1," Total Expenditures Must Be:")</f>
        <v>2012 Total Expenditures Must Be:</v>
      </c>
      <c r="H65" s="554"/>
      <c r="I65" s="555"/>
      <c r="J65" s="556">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S106"/>
  <sheetViews>
    <sheetView zoomScale="75" zoomScaleNormal="75" zoomScalePageLayoutView="0" workbookViewId="0" topLeftCell="A1">
      <selection activeCell="K8" sqref="K8:S5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22" t="s">
        <v>39</v>
      </c>
      <c r="C3" s="622"/>
      <c r="D3" s="622"/>
      <c r="E3" s="622"/>
      <c r="F3" s="622"/>
      <c r="G3" s="622"/>
      <c r="H3" s="622"/>
      <c r="I3" s="622"/>
    </row>
    <row r="4" spans="2:9" ht="15.75">
      <c r="B4" s="650" t="str">
        <f>inputPrYr!D2</f>
        <v>Wendell Township</v>
      </c>
      <c r="C4" s="650"/>
      <c r="D4" s="650"/>
      <c r="E4" s="650"/>
      <c r="F4" s="650"/>
      <c r="G4" s="650"/>
      <c r="H4" s="650"/>
      <c r="I4" s="650"/>
    </row>
    <row r="5" spans="2:9" ht="15.75">
      <c r="B5" s="650" t="str">
        <f>inputPrYr!D3</f>
        <v>Thomas County</v>
      </c>
      <c r="C5" s="650"/>
      <c r="D5" s="650"/>
      <c r="E5" s="650"/>
      <c r="F5" s="650"/>
      <c r="G5" s="650"/>
      <c r="H5" s="650"/>
      <c r="I5" s="650"/>
    </row>
    <row r="6" spans="2:9" ht="15.75">
      <c r="B6" s="649" t="str">
        <f>CONCATENATE("will meet on ",inputBudSum!B5," at ",inputBudSum!B7," at ",inputBudSum!B9," for the purpose of hearing and")</f>
        <v>will meet on August 4, 2011 at 7:00 p.m. at The Rexford City Building for the purpose of hearing and</v>
      </c>
      <c r="C6" s="649"/>
      <c r="D6" s="649"/>
      <c r="E6" s="649"/>
      <c r="F6" s="649"/>
      <c r="G6" s="649"/>
      <c r="H6" s="649"/>
      <c r="I6" s="649"/>
    </row>
    <row r="7" spans="2:9" ht="15.75">
      <c r="B7" s="158" t="s">
        <v>625</v>
      </c>
      <c r="C7" s="156"/>
      <c r="D7" s="156"/>
      <c r="E7" s="156"/>
      <c r="F7" s="156"/>
      <c r="G7" s="156"/>
      <c r="H7" s="156"/>
      <c r="I7" s="156"/>
    </row>
    <row r="8" spans="2:19" ht="15.75">
      <c r="B8" s="382" t="str">
        <f>CONCATENATE("Detailed budget information is available at ",inputBudSum!B12," and will be available at this hearing.")</f>
        <v>Detailed budget information is available at Darrell Dible Residence, 2822 County RD 36, Rexford KS and will be available at this hearing.</v>
      </c>
      <c r="C8" s="381"/>
      <c r="D8" s="381"/>
      <c r="E8" s="381"/>
      <c r="F8" s="381"/>
      <c r="G8" s="381"/>
      <c r="H8" s="381"/>
      <c r="I8" s="381"/>
      <c r="L8" s="155" t="s">
        <v>74</v>
      </c>
      <c r="M8" s="156"/>
      <c r="N8" s="156"/>
      <c r="O8" s="156"/>
      <c r="P8" s="156"/>
      <c r="Q8" s="156"/>
      <c r="R8" s="156"/>
      <c r="S8" s="156">
        <f>inputPrYr!N12</f>
        <v>0</v>
      </c>
    </row>
    <row r="9" spans="2:19" ht="15.75">
      <c r="B9" s="155" t="s">
        <v>75</v>
      </c>
      <c r="C9" s="159"/>
      <c r="D9" s="159"/>
      <c r="E9" s="159"/>
      <c r="F9" s="159"/>
      <c r="G9" s="159"/>
      <c r="H9" s="159"/>
      <c r="I9" s="159"/>
      <c r="L9" s="14"/>
      <c r="M9" s="14"/>
      <c r="N9" s="14"/>
      <c r="O9" s="14"/>
      <c r="P9" s="14"/>
      <c r="Q9" s="22" t="s">
        <v>37</v>
      </c>
      <c r="R9" s="22" t="s">
        <v>38</v>
      </c>
      <c r="S9" s="14"/>
    </row>
    <row r="10" spans="2:1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c r="L10" s="622" t="s">
        <v>39</v>
      </c>
      <c r="M10" s="622"/>
      <c r="N10" s="622"/>
      <c r="O10" s="622"/>
      <c r="P10" s="622"/>
      <c r="Q10" s="622"/>
      <c r="R10" s="622"/>
      <c r="S10" s="622"/>
    </row>
    <row r="11" spans="2:1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c r="L11" s="650">
        <f>inputPrYr!N9</f>
        <v>0</v>
      </c>
      <c r="M11" s="650"/>
      <c r="N11" s="650"/>
      <c r="O11" s="650"/>
      <c r="P11" s="650"/>
      <c r="Q11" s="650"/>
      <c r="R11" s="650"/>
      <c r="S11" s="650"/>
    </row>
    <row r="12" spans="2:19" ht="15.75">
      <c r="B12" s="22"/>
      <c r="C12" s="19"/>
      <c r="D12" s="19"/>
      <c r="E12" s="19"/>
      <c r="F12" s="19"/>
      <c r="G12" s="19"/>
      <c r="H12" s="19"/>
      <c r="I12" s="19"/>
      <c r="J12" s="160"/>
      <c r="L12" s="650">
        <f>inputPrYr!N10</f>
        <v>0</v>
      </c>
      <c r="M12" s="650"/>
      <c r="N12" s="650"/>
      <c r="O12" s="650"/>
      <c r="P12" s="650"/>
      <c r="Q12" s="650"/>
      <c r="R12" s="650"/>
      <c r="S12" s="650"/>
    </row>
    <row r="13" spans="2:19"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c r="L13" s="649" t="str">
        <f>CONCATENATE("will meet on ",inputBudSum!L12," at ",inputBudSum!L14," at ",inputBudSum!L16," for the purpose of hearing and")</f>
        <v>will meet on  at  at  for the purpose of hearing and</v>
      </c>
      <c r="M13" s="649"/>
      <c r="N13" s="649"/>
      <c r="O13" s="649"/>
      <c r="P13" s="649"/>
      <c r="Q13" s="649"/>
      <c r="R13" s="649"/>
      <c r="S13" s="649"/>
    </row>
    <row r="14" spans="2:19" ht="22.5" customHeight="1">
      <c r="B14" s="14"/>
      <c r="C14" s="80"/>
      <c r="D14" s="23" t="s">
        <v>32</v>
      </c>
      <c r="E14" s="23"/>
      <c r="F14" s="23" t="s">
        <v>32</v>
      </c>
      <c r="G14" s="166"/>
      <c r="H14" s="614" t="str">
        <f>CONCATENATE("Amount of ",I1-1," Ad Valorem Tax")</f>
        <v>Amount of 2011 Ad Valorem Tax</v>
      </c>
      <c r="I14" s="23" t="s">
        <v>40</v>
      </c>
      <c r="J14" s="160"/>
      <c r="L14" s="158" t="s">
        <v>625</v>
      </c>
      <c r="M14" s="156"/>
      <c r="N14" s="156"/>
      <c r="O14" s="156"/>
      <c r="P14" s="156"/>
      <c r="Q14" s="156"/>
      <c r="R14" s="156"/>
      <c r="S14" s="156"/>
    </row>
    <row r="15" spans="2:19" ht="15.75">
      <c r="B15" s="14"/>
      <c r="C15" s="167"/>
      <c r="D15" s="167" t="s">
        <v>41</v>
      </c>
      <c r="E15" s="167"/>
      <c r="F15" s="167" t="s">
        <v>41</v>
      </c>
      <c r="G15" s="167" t="s">
        <v>219</v>
      </c>
      <c r="H15" s="647"/>
      <c r="I15" s="167" t="s">
        <v>41</v>
      </c>
      <c r="J15" s="160"/>
      <c r="L15" s="382" t="str">
        <f>CONCATENATE("Detailed budget information is available at ",inputBudSum!L19," and will be available at this hearing.")</f>
        <v>Detailed budget information is available at  and will be available at this hearing.</v>
      </c>
      <c r="M15" s="381"/>
      <c r="N15" s="381"/>
      <c r="O15" s="381"/>
      <c r="P15" s="381"/>
      <c r="Q15" s="381"/>
      <c r="R15" s="381"/>
      <c r="S15" s="381"/>
    </row>
    <row r="16" spans="2:19" ht="15.75">
      <c r="B16" s="25" t="s">
        <v>297</v>
      </c>
      <c r="C16" s="26" t="s">
        <v>42</v>
      </c>
      <c r="D16" s="26" t="s">
        <v>43</v>
      </c>
      <c r="E16" s="26" t="s">
        <v>42</v>
      </c>
      <c r="F16" s="26" t="s">
        <v>43</v>
      </c>
      <c r="G16" s="26" t="s">
        <v>746</v>
      </c>
      <c r="H16" s="648"/>
      <c r="I16" s="26" t="s">
        <v>43</v>
      </c>
      <c r="J16" s="160"/>
      <c r="L16" s="155" t="s">
        <v>75</v>
      </c>
      <c r="M16" s="159"/>
      <c r="N16" s="159"/>
      <c r="O16" s="159"/>
      <c r="P16" s="159"/>
      <c r="Q16" s="159"/>
      <c r="R16" s="159"/>
      <c r="S16" s="159"/>
    </row>
    <row r="17" spans="2:19" ht="15.75">
      <c r="B17" s="96" t="str">
        <f>inputPrYr!B16</f>
        <v>General</v>
      </c>
      <c r="C17" s="67">
        <f>IF(gen!$C$50&lt;&gt;0,gen!$C$50,"  ")</f>
        <v>39759</v>
      </c>
      <c r="D17" s="569">
        <f>IF(inputPrYr!D41&gt;0,inputPrYr!D41,"  ")</f>
        <v>32.709</v>
      </c>
      <c r="E17" s="32">
        <f>IF(gen!$D$50&lt;&gt;0,gen!$D$50,"  ")</f>
        <v>41161</v>
      </c>
      <c r="F17" s="253">
        <f>IF(inputOth!D17&gt;0,inputOth!D17,"  ")</f>
        <v>32.438</v>
      </c>
      <c r="G17" s="32">
        <f>IF(gen!$E$50&lt;&gt;0,gen!$E$50,"  ")</f>
        <v>89451</v>
      </c>
      <c r="H17" s="32">
        <f>IF(gen!$E$57&lt;&gt;0,gen!$E$57," ")</f>
        <v>43508</v>
      </c>
      <c r="I17" s="571">
        <f>IF(gen!E57&gt;0,ROUND(H17/$G$35*1000,3)," ")</f>
        <v>31.981</v>
      </c>
      <c r="J17" s="160"/>
      <c r="L17" s="158" t="str">
        <f>CONCATENATE("Proposed Budget ",S8," Expenditures and Amount of ",S8-1," Ad Valorem Tax establish the maximum limits")</f>
        <v>Proposed Budget 0 Expenditures and Amount of -1 Ad Valorem Tax establish the maximum limits</v>
      </c>
      <c r="M17" s="156"/>
      <c r="N17" s="156"/>
      <c r="O17" s="156"/>
      <c r="P17" s="156"/>
      <c r="Q17" s="156"/>
      <c r="R17" s="156"/>
      <c r="S17" s="156"/>
    </row>
    <row r="18" spans="2:19" ht="15.75">
      <c r="B18" s="96" t="s">
        <v>311</v>
      </c>
      <c r="C18" s="32" t="str">
        <f>IF(DebtService!$C$53&lt;&gt;0,DebtService!$C$53,"  ")</f>
        <v>  </v>
      </c>
      <c r="D18" s="56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71" t="str">
        <f>IF(DebtService!E60&gt;0,ROUND(H18/$G$35*1000,3)," ")</f>
        <v> </v>
      </c>
      <c r="J18" s="160"/>
      <c r="L18" s="158" t="str">
        <f>CONCATENATE("of the ",S8," budget.  Estimated Tax Rate is subject to change depending on the final assessed valuation.")</f>
        <v>of the 0 budget.  Estimated Tax Rate is subject to change depending on the final assessed valuation.</v>
      </c>
      <c r="M18" s="156"/>
      <c r="N18" s="156"/>
      <c r="O18" s="156"/>
      <c r="P18" s="156"/>
      <c r="Q18" s="156"/>
      <c r="R18" s="156"/>
      <c r="S18" s="156"/>
    </row>
    <row r="19" spans="2:19" ht="15.75">
      <c r="B19" s="96" t="str">
        <f>IF(inputPrYr!$B18&gt;"  ",inputPrYr!$B18,"  ")</f>
        <v>Road</v>
      </c>
      <c r="C19" s="32" t="str">
        <f>IF(road!$C$43&lt;&gt;0,road!$C$43,"  ")</f>
        <v>  </v>
      </c>
      <c r="D19" s="569" t="str">
        <f>IF(inputPrYr!D43&gt;0,inputPrYr!D43,"  ")</f>
        <v>  </v>
      </c>
      <c r="E19" s="32" t="str">
        <f>IF(road!$D$43&lt;&gt;0,road!$D$43,"  ")</f>
        <v>  </v>
      </c>
      <c r="F19" s="253" t="str">
        <f>IF(inputOth!D19&gt;0,inputOth!D19,"  ")</f>
        <v>  </v>
      </c>
      <c r="G19" s="32" t="str">
        <f>IF(road!$E$43&lt;&gt;0,road!$E$43,"  ")</f>
        <v>  </v>
      </c>
      <c r="H19" s="32" t="str">
        <f>IF(road!$E$50&lt;&gt;0,road!$E$50,"  ")</f>
        <v>  </v>
      </c>
      <c r="I19" s="571" t="str">
        <f>IF(road!E50&gt;0,ROUND(H19/$G$35*1000,3)," ")</f>
        <v> </v>
      </c>
      <c r="L19" s="22"/>
      <c r="M19" s="19"/>
      <c r="N19" s="19"/>
      <c r="O19" s="19"/>
      <c r="P19" s="19"/>
      <c r="Q19" s="19"/>
      <c r="R19" s="19"/>
      <c r="S19" s="19"/>
    </row>
    <row r="20" spans="2:19" ht="15.75">
      <c r="B20" s="96" t="str">
        <f>IF(inputPrYr!$B19&gt;"  ",inputPrYr!$B19,"  ")</f>
        <v>  </v>
      </c>
      <c r="C20" s="32" t="str">
        <f>IF(levypage9!$C$32&lt;&gt;0,levypage9!$C$32,"  ")</f>
        <v>  </v>
      </c>
      <c r="D20" s="56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71" t="str">
        <f>IF(levypage9!E39&gt;0,ROUND(H20/$G$35*1000,3)," ")</f>
        <v> </v>
      </c>
      <c r="L20" s="14"/>
      <c r="M20" s="161" t="str">
        <f>CONCATENATE("Prior Year Actual ",S8-2,"")</f>
        <v>Prior Year Actual -2</v>
      </c>
      <c r="N20" s="162"/>
      <c r="O20" s="161" t="str">
        <f>CONCATENATE("Current Year Estimate ",S8-1,"")</f>
        <v>Current Year Estimate -1</v>
      </c>
      <c r="P20" s="163"/>
      <c r="Q20" s="164" t="str">
        <f>CONCATENATE("Proposed Budget ",S8,"")</f>
        <v>Proposed Budget 0</v>
      </c>
      <c r="R20" s="165"/>
      <c r="S20" s="163"/>
    </row>
    <row r="21" spans="2:19" ht="15.75">
      <c r="B21" s="96" t="str">
        <f>IF(inputPrYr!$B20&gt;"  ",inputPrYr!$B20,"  ")</f>
        <v>  </v>
      </c>
      <c r="C21" s="32" t="str">
        <f>IF(levypage9!$C$69&lt;&gt;0,levypage9!$C$69,"  ")</f>
        <v>  </v>
      </c>
      <c r="D21" s="56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71" t="str">
        <f>IF(levypage9!E76&gt;0,ROUND(H21/$G$35*1000,3)," ")</f>
        <v> </v>
      </c>
      <c r="L21" s="14"/>
      <c r="M21" s="80"/>
      <c r="N21" s="23" t="s">
        <v>32</v>
      </c>
      <c r="O21" s="23"/>
      <c r="P21" s="23" t="s">
        <v>32</v>
      </c>
      <c r="Q21" s="166"/>
      <c r="R21" s="614" t="str">
        <f>CONCATENATE("Amount of ",S8-1," Ad Valorem Tax")</f>
        <v>Amount of -1 Ad Valorem Tax</v>
      </c>
      <c r="S21" s="23" t="s">
        <v>40</v>
      </c>
    </row>
    <row r="22" spans="2:19" ht="15.75">
      <c r="B22" s="96" t="str">
        <f>IF(inputPrYr!$B21&gt;"  ",inputPrYr!$B21,"  ")</f>
        <v>  </v>
      </c>
      <c r="C22" s="32" t="str">
        <f>IF(levypage10!$C$32&lt;&gt;0,levypage10!$C$32,"  ")</f>
        <v>  </v>
      </c>
      <c r="D22" s="56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71" t="str">
        <f>IF(levypage10!E39&gt;0,ROUND(H22/$G$35*1000,3)," ")</f>
        <v> </v>
      </c>
      <c r="L22" s="14"/>
      <c r="M22" s="167"/>
      <c r="N22" s="167" t="s">
        <v>41</v>
      </c>
      <c r="O22" s="167"/>
      <c r="P22" s="167" t="s">
        <v>41</v>
      </c>
      <c r="Q22" s="167" t="s">
        <v>219</v>
      </c>
      <c r="R22" s="647"/>
      <c r="S22" s="167" t="s">
        <v>41</v>
      </c>
    </row>
    <row r="23" spans="2:19" ht="15.75">
      <c r="B23" s="96" t="str">
        <f>IF(inputPrYr!$B22&gt;"  ",inputPrYr!$B22,"  ")</f>
        <v>  </v>
      </c>
      <c r="C23" s="32" t="str">
        <f>IF(levypage10!$C$69&lt;&gt;0,levypage10!$C$69,"  ")</f>
        <v>  </v>
      </c>
      <c r="D23" s="56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71" t="str">
        <f>IF(levypage10!E76&gt;0,ROUND(H23/$G$35*1000,3)," ")</f>
        <v> </v>
      </c>
      <c r="L23" s="25" t="s">
        <v>297</v>
      </c>
      <c r="M23" s="26" t="s">
        <v>42</v>
      </c>
      <c r="N23" s="26" t="s">
        <v>43</v>
      </c>
      <c r="O23" s="26" t="s">
        <v>42</v>
      </c>
      <c r="P23" s="26" t="s">
        <v>43</v>
      </c>
      <c r="Q23" s="26" t="s">
        <v>746</v>
      </c>
      <c r="R23" s="648"/>
      <c r="S23" s="26" t="s">
        <v>43</v>
      </c>
    </row>
    <row r="24" spans="2:19" ht="15.75">
      <c r="B24" s="96" t="str">
        <f>IF(inputPrYr!$B23&gt;"  ",inputPrYr!$B23,"  ")</f>
        <v>  </v>
      </c>
      <c r="C24" s="32" t="str">
        <f>IF(levypage11!$C$32&lt;&gt;0,levypage11!$C$32,"  ")</f>
        <v>  </v>
      </c>
      <c r="D24" s="56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71" t="str">
        <f>IF(levypage11!E39&gt;0,ROUND(H24/$G$35*1000,3)," ")</f>
        <v> </v>
      </c>
      <c r="L24" s="96">
        <f>inputPrYr!L23</f>
        <v>0</v>
      </c>
      <c r="M24" s="67">
        <f>IF(gen!$C$50&lt;&gt;0,gen!$C$50,"  ")</f>
        <v>39759</v>
      </c>
      <c r="N24" s="569" t="str">
        <f>IF(inputPrYr!N48&gt;0,inputPrYr!N48,"  ")</f>
        <v>  </v>
      </c>
      <c r="O24" s="32">
        <f>IF(gen!$D$50&lt;&gt;0,gen!$D$50,"  ")</f>
        <v>41161</v>
      </c>
      <c r="P24" s="253" t="str">
        <f>IF(inputOth!N24&gt;0,inputOth!N24,"  ")</f>
        <v>  </v>
      </c>
      <c r="Q24" s="32">
        <f>IF(gen!$E$50&lt;&gt;0,gen!$E$50,"  ")</f>
        <v>89451</v>
      </c>
      <c r="R24" s="32">
        <f>IF(gen!$E$57&lt;&gt;0,gen!$E$57," ")</f>
        <v>43508</v>
      </c>
      <c r="S24" s="571" t="str">
        <f>IF(gen!O64&gt;0,ROUND(R24/$G$35*1000,3)," ")</f>
        <v> </v>
      </c>
    </row>
    <row r="25" spans="2:19" ht="15.75">
      <c r="B25" s="96" t="str">
        <f>IF(inputPrYr!$B24&gt;"  ",inputPrYr!$B24,"  ")</f>
        <v>  </v>
      </c>
      <c r="C25" s="32" t="str">
        <f>IF(levypage11!$C$69&lt;&gt;0,levypage11!$C$69,"  ")</f>
        <v>  </v>
      </c>
      <c r="D25" s="56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71" t="str">
        <f>IF(levypage11!E76&gt;0,ROUND(H25/$G$35*1000,3)," ")</f>
        <v> </v>
      </c>
      <c r="L25" s="96" t="s">
        <v>311</v>
      </c>
      <c r="M25" s="32" t="str">
        <f>IF(DebtService!$C$53&lt;&gt;0,DebtService!$C$53,"  ")</f>
        <v>  </v>
      </c>
      <c r="N25" s="569" t="str">
        <f>IF(inputPrYr!N49&gt;0,inputPrYr!N49,"  ")</f>
        <v>  </v>
      </c>
      <c r="O25" s="32" t="str">
        <f>IF(DebtService!$D$53&lt;&gt;0,DebtService!$D$53,"  ")</f>
        <v>  </v>
      </c>
      <c r="P25" s="253" t="str">
        <f>IF(inputOth!N25&gt;0,inputOth!N25,"  ")</f>
        <v>  </v>
      </c>
      <c r="Q25" s="32" t="str">
        <f>IF(DebtService!$E$53&lt;&gt;0,DebtService!$E$53,"  ")</f>
        <v>  </v>
      </c>
      <c r="R25" s="32" t="str">
        <f>IF(DebtService!$E$60&lt;&gt;0,DebtService!$E$60," ")</f>
        <v> </v>
      </c>
      <c r="S25" s="571" t="str">
        <f>IF(DebtService!O67&gt;0,ROUND(R25/$G$35*1000,3)," ")</f>
        <v> </v>
      </c>
    </row>
    <row r="26" spans="2:1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L26" s="96" t="str">
        <f>IF(inputPrYr!$B25&gt;"  ",inputPrYr!$B25,"  ")</f>
        <v>  </v>
      </c>
      <c r="M26" s="32" t="str">
        <f>IF(road!$C$43&lt;&gt;0,road!$C$43,"  ")</f>
        <v>  </v>
      </c>
      <c r="N26" s="569" t="str">
        <f>IF(inputPrYr!N50&gt;0,inputPrYr!N50,"  ")</f>
        <v>  </v>
      </c>
      <c r="O26" s="32" t="str">
        <f>IF(road!$D$43&lt;&gt;0,road!$D$43,"  ")</f>
        <v>  </v>
      </c>
      <c r="P26" s="253" t="str">
        <f>IF(inputOth!N26&gt;0,inputOth!N26,"  ")</f>
        <v>  </v>
      </c>
      <c r="Q26" s="32" t="str">
        <f>IF(road!$E$43&lt;&gt;0,road!$E$43,"  ")</f>
        <v>  </v>
      </c>
      <c r="R26" s="32" t="str">
        <f>IF(road!$E$50&lt;&gt;0,road!$E$50,"  ")</f>
        <v>  </v>
      </c>
      <c r="S26" s="571" t="str">
        <f>IF(road!O57&gt;0,ROUND(R26/$G$35*1000,3)," ")</f>
        <v> </v>
      </c>
    </row>
    <row r="27" spans="2:1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L27" s="96" t="str">
        <f>IF(inputPrYr!$B26&gt;"  ",inputPrYr!$B26,"  ")</f>
        <v>  </v>
      </c>
      <c r="M27" s="32" t="str">
        <f>IF(levypage9!$C$32&lt;&gt;0,levypage9!$C$32,"  ")</f>
        <v>  </v>
      </c>
      <c r="N27" s="569" t="str">
        <f>IF(inputPrYr!N51&gt;0,inputPrYr!N51,"  ")</f>
        <v>  </v>
      </c>
      <c r="O27" s="32" t="str">
        <f>IF(levypage9!$D$32&lt;&gt;0,levypage9!$D$32,"  ")</f>
        <v>  </v>
      </c>
      <c r="P27" s="253" t="str">
        <f>IF(inputOth!N27&gt;0,inputOth!N27,"  ")</f>
        <v>  </v>
      </c>
      <c r="Q27" s="32" t="str">
        <f>IF(levypage9!$E$32&lt;&gt;0,levypage9!$E$32,"  ")</f>
        <v>  </v>
      </c>
      <c r="R27" s="32" t="str">
        <f>IF(levypage9!$E$39&lt;&gt;0,levypage9!$E$39,"  ")</f>
        <v>  </v>
      </c>
      <c r="S27" s="571" t="str">
        <f>IF(levypage9!O46&gt;0,ROUND(R27/$G$35*1000,3)," ")</f>
        <v> </v>
      </c>
    </row>
    <row r="28" spans="2:19" ht="15.75">
      <c r="B28" s="96" t="str">
        <f>IF((inputPrYr!$B33&gt;"  "),(nonbud!$A3),"  ")</f>
        <v>  </v>
      </c>
      <c r="C28" s="67" t="str">
        <f>IF((nonbud!$K$28)&lt;&gt;0,(nonbud!$K$28),"  ")</f>
        <v>  </v>
      </c>
      <c r="D28" s="168"/>
      <c r="E28" s="32"/>
      <c r="F28" s="168"/>
      <c r="G28" s="32"/>
      <c r="H28" s="32"/>
      <c r="I28" s="168"/>
      <c r="L28" s="96" t="str">
        <f>IF(inputPrYr!$B27&gt;"  ",inputPrYr!$B27,"  ")</f>
        <v>  </v>
      </c>
      <c r="M28" s="32" t="str">
        <f>IF(levypage9!$C$69&lt;&gt;0,levypage9!$C$69,"  ")</f>
        <v>  </v>
      </c>
      <c r="N28" s="569" t="str">
        <f>IF(inputPrYr!N52&gt;0,inputPrYr!N52,"  ")</f>
        <v>  </v>
      </c>
      <c r="O28" s="32" t="str">
        <f>IF(levypage9!$D$69&lt;&gt;0,levypage9!$D$69,"  ")</f>
        <v>  </v>
      </c>
      <c r="P28" s="253" t="str">
        <f>IF(inputOth!N28&gt;0,inputOth!N28,"  ")</f>
        <v>  </v>
      </c>
      <c r="Q28" s="32" t="str">
        <f>IF(levypage9!$E$69&lt;&gt;0,levypage9!$E$69,"  ")</f>
        <v>  </v>
      </c>
      <c r="R28" s="32" t="str">
        <f>IF(levypage9!$E$76&lt;&gt;0,levypage9!$E$76,"  ")</f>
        <v>  </v>
      </c>
      <c r="S28" s="571" t="str">
        <f>IF(levypage9!O83&gt;0,ROUND(R28/$G$35*1000,3)," ")</f>
        <v> </v>
      </c>
    </row>
    <row r="29" spans="2:19" ht="16.5" thickBot="1">
      <c r="B29" s="83" t="s">
        <v>299</v>
      </c>
      <c r="C29" s="527" t="str">
        <f>IF(road!C64&lt;&gt;0,road!C64,"  ")</f>
        <v>  </v>
      </c>
      <c r="D29" s="528"/>
      <c r="E29" s="570"/>
      <c r="F29" s="528"/>
      <c r="G29" s="570"/>
      <c r="H29" s="570"/>
      <c r="I29" s="528"/>
      <c r="L29" s="96" t="str">
        <f>IF(inputPrYr!$B28&gt;"  ",inputPrYr!$B28,"  ")</f>
        <v>  </v>
      </c>
      <c r="M29" s="32" t="str">
        <f>IF(levypage10!$C$32&lt;&gt;0,levypage10!$C$32,"  ")</f>
        <v>  </v>
      </c>
      <c r="N29" s="569" t="str">
        <f>IF(inputPrYr!N53&gt;0,inputPrYr!N53,"  ")</f>
        <v>  </v>
      </c>
      <c r="O29" s="32" t="str">
        <f>IF(levypage10!$D$32&lt;&gt;0,levypage10!$D$32,"  ")</f>
        <v>  </v>
      </c>
      <c r="P29" s="253" t="str">
        <f>IF(inputOth!N29&gt;0,inputOth!N29,"  ")</f>
        <v>  </v>
      </c>
      <c r="Q29" s="32" t="str">
        <f>IF(levypage10!$E$32&lt;&gt;0,levypage10!$E$32,"  ")</f>
        <v>  </v>
      </c>
      <c r="R29" s="32" t="str">
        <f>IF(levypage10!$E$39&lt;&gt;0,levypage10!$E$39,"  ")</f>
        <v>  </v>
      </c>
      <c r="S29" s="571" t="str">
        <f>IF(levypage10!O46&gt;0,ROUND(R29/$G$35*1000,3)," ")</f>
        <v> </v>
      </c>
    </row>
    <row r="30" spans="2:19" ht="15.75">
      <c r="B30" s="83" t="s">
        <v>300</v>
      </c>
      <c r="C30" s="572">
        <f aca="true" t="shared" si="0" ref="C30:I30">SUM(C17:C29)</f>
        <v>39759</v>
      </c>
      <c r="D30" s="526">
        <f t="shared" si="0"/>
        <v>32.709</v>
      </c>
      <c r="E30" s="572">
        <f t="shared" si="0"/>
        <v>41161</v>
      </c>
      <c r="F30" s="526">
        <f t="shared" si="0"/>
        <v>32.438</v>
      </c>
      <c r="G30" s="572">
        <f t="shared" si="0"/>
        <v>89451</v>
      </c>
      <c r="H30" s="572">
        <f t="shared" si="0"/>
        <v>43508</v>
      </c>
      <c r="I30" s="575">
        <f t="shared" si="0"/>
        <v>31.981</v>
      </c>
      <c r="L30" s="96" t="str">
        <f>IF(inputPrYr!$B29&gt;"  ",inputPrYr!$B29,"  ")</f>
        <v>  </v>
      </c>
      <c r="M30" s="32" t="str">
        <f>IF(levypage10!$C$69&lt;&gt;0,levypage10!$C$69,"  ")</f>
        <v>  </v>
      </c>
      <c r="N30" s="569" t="str">
        <f>IF(inputPrYr!N54&gt;0,inputPrYr!N54,"  ")</f>
        <v>  </v>
      </c>
      <c r="O30" s="32" t="str">
        <f>IF(levypage10!$D$69&lt;&gt;0,levypage10!$D$69,"  ")</f>
        <v>  </v>
      </c>
      <c r="P30" s="253" t="str">
        <f>IF(inputOth!N30&gt;0,inputOth!N30,"  ")</f>
        <v>  </v>
      </c>
      <c r="Q30" s="32" t="str">
        <f>IF(levypage10!$E$69&lt;&gt;0,levypage10!$E$69,"  ")</f>
        <v>  </v>
      </c>
      <c r="R30" s="32" t="str">
        <f>IF(levypage10!$E$76&lt;&gt;0,levypage10!$E$76,"  ")</f>
        <v>  </v>
      </c>
      <c r="S30" s="571" t="str">
        <f>IF(levypage10!O83&gt;0,ROUND(R30/$G$35*1000,3)," ")</f>
        <v> </v>
      </c>
    </row>
    <row r="31" spans="2:19" ht="15.75">
      <c r="B31" s="83" t="s">
        <v>44</v>
      </c>
      <c r="C31" s="32">
        <f>transfer!C29</f>
        <v>0</v>
      </c>
      <c r="D31" s="14"/>
      <c r="E31" s="32">
        <f>transfer!D29</f>
        <v>0</v>
      </c>
      <c r="F31" s="62"/>
      <c r="G31" s="32">
        <f>transfer!E29</f>
        <v>0</v>
      </c>
      <c r="H31" s="14"/>
      <c r="I31" s="14"/>
      <c r="L31" s="96" t="str">
        <f>IF(inputPrYr!$B30&gt;"  ",inputPrYr!$B30,"  ")</f>
        <v>  </v>
      </c>
      <c r="M31" s="32" t="str">
        <f>IF(levypage11!$C$32&lt;&gt;0,levypage11!$C$32,"  ")</f>
        <v>  </v>
      </c>
      <c r="N31" s="569" t="str">
        <f>IF(inputPrYr!N55&gt;0,inputPrYr!N55,"  ")</f>
        <v>  </v>
      </c>
      <c r="O31" s="32" t="str">
        <f>IF(levypage11!$D$32&lt;&gt;0,levypage11!$D$32,"  ")</f>
        <v>  </v>
      </c>
      <c r="P31" s="253" t="str">
        <f>IF(inputOth!N31&gt;0,inputOth!N31,"  ")</f>
        <v>  </v>
      </c>
      <c r="Q31" s="32" t="str">
        <f>IF(levypage11!$E$32&lt;&gt;0,levypage11!$E$32,"  ")</f>
        <v>  </v>
      </c>
      <c r="R31" s="32" t="str">
        <f>IF(levypage11!$E$39&lt;&gt;0,levypage11!$E$39,"  ")</f>
        <v>  </v>
      </c>
      <c r="S31" s="571" t="str">
        <f>IF(levypage11!O46&gt;0,ROUND(R31/$G$35*1000,3)," ")</f>
        <v> </v>
      </c>
    </row>
    <row r="32" spans="2:19" ht="16.5" thickBot="1">
      <c r="B32" s="83" t="s">
        <v>45</v>
      </c>
      <c r="C32" s="573">
        <f>C30-C31</f>
        <v>39759</v>
      </c>
      <c r="D32" s="14"/>
      <c r="E32" s="573">
        <f>E30-E31</f>
        <v>41161</v>
      </c>
      <c r="F32" s="14"/>
      <c r="G32" s="573">
        <f>G30-G31</f>
        <v>89451</v>
      </c>
      <c r="H32" s="14"/>
      <c r="I32" s="14"/>
      <c r="L32" s="96" t="str">
        <f>IF(inputPrYr!$B31&gt;"  ",inputPrYr!$B31,"  ")</f>
        <v>  </v>
      </c>
      <c r="M32" s="32" t="str">
        <f>IF(levypage11!$C$69&lt;&gt;0,levypage11!$C$69,"  ")</f>
        <v>  </v>
      </c>
      <c r="N32" s="569" t="str">
        <f>IF(inputPrYr!N56&gt;0,inputPrYr!N56,"  ")</f>
        <v>  </v>
      </c>
      <c r="O32" s="32" t="str">
        <f>IF(levypage11!$D$69&lt;&gt;0,levypage11!$D$69,"  ")</f>
        <v>  </v>
      </c>
      <c r="P32" s="253" t="str">
        <f>IF(inputOth!N32&gt;0,inputOth!N32,"  ")</f>
        <v>  </v>
      </c>
      <c r="Q32" s="32" t="str">
        <f>IF(levypage11!$E$69&lt;&gt;0,levypage11!$E$69,"  ")</f>
        <v>  </v>
      </c>
      <c r="R32" s="32" t="str">
        <f>IF(levypage11!$E$76&lt;&gt;0,levypage11!$E$76,"  ")</f>
        <v>  </v>
      </c>
      <c r="S32" s="571" t="str">
        <f>IF(levypage11!O83&gt;0,ROUND(R32/$G$35*1000,3)," ")</f>
        <v> </v>
      </c>
    </row>
    <row r="33" spans="2:19" ht="16.5" thickTop="1">
      <c r="B33" s="83" t="s">
        <v>46</v>
      </c>
      <c r="C33" s="574">
        <f>inputPrYr!E52</f>
        <v>41817</v>
      </c>
      <c r="D33" s="62"/>
      <c r="E33" s="574">
        <f>inputPrYr!E25</f>
        <v>42451</v>
      </c>
      <c r="F33" s="14"/>
      <c r="G33" s="565" t="s">
        <v>301</v>
      </c>
      <c r="H33" s="14"/>
      <c r="I33" s="14"/>
      <c r="L33" s="96" t="str">
        <f>IF(inputPrYr!$B35&gt;"  ",inputPrYr!$B35,"  ")</f>
        <v>  </v>
      </c>
      <c r="M33" s="32" t="str">
        <f>IF(nolevypage12!$C$28&lt;&gt;0,nolevypage12!$C$28,"  ")</f>
        <v>  </v>
      </c>
      <c r="N33" s="168"/>
      <c r="O33" s="32" t="str">
        <f>IF(nolevypage12!$D$28&lt;&gt;0,nolevypage12!$D$28,"  ")</f>
        <v>  </v>
      </c>
      <c r="P33" s="253"/>
      <c r="Q33" s="32" t="str">
        <f>IF(nolevypage12!$E$28&lt;&gt;0,nolevypage12!$E$28,"  ")</f>
        <v>  </v>
      </c>
      <c r="R33" s="32"/>
      <c r="S33" s="253"/>
    </row>
    <row r="34" spans="2:19" ht="15.75">
      <c r="B34" s="279" t="s">
        <v>47</v>
      </c>
      <c r="C34" s="55"/>
      <c r="D34" s="62"/>
      <c r="E34" s="55"/>
      <c r="F34" s="62"/>
      <c r="G34" s="14"/>
      <c r="H34" s="14"/>
      <c r="I34" s="14"/>
      <c r="L34" s="96" t="str">
        <f>IF(inputPrYr!$B36&gt;"  ",inputPrYr!$B36,"  ")</f>
        <v>  </v>
      </c>
      <c r="M34" s="32" t="str">
        <f>IF(nolevypage12!$C$59&lt;&gt;0,nolevypage12!$C$59,"  ")</f>
        <v>  </v>
      </c>
      <c r="N34" s="168"/>
      <c r="O34" s="32" t="str">
        <f>IF(nolevypage12!$D$59&lt;&gt;0,nolevypage12!$D$59,"  ")</f>
        <v>  </v>
      </c>
      <c r="P34" s="253"/>
      <c r="Q34" s="32" t="str">
        <f>IF(nolevypage12!$E$59&lt;&gt;0,nolevypage12!$E$59,"  ")</f>
        <v>  </v>
      </c>
      <c r="R34" s="32"/>
      <c r="S34" s="253"/>
    </row>
    <row r="35" spans="2:19" ht="15.75">
      <c r="B35" s="583" t="s">
        <v>48</v>
      </c>
      <c r="C35" s="31">
        <f>inputPrYr!E53</f>
        <v>1278483</v>
      </c>
      <c r="D35" s="14"/>
      <c r="E35" s="32">
        <f>inputOth!E28</f>
        <v>1308665</v>
      </c>
      <c r="F35" s="14"/>
      <c r="G35" s="32">
        <f>inputOth!E7</f>
        <v>1360444</v>
      </c>
      <c r="H35" s="14"/>
      <c r="I35" s="14"/>
      <c r="L35" s="96" t="str">
        <f>IF((inputPrYr!$B40&gt;"  "),(nonbud!$A10),"  ")</f>
        <v>  </v>
      </c>
      <c r="M35" s="67" t="str">
        <f>IF((nonbud!$K$28)&lt;&gt;0,(nonbud!$K$28),"  ")</f>
        <v>  </v>
      </c>
      <c r="N35" s="168"/>
      <c r="O35" s="32"/>
      <c r="P35" s="168"/>
      <c r="Q35" s="32"/>
      <c r="R35" s="32"/>
      <c r="S35" s="168"/>
    </row>
    <row r="36" spans="2:19" ht="16.5" thickBot="1">
      <c r="B36" s="22" t="s">
        <v>49</v>
      </c>
      <c r="C36" s="14"/>
      <c r="D36" s="14"/>
      <c r="E36" s="14"/>
      <c r="F36" s="14"/>
      <c r="G36" s="14"/>
      <c r="H36" s="14"/>
      <c r="I36" s="14"/>
      <c r="L36" s="83" t="s">
        <v>299</v>
      </c>
      <c r="M36" s="527" t="str">
        <f>IF(road!M71&lt;&gt;0,road!M71,"  ")</f>
        <v>  </v>
      </c>
      <c r="N36" s="528"/>
      <c r="O36" s="570"/>
      <c r="P36" s="528"/>
      <c r="Q36" s="570"/>
      <c r="R36" s="570"/>
      <c r="S36" s="528"/>
    </row>
    <row r="37" spans="2:19" ht="15.75">
      <c r="B37" s="22" t="s">
        <v>50</v>
      </c>
      <c r="C37" s="171">
        <f>I1-3</f>
        <v>2009</v>
      </c>
      <c r="D37" s="14"/>
      <c r="E37" s="171">
        <f>I1-2</f>
        <v>2010</v>
      </c>
      <c r="F37" s="14"/>
      <c r="G37" s="171">
        <f>I1-1</f>
        <v>2011</v>
      </c>
      <c r="H37" s="14"/>
      <c r="I37" s="14"/>
      <c r="L37" s="83" t="s">
        <v>300</v>
      </c>
      <c r="M37" s="572">
        <f aca="true" t="shared" si="1" ref="M37:S37">SUM(M24:M36)</f>
        <v>39759</v>
      </c>
      <c r="N37" s="526">
        <f t="shared" si="1"/>
        <v>0</v>
      </c>
      <c r="O37" s="572">
        <f t="shared" si="1"/>
        <v>41161</v>
      </c>
      <c r="P37" s="526">
        <f t="shared" si="1"/>
        <v>0</v>
      </c>
      <c r="Q37" s="572">
        <f t="shared" si="1"/>
        <v>89451</v>
      </c>
      <c r="R37" s="572">
        <f t="shared" si="1"/>
        <v>43508</v>
      </c>
      <c r="S37" s="575">
        <f t="shared" si="1"/>
        <v>0</v>
      </c>
    </row>
    <row r="38" spans="2:19" ht="15.75">
      <c r="B38" s="22" t="s">
        <v>51</v>
      </c>
      <c r="C38" s="172">
        <f>inputPrYr!D57</f>
        <v>0</v>
      </c>
      <c r="D38" s="59"/>
      <c r="E38" s="172">
        <f>inputPrYr!E57</f>
        <v>0</v>
      </c>
      <c r="F38" s="59"/>
      <c r="G38" s="172">
        <f>'debt-lease'!E11</f>
        <v>0</v>
      </c>
      <c r="H38" s="14"/>
      <c r="I38" s="14"/>
      <c r="L38" s="83" t="s">
        <v>44</v>
      </c>
      <c r="M38" s="32">
        <f>transfer!M36</f>
        <v>0</v>
      </c>
      <c r="N38" s="14"/>
      <c r="O38" s="32">
        <f>transfer!N36</f>
        <v>0</v>
      </c>
      <c r="P38" s="62"/>
      <c r="Q38" s="32">
        <f>transfer!O36</f>
        <v>0</v>
      </c>
      <c r="R38" s="14"/>
      <c r="S38" s="14"/>
    </row>
    <row r="39" spans="2:19" ht="16.5" thickBot="1">
      <c r="B39" s="22" t="s">
        <v>21</v>
      </c>
      <c r="C39" s="172">
        <f>inputPrYr!D58</f>
        <v>0</v>
      </c>
      <c r="D39" s="59"/>
      <c r="E39" s="172">
        <f>inputPrYr!E58</f>
        <v>0</v>
      </c>
      <c r="F39" s="59"/>
      <c r="G39" s="172">
        <f>'debt-lease'!E15</f>
        <v>0</v>
      </c>
      <c r="H39" s="14"/>
      <c r="I39" s="14"/>
      <c r="L39" s="83" t="s">
        <v>45</v>
      </c>
      <c r="M39" s="573">
        <f>M37-M38</f>
        <v>39759</v>
      </c>
      <c r="N39" s="14"/>
      <c r="O39" s="573">
        <f>O37-O38</f>
        <v>41161</v>
      </c>
      <c r="P39" s="14"/>
      <c r="Q39" s="573">
        <f>Q37-Q38</f>
        <v>89451</v>
      </c>
      <c r="R39" s="14"/>
      <c r="S39" s="14"/>
    </row>
    <row r="40" spans="2:19" ht="16.5" thickTop="1">
      <c r="B40" s="22" t="s">
        <v>796</v>
      </c>
      <c r="C40" s="172">
        <f>inputPrYr!D59</f>
        <v>56467</v>
      </c>
      <c r="D40" s="59"/>
      <c r="E40" s="172">
        <f>inputPrYr!E59</f>
        <v>37759</v>
      </c>
      <c r="F40" s="59"/>
      <c r="G40" s="172">
        <f>'debt-lease'!F36</f>
        <v>24391</v>
      </c>
      <c r="H40" s="14"/>
      <c r="I40" s="14"/>
      <c r="L40" s="83" t="s">
        <v>46</v>
      </c>
      <c r="M40" s="574">
        <f>inputPrYr!O59</f>
        <v>0</v>
      </c>
      <c r="N40" s="62"/>
      <c r="O40" s="574">
        <f>inputPrYr!O32</f>
        <v>0</v>
      </c>
      <c r="P40" s="14"/>
      <c r="Q40" s="565" t="s">
        <v>301</v>
      </c>
      <c r="R40" s="14"/>
      <c r="S40" s="14"/>
    </row>
    <row r="41" spans="2:19" ht="16.5" thickBot="1">
      <c r="B41" s="22" t="s">
        <v>52</v>
      </c>
      <c r="C41" s="173">
        <f>SUM(C38:C40)</f>
        <v>56467</v>
      </c>
      <c r="D41" s="59"/>
      <c r="E41" s="173">
        <f>SUM(E38:E40)</f>
        <v>37759</v>
      </c>
      <c r="F41" s="59"/>
      <c r="G41" s="173">
        <f>SUM(G38:G40)</f>
        <v>24391</v>
      </c>
      <c r="H41" s="14"/>
      <c r="I41" s="14"/>
      <c r="L41" s="279" t="s">
        <v>47</v>
      </c>
      <c r="M41" s="55"/>
      <c r="N41" s="62"/>
      <c r="O41" s="55"/>
      <c r="P41" s="62"/>
      <c r="Q41" s="14"/>
      <c r="R41" s="14"/>
      <c r="S41" s="14"/>
    </row>
    <row r="42" spans="2:19" ht="16.5" thickTop="1">
      <c r="B42" s="22" t="s">
        <v>53</v>
      </c>
      <c r="C42" s="14"/>
      <c r="D42" s="14"/>
      <c r="E42" s="14"/>
      <c r="F42" s="14"/>
      <c r="G42" s="14"/>
      <c r="H42" s="14"/>
      <c r="I42" s="14"/>
      <c r="L42" s="583" t="s">
        <v>48</v>
      </c>
      <c r="M42" s="31">
        <f>inputPrYr!O60</f>
        <v>0</v>
      </c>
      <c r="N42" s="14"/>
      <c r="O42" s="32">
        <f>inputOth!O35</f>
        <v>0</v>
      </c>
      <c r="P42" s="14"/>
      <c r="Q42" s="32">
        <f>inputOth!O14</f>
        <v>0</v>
      </c>
      <c r="R42" s="14"/>
      <c r="S42" s="14"/>
    </row>
    <row r="43" spans="2:19" ht="15.75">
      <c r="B43" s="14"/>
      <c r="C43" s="14"/>
      <c r="D43" s="14"/>
      <c r="E43" s="14"/>
      <c r="F43" s="14"/>
      <c r="G43" s="14"/>
      <c r="H43" s="14"/>
      <c r="I43" s="14"/>
      <c r="L43" s="22" t="s">
        <v>49</v>
      </c>
      <c r="M43" s="14"/>
      <c r="N43" s="14"/>
      <c r="O43" s="14"/>
      <c r="P43" s="14"/>
      <c r="Q43" s="14"/>
      <c r="R43" s="14"/>
      <c r="S43" s="14"/>
    </row>
    <row r="44" spans="2:19" ht="15.75">
      <c r="B44" s="646" t="s">
        <v>825</v>
      </c>
      <c r="C44" s="646"/>
      <c r="D44" s="14"/>
      <c r="E44" s="14"/>
      <c r="F44" s="14"/>
      <c r="G44" s="14"/>
      <c r="H44" s="14"/>
      <c r="I44" s="14"/>
      <c r="L44" s="22" t="s">
        <v>50</v>
      </c>
      <c r="M44" s="171">
        <f>S8-3</f>
        <v>-3</v>
      </c>
      <c r="N44" s="14"/>
      <c r="O44" s="171">
        <f>S8-2</f>
        <v>-2</v>
      </c>
      <c r="P44" s="14"/>
      <c r="Q44" s="171">
        <f>S8-1</f>
        <v>-1</v>
      </c>
      <c r="R44" s="14"/>
      <c r="S44" s="14"/>
    </row>
    <row r="45" spans="2:19" ht="15.75">
      <c r="B45" s="158" t="s">
        <v>54</v>
      </c>
      <c r="C45" s="156"/>
      <c r="D45" s="14"/>
      <c r="E45" s="14"/>
      <c r="F45" s="14"/>
      <c r="G45" s="14"/>
      <c r="H45" s="14"/>
      <c r="I45" s="14"/>
      <c r="L45" s="22" t="s">
        <v>51</v>
      </c>
      <c r="M45" s="172">
        <f>inputPrYr!N64</f>
        <v>0</v>
      </c>
      <c r="N45" s="59"/>
      <c r="O45" s="172">
        <f>inputPrYr!O64</f>
        <v>0</v>
      </c>
      <c r="P45" s="59"/>
      <c r="Q45" s="172">
        <f>'debt-lease'!O18</f>
        <v>0</v>
      </c>
      <c r="R45" s="14"/>
      <c r="S45" s="14"/>
    </row>
    <row r="46" spans="2:19" ht="15.75">
      <c r="B46" s="14"/>
      <c r="C46" s="14"/>
      <c r="D46" s="14"/>
      <c r="E46" s="14"/>
      <c r="F46" s="14"/>
      <c r="G46" s="14"/>
      <c r="H46" s="14"/>
      <c r="I46" s="14"/>
      <c r="L46" s="22" t="s">
        <v>21</v>
      </c>
      <c r="M46" s="172">
        <f>inputPrYr!N65</f>
        <v>0</v>
      </c>
      <c r="N46" s="59"/>
      <c r="O46" s="172">
        <f>inputPrYr!O65</f>
        <v>0</v>
      </c>
      <c r="P46" s="59"/>
      <c r="Q46" s="172">
        <f>'debt-lease'!O22</f>
        <v>0</v>
      </c>
      <c r="R46" s="14"/>
      <c r="S46" s="14"/>
    </row>
    <row r="47" spans="2:19" ht="15.75">
      <c r="B47" s="14"/>
      <c r="C47" s="52" t="s">
        <v>9</v>
      </c>
      <c r="D47" s="92">
        <v>7</v>
      </c>
      <c r="E47" s="14"/>
      <c r="F47" s="14"/>
      <c r="G47" s="14"/>
      <c r="H47" s="14"/>
      <c r="I47" s="14"/>
      <c r="L47" s="22" t="s">
        <v>796</v>
      </c>
      <c r="M47" s="172">
        <f>inputPrYr!N66</f>
        <v>0</v>
      </c>
      <c r="N47" s="59"/>
      <c r="O47" s="172">
        <f>inputPrYr!O66</f>
        <v>0</v>
      </c>
      <c r="P47" s="59"/>
      <c r="Q47" s="172">
        <f>'debt-lease'!P43</f>
        <v>0</v>
      </c>
      <c r="R47" s="14"/>
      <c r="S47" s="14"/>
    </row>
    <row r="48" spans="2:19" ht="16.5" thickBot="1">
      <c r="B48" s="91"/>
      <c r="C48" s="91"/>
      <c r="D48" s="91"/>
      <c r="L48" s="22" t="s">
        <v>52</v>
      </c>
      <c r="M48" s="173">
        <f>SUM(M45:M47)</f>
        <v>0</v>
      </c>
      <c r="N48" s="59"/>
      <c r="O48" s="173">
        <f>SUM(O45:O47)</f>
        <v>0</v>
      </c>
      <c r="P48" s="59"/>
      <c r="Q48" s="173">
        <f>SUM(Q45:Q47)</f>
        <v>0</v>
      </c>
      <c r="R48" s="14"/>
      <c r="S48" s="14"/>
    </row>
    <row r="49" spans="12:19" ht="16.5" thickTop="1">
      <c r="L49" s="22" t="s">
        <v>53</v>
      </c>
      <c r="M49" s="14"/>
      <c r="N49" s="14"/>
      <c r="O49" s="14"/>
      <c r="P49" s="14"/>
      <c r="Q49" s="14"/>
      <c r="R49" s="14"/>
      <c r="S49" s="14"/>
    </row>
    <row r="50" spans="2:19" ht="15.75">
      <c r="B50" s="91"/>
      <c r="C50" s="91"/>
      <c r="D50" s="91"/>
      <c r="E50" s="91"/>
      <c r="F50" s="91"/>
      <c r="G50" s="91"/>
      <c r="H50" s="91"/>
      <c r="L50" s="14"/>
      <c r="M50" s="14"/>
      <c r="N50" s="14"/>
      <c r="O50" s="14"/>
      <c r="P50" s="14"/>
      <c r="Q50" s="14"/>
      <c r="R50" s="14"/>
      <c r="S50" s="14"/>
    </row>
    <row r="51" spans="9:19" ht="15.75">
      <c r="I51" s="91"/>
      <c r="L51" s="646" t="s">
        <v>825</v>
      </c>
      <c r="M51" s="646"/>
      <c r="N51" s="14"/>
      <c r="O51" s="14"/>
      <c r="P51" s="14"/>
      <c r="Q51" s="14"/>
      <c r="R51" s="14"/>
      <c r="S51" s="14"/>
    </row>
    <row r="52" spans="12:19" ht="15.75">
      <c r="L52" s="158" t="s">
        <v>54</v>
      </c>
      <c r="M52" s="156"/>
      <c r="N52" s="14"/>
      <c r="O52" s="14"/>
      <c r="P52" s="14"/>
      <c r="Q52" s="14"/>
      <c r="R52" s="14"/>
      <c r="S52" s="14"/>
    </row>
    <row r="53" spans="12:19" ht="15.75">
      <c r="L53" s="14"/>
      <c r="M53" s="14"/>
      <c r="N53" s="14"/>
      <c r="O53" s="14"/>
      <c r="P53" s="14"/>
      <c r="Q53" s="14"/>
      <c r="R53" s="14"/>
      <c r="S53" s="14"/>
    </row>
    <row r="54" spans="12:19" ht="15.75">
      <c r="L54" s="14"/>
      <c r="M54" s="52" t="s">
        <v>9</v>
      </c>
      <c r="N54" s="92">
        <v>7</v>
      </c>
      <c r="O54" s="14"/>
      <c r="P54" s="14"/>
      <c r="Q54" s="14"/>
      <c r="R54" s="14"/>
      <c r="S54" s="14"/>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2">
    <mergeCell ref="L10:S10"/>
    <mergeCell ref="L11:S11"/>
    <mergeCell ref="L12:S12"/>
    <mergeCell ref="L13:S13"/>
    <mergeCell ref="R21:R23"/>
    <mergeCell ref="L51:M51"/>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975427" r:id="rId1"/>
  </oleObjects>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54" t="s">
        <v>132</v>
      </c>
      <c r="B1" s="654"/>
      <c r="C1" s="654"/>
      <c r="D1" s="654"/>
      <c r="E1" s="654"/>
      <c r="F1" s="654"/>
      <c r="G1" s="654"/>
    </row>
    <row r="2" ht="15.75">
      <c r="A2" s="1"/>
    </row>
    <row r="3" spans="1:7" ht="15.75">
      <c r="A3" s="655" t="s">
        <v>133</v>
      </c>
      <c r="B3" s="655"/>
      <c r="C3" s="655"/>
      <c r="D3" s="655"/>
      <c r="E3" s="655"/>
      <c r="F3" s="655"/>
      <c r="G3" s="655"/>
    </row>
    <row r="4" ht="15.75">
      <c r="A4" s="2"/>
    </row>
    <row r="5" ht="15.75">
      <c r="A5" s="2"/>
    </row>
    <row r="6" spans="1:9" ht="15.75">
      <c r="A6" s="8" t="str">
        <f>CONCATENATE("A resolution expressing the property taxation policy of the Board of ",(inputPrYr!D2)," ")</f>
        <v>A resolution expressing the property taxation policy of the Board of Wendell Township </v>
      </c>
      <c r="I6">
        <f>CONCATENATE(I7)</f>
      </c>
    </row>
    <row r="7" spans="1:7" ht="15.75">
      <c r="A7" s="656" t="str">
        <f>CONCATENATE("   with respect to financing the ",inputPrYr!D5," annual budget for ",(inputPrYr!D2)," , ",(inputPrYr!D3)," , Kansas.")</f>
        <v>   with respect to financing the 2012 annual budget for Wendell Township , Thomas County , Kansas.</v>
      </c>
      <c r="B7" s="652"/>
      <c r="C7" s="652"/>
      <c r="D7" s="652"/>
      <c r="E7" s="652"/>
      <c r="F7" s="652"/>
      <c r="G7" s="652"/>
    </row>
    <row r="8" spans="1:7" ht="15.75">
      <c r="A8" s="652"/>
      <c r="B8" s="652"/>
      <c r="C8" s="652"/>
      <c r="D8" s="652"/>
      <c r="E8" s="652"/>
      <c r="F8" s="652"/>
      <c r="G8" s="652"/>
    </row>
    <row r="9" ht="15.75">
      <c r="A9" s="1"/>
    </row>
    <row r="10" ht="15.75">
      <c r="A10" s="9" t="s">
        <v>134</v>
      </c>
    </row>
    <row r="11" ht="15.75">
      <c r="A11" s="7" t="str">
        <f>CONCATENATE("to finance the ",inputPrYr!D5," ",(inputPrYr!D2)," budget exceed the amount levied to finance the ",inputPrYr!D5-1,"")</f>
        <v>to finance the 2012 Wendell Township budget exceed the amount levied to finance the 2011</v>
      </c>
    </row>
    <row r="12" spans="1:7" ht="15.75">
      <c r="A12" s="651" t="str">
        <f>CONCATENATE((inputPrYr!D2)," Township budget, except with regard to revenue produced and attributable to the taxation of 1) new improvements to real property; 2) increased personal property valuation, other than increased")</f>
        <v>Wendell Township Township budget, except with regard to revenue produced and attributable to the taxation of 1) new improvements to real property; 2) increased personal property valuation, other than increased</v>
      </c>
      <c r="B12" s="652"/>
      <c r="C12" s="652"/>
      <c r="D12" s="652"/>
      <c r="E12" s="652"/>
      <c r="F12" s="652"/>
      <c r="G12" s="652"/>
    </row>
    <row r="13" spans="1:7" ht="15.75">
      <c r="A13" s="652"/>
      <c r="B13" s="652"/>
      <c r="C13" s="652"/>
      <c r="D13" s="652"/>
      <c r="E13" s="652"/>
      <c r="F13" s="652"/>
      <c r="G13" s="652"/>
    </row>
    <row r="14" spans="1:7" ht="15.75">
      <c r="A14" s="651" t="s">
        <v>139</v>
      </c>
      <c r="B14" s="652"/>
      <c r="C14" s="652"/>
      <c r="D14" s="652"/>
      <c r="E14" s="652"/>
      <c r="F14" s="652"/>
      <c r="G14" s="652"/>
    </row>
    <row r="15" spans="1:7" ht="15.75">
      <c r="A15" s="652"/>
      <c r="B15" s="652"/>
      <c r="C15" s="652"/>
      <c r="D15" s="652"/>
      <c r="E15" s="652"/>
      <c r="F15" s="652"/>
      <c r="G15" s="652"/>
    </row>
    <row r="16" spans="1:7" ht="15.75">
      <c r="A16" s="653"/>
      <c r="B16" s="653"/>
      <c r="C16" s="653"/>
      <c r="D16" s="653"/>
      <c r="E16" s="653"/>
      <c r="F16" s="653"/>
      <c r="G16" s="653"/>
    </row>
    <row r="17" ht="15.75">
      <c r="A17" s="2"/>
    </row>
    <row r="18" spans="1:7" ht="15.75">
      <c r="A18" s="657" t="s">
        <v>135</v>
      </c>
      <c r="B18" s="652"/>
      <c r="C18" s="652"/>
      <c r="D18" s="652"/>
      <c r="E18" s="652"/>
      <c r="F18" s="652"/>
      <c r="G18" s="652"/>
    </row>
    <row r="19" spans="1:7" ht="15.75">
      <c r="A19" s="652"/>
      <c r="B19" s="652"/>
      <c r="C19" s="652"/>
      <c r="D19" s="652"/>
      <c r="E19" s="652"/>
      <c r="F19" s="652"/>
      <c r="G19" s="652"/>
    </row>
    <row r="20" ht="15.75">
      <c r="A20" s="2"/>
    </row>
    <row r="21" spans="1:7" ht="15.75">
      <c r="A21" s="657" t="str">
        <f>CONCATENATE("Whereas, ",(inputPrYr!D2)," provides essential services to protect the safety and well being of the citizens of the township; and")</f>
        <v>Whereas, Wendell Township provides essential services to protect the safety and well being of the citizens of the township; and</v>
      </c>
      <c r="B21" s="652"/>
      <c r="C21" s="652"/>
      <c r="D21" s="652"/>
      <c r="E21" s="652"/>
      <c r="F21" s="652"/>
      <c r="G21" s="652"/>
    </row>
    <row r="22" spans="1:7" ht="15.75">
      <c r="A22" s="652"/>
      <c r="B22" s="652"/>
      <c r="C22" s="652"/>
      <c r="D22" s="652"/>
      <c r="E22" s="652"/>
      <c r="F22" s="652"/>
      <c r="G22" s="652"/>
    </row>
    <row r="23" ht="15.75">
      <c r="A23" s="4"/>
    </row>
    <row r="24" ht="15.75">
      <c r="A24" s="3" t="s">
        <v>136</v>
      </c>
    </row>
    <row r="25" ht="15.75">
      <c r="A25" s="4"/>
    </row>
    <row r="26" spans="1:7" ht="15.75">
      <c r="A26" s="657" t="str">
        <f>CONCATENATE("NOW, THEREFORE, BE IT RESOLVED by the Board of ",(inputPrYr!D2)," of ",(inputPrYr!D3),", Kansas that is our desire to notify the public of increased property taxes to finance the ",inputPrYr!D5," ",(inputPrYr!D2),"  budget as defined above.")</f>
        <v>NOW, THEREFORE, BE IT RESOLVED by the Board of Wendell Township of Thomas County, Kansas that is our desire to notify the public of increased property taxes to finance the 2012 Wendell Township  budget as defined above.</v>
      </c>
      <c r="B26" s="652"/>
      <c r="C26" s="652"/>
      <c r="D26" s="652"/>
      <c r="E26" s="652"/>
      <c r="F26" s="652"/>
      <c r="G26" s="652"/>
    </row>
    <row r="27" spans="1:7" ht="15.75">
      <c r="A27" s="652"/>
      <c r="B27" s="652"/>
      <c r="C27" s="652"/>
      <c r="D27" s="652"/>
      <c r="E27" s="652"/>
      <c r="F27" s="652"/>
      <c r="G27" s="652"/>
    </row>
    <row r="28" spans="1:7" ht="15.75">
      <c r="A28" s="652"/>
      <c r="B28" s="652"/>
      <c r="C28" s="652"/>
      <c r="D28" s="652"/>
      <c r="E28" s="652"/>
      <c r="F28" s="652"/>
      <c r="G28" s="652"/>
    </row>
    <row r="29" ht="15.75">
      <c r="A29" s="4"/>
    </row>
    <row r="30" spans="1:7" ht="15.75">
      <c r="A30" s="660" t="str">
        <f>CONCATENATE("Adopted this _________ day of ___________, ",inputPrYr!D5-1," by the ",(inputPrYr!D2)," Board, ",(inputPrYr!D3),", Kansas.")</f>
        <v>Adopted this _________ day of ___________, 2011 by the Wendell Township Board, Thomas County, Kansas.</v>
      </c>
      <c r="B30" s="652"/>
      <c r="C30" s="652"/>
      <c r="D30" s="652"/>
      <c r="E30" s="652"/>
      <c r="F30" s="652"/>
      <c r="G30" s="652"/>
    </row>
    <row r="31" spans="1:7" ht="15.75">
      <c r="A31" s="652"/>
      <c r="B31" s="652"/>
      <c r="C31" s="652"/>
      <c r="D31" s="652"/>
      <c r="E31" s="652"/>
      <c r="F31" s="652"/>
      <c r="G31" s="652"/>
    </row>
    <row r="32" ht="15.75">
      <c r="A32" s="4"/>
    </row>
    <row r="33" spans="4:7" ht="15.75">
      <c r="D33" s="658" t="str">
        <f>CONCATENATE((inputPrYr!D2)," Board")</f>
        <v>Wendell Township Board</v>
      </c>
      <c r="E33" s="658"/>
      <c r="F33" s="658"/>
      <c r="G33" s="658"/>
    </row>
    <row r="35" spans="4:7" ht="15.75">
      <c r="D35" s="659" t="s">
        <v>137</v>
      </c>
      <c r="E35" s="659"/>
      <c r="F35" s="659"/>
      <c r="G35" s="659"/>
    </row>
    <row r="36" spans="1:7" ht="15.75">
      <c r="A36" s="5"/>
      <c r="D36" s="659" t="s">
        <v>141</v>
      </c>
      <c r="E36" s="659"/>
      <c r="F36" s="659"/>
      <c r="G36" s="659"/>
    </row>
    <row r="37" spans="4:7" ht="15.75">
      <c r="D37" s="659"/>
      <c r="E37" s="659"/>
      <c r="F37" s="659"/>
      <c r="G37" s="659"/>
    </row>
    <row r="38" spans="4:7" ht="15.75">
      <c r="D38" s="659" t="s">
        <v>137</v>
      </c>
      <c r="E38" s="659"/>
      <c r="F38" s="659"/>
      <c r="G38" s="659"/>
    </row>
    <row r="39" spans="1:7" ht="15.75">
      <c r="A39" s="4"/>
      <c r="D39" s="659" t="s">
        <v>142</v>
      </c>
      <c r="E39" s="659"/>
      <c r="F39" s="659"/>
      <c r="G39" s="659"/>
    </row>
    <row r="40" spans="4:7" ht="15.75">
      <c r="D40" s="659"/>
      <c r="E40" s="659"/>
      <c r="F40" s="659"/>
      <c r="G40" s="659"/>
    </row>
    <row r="41" spans="4:7" ht="15.75">
      <c r="D41" s="659" t="s">
        <v>140</v>
      </c>
      <c r="E41" s="659"/>
      <c r="F41" s="659"/>
      <c r="G41" s="659"/>
    </row>
    <row r="42" spans="1:7" ht="15.75">
      <c r="A42" s="4"/>
      <c r="D42" s="659" t="s">
        <v>143</v>
      </c>
      <c r="E42" s="659"/>
      <c r="F42" s="659"/>
      <c r="G42" s="659"/>
    </row>
    <row r="43" ht="15.75">
      <c r="A43" s="6"/>
    </row>
    <row r="44" ht="15.75">
      <c r="A44" s="6"/>
    </row>
    <row r="45" ht="15.75">
      <c r="A45" s="6" t="s">
        <v>138</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Wendell Township</v>
      </c>
      <c r="C1" s="14"/>
      <c r="D1" s="14"/>
      <c r="E1" s="15">
        <f>inputPrYr!D5</f>
        <v>2012</v>
      </c>
    </row>
    <row r="2" spans="2:5" ht="15.75">
      <c r="B2" s="17"/>
      <c r="C2" s="14"/>
      <c r="D2" s="62"/>
      <c r="E2" s="63"/>
    </row>
    <row r="3" spans="2:5" ht="15.75">
      <c r="B3" s="580" t="s">
        <v>747</v>
      </c>
      <c r="C3" s="77"/>
      <c r="D3" s="77"/>
      <c r="E3" s="77"/>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122</v>
      </c>
      <c r="C6" s="29"/>
      <c r="D6" s="415">
        <f>C44</f>
        <v>0</v>
      </c>
      <c r="E6" s="32">
        <f>D44</f>
        <v>0</v>
      </c>
    </row>
    <row r="7" spans="2:5" ht="15.75">
      <c r="B7" s="27" t="s">
        <v>124</v>
      </c>
      <c r="C7" s="415"/>
      <c r="D7" s="415"/>
      <c r="E7" s="33"/>
    </row>
    <row r="8" spans="2:5" ht="15.75">
      <c r="B8" s="27" t="s">
        <v>16</v>
      </c>
      <c r="C8" s="29"/>
      <c r="D8" s="415">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166</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2">
        <f>IF(C23*0.1&lt;C21,"Exceed 10% Rule","")</f>
      </c>
      <c r="D22" s="412">
        <f>IF(D23*0.1&lt;D21,"Exceed 10% Rule","")</f>
      </c>
      <c r="E22" s="45">
        <f>IF(E23*0.1+E50&lt;E21,"Exceed 10% Rule","")</f>
      </c>
    </row>
    <row r="23" spans="2:5" ht="15.75">
      <c r="B23" s="41" t="s">
        <v>23</v>
      </c>
      <c r="C23" s="417">
        <f>SUM(C8:C21)</f>
        <v>0</v>
      </c>
      <c r="D23" s="417">
        <f>SUM(D8:D21)</f>
        <v>0</v>
      </c>
      <c r="E23" s="42">
        <f>SUM(E8:E21)</f>
        <v>0</v>
      </c>
    </row>
    <row r="24" spans="2:5" ht="15.75">
      <c r="B24" s="43" t="s">
        <v>24</v>
      </c>
      <c r="C24" s="417">
        <f>C23+C6</f>
        <v>0</v>
      </c>
      <c r="D24" s="417">
        <f>D23+D6</f>
        <v>0</v>
      </c>
      <c r="E24" s="42">
        <f>E23+E6</f>
        <v>0</v>
      </c>
    </row>
    <row r="25" spans="2:5" ht="15.75">
      <c r="B25" s="27" t="s">
        <v>25</v>
      </c>
      <c r="C25" s="415"/>
      <c r="D25" s="415"/>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3">
        <f>IF(C24*0.25&lt;C38,"Not Authorized","")</f>
      </c>
      <c r="D39" s="423">
        <f>IF(D24*0.25&lt;D38,"Not Authorized","")</f>
      </c>
      <c r="E39" s="78">
        <f>IF(E24*0.25+E50&lt;E38,"Not Authorized","")</f>
      </c>
      <c r="G39" s="643" t="str">
        <f>CONCATENATE("Projected Carryover Into ",E1+1,"")</f>
        <v>Projected Carryover Into 2013</v>
      </c>
      <c r="H39" s="644"/>
      <c r="I39" s="644"/>
      <c r="J39" s="625"/>
    </row>
    <row r="40" spans="2:10" ht="15.75">
      <c r="B40" s="35" t="s">
        <v>225</v>
      </c>
      <c r="C40" s="29"/>
      <c r="D40" s="29"/>
      <c r="E40" s="46">
        <f>nhood!E8</f>
      </c>
      <c r="G40" s="531"/>
      <c r="H40" s="532"/>
      <c r="I40" s="532"/>
      <c r="J40" s="533"/>
    </row>
    <row r="41" spans="2:10" ht="15.75">
      <c r="B41" s="35" t="s">
        <v>223</v>
      </c>
      <c r="C41" s="29"/>
      <c r="D41" s="29"/>
      <c r="E41" s="34"/>
      <c r="G41" s="534">
        <f>D44</f>
        <v>0</v>
      </c>
      <c r="H41" s="535" t="str">
        <f>CONCATENATE("",E1-1," Ending Cash Balance (est.)")</f>
        <v>2011 Ending Cash Balance (est.)</v>
      </c>
      <c r="I41" s="536"/>
      <c r="J41" s="533"/>
    </row>
    <row r="42" spans="2:10" ht="15.75">
      <c r="B42" s="35" t="s">
        <v>644</v>
      </c>
      <c r="C42" s="412">
        <f>IF(C43*0.1&lt;C41,"Exceed 10% Rule","")</f>
      </c>
      <c r="D42" s="412">
        <f>IF(D43*0.1&lt;D41,"Exceed 10% Rule","")</f>
      </c>
      <c r="E42" s="45">
        <f>IF(E43*0.1&lt;E41,"Exceed 10% Rule","")</f>
      </c>
      <c r="G42" s="534">
        <f>E23</f>
        <v>0</v>
      </c>
      <c r="H42" s="537" t="str">
        <f>CONCATENATE("",E1," Non-AV Receipts (est.)")</f>
        <v>2012 Non-AV Receipts (est.)</v>
      </c>
      <c r="I42" s="537"/>
      <c r="J42" s="533"/>
    </row>
    <row r="43" spans="2:10" ht="15.75">
      <c r="B43" s="43" t="s">
        <v>26</v>
      </c>
      <c r="C43" s="417">
        <f>SUM(C26:C38,C40:C41)</f>
        <v>0</v>
      </c>
      <c r="D43" s="417">
        <f>SUM(D26:D38,D40:D41)</f>
        <v>0</v>
      </c>
      <c r="E43" s="42">
        <f>SUM(E26:E38,E40:E41)</f>
        <v>0</v>
      </c>
      <c r="G43" s="538">
        <f>E50</f>
        <v>0</v>
      </c>
      <c r="H43" s="537" t="str">
        <f>CONCATENATE("",E1," Ad Valorem Tax (est.)")</f>
        <v>2012 Ad Valorem Tax (est.)</v>
      </c>
      <c r="I43" s="537"/>
      <c r="J43" s="533"/>
    </row>
    <row r="44" spans="2:10" ht="15.75">
      <c r="B44" s="27" t="s">
        <v>123</v>
      </c>
      <c r="C44" s="410">
        <f>C24-C43</f>
        <v>0</v>
      </c>
      <c r="D44" s="410">
        <f>D24-D43</f>
        <v>0</v>
      </c>
      <c r="E44" s="33" t="s">
        <v>301</v>
      </c>
      <c r="G44" s="534">
        <f>SUM(G41:G43)</f>
        <v>0</v>
      </c>
      <c r="H44" s="537" t="str">
        <f>CONCATENATE("Total ",E1," Resources Available")</f>
        <v>Total 2012 Resources Available</v>
      </c>
      <c r="I44" s="536"/>
      <c r="J44" s="533"/>
    </row>
    <row r="45" spans="2:10" ht="15.75">
      <c r="B45" s="48" t="str">
        <f>CONCATENATE("",E1-2,"/",E1-1," Budget Authority Amount:")</f>
        <v>2010/2011 Budget Authority Amount:</v>
      </c>
      <c r="C45" s="143">
        <f>inputOth!B48</f>
        <v>0</v>
      </c>
      <c r="D45" s="172">
        <f>inputPrYr!D18</f>
        <v>0</v>
      </c>
      <c r="E45" s="33" t="s">
        <v>301</v>
      </c>
      <c r="F45" s="50"/>
      <c r="G45" s="539"/>
      <c r="H45" s="537"/>
      <c r="I45" s="537"/>
      <c r="J45" s="533"/>
    </row>
    <row r="46" spans="2:10" ht="15.75">
      <c r="B46" s="48"/>
      <c r="C46" s="639" t="s">
        <v>646</v>
      </c>
      <c r="D46" s="640"/>
      <c r="E46" s="34"/>
      <c r="F46" s="530">
        <f>IF(E43/0.95-E43&lt;E46,"Exceeds 5%","")</f>
      </c>
      <c r="G46" s="538">
        <f>C43*0.05+C43</f>
        <v>0</v>
      </c>
      <c r="H46" s="537" t="str">
        <f>CONCATENATE("Less ",E1-2," Expenditures + 5%")</f>
        <v>Less 2010 Expenditures + 5%</v>
      </c>
      <c r="I46" s="536"/>
      <c r="J46" s="533"/>
    </row>
    <row r="47" spans="2:10" ht="15.75">
      <c r="B47" s="433" t="str">
        <f>CONCATENATE(C74,"     ",D74)</f>
        <v>     </v>
      </c>
      <c r="C47" s="641" t="s">
        <v>647</v>
      </c>
      <c r="D47" s="642"/>
      <c r="E47" s="32">
        <f>E43+E46</f>
        <v>0</v>
      </c>
      <c r="G47" s="540">
        <f>G44-G46</f>
        <v>0</v>
      </c>
      <c r="H47" s="541" t="str">
        <f>CONCATENATE("Projected ",E1+1," Carryover (est.)")</f>
        <v>Projected 2013 Carryover (est.)</v>
      </c>
      <c r="I47" s="542"/>
      <c r="J47" s="543"/>
    </row>
    <row r="48" spans="2:5" ht="15.75">
      <c r="B48" s="433" t="str">
        <f>CONCATENATE(C75,"     ",D75)</f>
        <v>     </v>
      </c>
      <c r="C48" s="60"/>
      <c r="D48" s="52" t="s">
        <v>28</v>
      </c>
      <c r="E48" s="46">
        <f>IF(E47-E24&gt;0,E47-E24,0)</f>
        <v>0</v>
      </c>
    </row>
    <row r="49" spans="2:10" ht="15.75">
      <c r="B49" s="52"/>
      <c r="C49" s="437" t="s">
        <v>648</v>
      </c>
      <c r="D49" s="429">
        <f>inputOth!$E$40</f>
        <v>0</v>
      </c>
      <c r="E49" s="32">
        <f>ROUND(IF(D49&gt;0,(E48*D49),0),0)</f>
        <v>0</v>
      </c>
      <c r="G49" s="557">
        <f>IF(inputOth!E7=0,"",ROUND(E50/inputOth!E7*1000,3))</f>
        <v>0</v>
      </c>
      <c r="H49" s="544" t="str">
        <f>CONCATENATE("Projected ",E1-1," Mill Rate (est.)")</f>
        <v>Projected 2011 Mill Rate (est.)</v>
      </c>
      <c r="I49" s="545"/>
      <c r="J49" s="546"/>
    </row>
    <row r="50" spans="2:10" ht="15.75">
      <c r="B50" s="14"/>
      <c r="C50" s="637" t="str">
        <f>CONCATENATE("Amount of  ",$E$1-1," Ad Valorem Tax")</f>
        <v>Amount of  2011 Ad Valorem Tax</v>
      </c>
      <c r="D50" s="638"/>
      <c r="E50" s="46">
        <f>E48+E49</f>
        <v>0</v>
      </c>
      <c r="G50" s="547"/>
      <c r="H50" s="547"/>
      <c r="I50" s="547"/>
      <c r="J50" s="547"/>
    </row>
    <row r="51" spans="2:10" ht="15.75">
      <c r="B51" s="14"/>
      <c r="C51" s="14"/>
      <c r="D51" s="14"/>
      <c r="E51" s="14"/>
      <c r="G51" s="643" t="str">
        <f>CONCATENATE("Desired Carryover Into ",E1+1,"")</f>
        <v>Desired Carryover Into 2013</v>
      </c>
      <c r="H51" s="645"/>
      <c r="I51" s="645"/>
      <c r="J51" s="625"/>
    </row>
    <row r="52" spans="2:10" ht="15.75">
      <c r="B52" s="14"/>
      <c r="C52" s="14"/>
      <c r="D52" s="14"/>
      <c r="E52" s="14"/>
      <c r="G52" s="548"/>
      <c r="H52" s="532"/>
      <c r="I52" s="537"/>
      <c r="J52" s="549"/>
    </row>
    <row r="53" spans="2:10" ht="15.75">
      <c r="B53" s="79" t="s">
        <v>30</v>
      </c>
      <c r="C53" s="81"/>
      <c r="D53" s="14"/>
      <c r="E53" s="14"/>
      <c r="G53" s="550" t="s">
        <v>744</v>
      </c>
      <c r="H53" s="537"/>
      <c r="I53" s="537"/>
      <c r="J53" s="551">
        <v>0</v>
      </c>
    </row>
    <row r="54" spans="2:10" ht="15.75">
      <c r="B54" s="82" t="s">
        <v>31</v>
      </c>
      <c r="C54" s="438" t="str">
        <f>CONCATENATE("",H1-2," Actual Year")</f>
        <v>-2 Actual Year</v>
      </c>
      <c r="D54" s="14"/>
      <c r="E54" s="14"/>
      <c r="G54" s="548" t="s">
        <v>745</v>
      </c>
      <c r="H54" s="532"/>
      <c r="I54" s="532"/>
      <c r="J54" s="552">
        <f>IF(J53=0,"",ROUND((J53+E50-G47)/inputOth!E7*1000,3)-G49)</f>
      </c>
    </row>
    <row r="55" spans="2:10" ht="15.75">
      <c r="B55" s="83" t="s">
        <v>14</v>
      </c>
      <c r="C55" s="577"/>
      <c r="D55" s="14"/>
      <c r="E55" s="14"/>
      <c r="G55" s="553" t="str">
        <f>CONCATENATE("",E1," Total Expenditures Must Be:")</f>
        <v>2012 Total Expenditures Must Be:</v>
      </c>
      <c r="H55" s="554"/>
      <c r="I55" s="555"/>
      <c r="J55" s="556">
        <f>IF((J53&gt;0),(E43+J53-G47),0)</f>
        <v>0</v>
      </c>
    </row>
    <row r="56" spans="2:5" ht="15.75">
      <c r="B56" s="83" t="s">
        <v>33</v>
      </c>
      <c r="C56" s="143"/>
      <c r="D56" s="14"/>
      <c r="E56" s="14"/>
    </row>
    <row r="57" spans="2:5" ht="15.75">
      <c r="B57" s="83" t="s">
        <v>34</v>
      </c>
      <c r="C57" s="436">
        <f>C38</f>
        <v>0</v>
      </c>
      <c r="D57" s="85"/>
      <c r="E57" s="14"/>
    </row>
    <row r="58" spans="2:5" ht="15.75">
      <c r="B58" s="83" t="s">
        <v>258</v>
      </c>
      <c r="C58" s="436">
        <f>gen!C43</f>
        <v>0</v>
      </c>
      <c r="D58" s="661">
        <f>IF(AND(C58&gt;0,C59&gt;0),"Not Auth. Two General Transfers - Only One","")</f>
      </c>
      <c r="E58" s="662"/>
    </row>
    <row r="59" spans="2:5" ht="15.75">
      <c r="B59" s="86" t="s">
        <v>259</v>
      </c>
      <c r="C59" s="436">
        <f>gen!C45</f>
        <v>0</v>
      </c>
      <c r="D59" s="663"/>
      <c r="E59" s="662"/>
    </row>
    <row r="60" spans="2:5" ht="15.75">
      <c r="B60" s="87"/>
      <c r="C60" s="577"/>
      <c r="D60" s="14"/>
      <c r="E60" s="14"/>
    </row>
    <row r="61" spans="2:5" ht="15.75">
      <c r="B61" s="87" t="s">
        <v>22</v>
      </c>
      <c r="C61" s="577"/>
      <c r="D61" s="14"/>
      <c r="E61" s="14"/>
    </row>
    <row r="62" spans="2:5" ht="15.75">
      <c r="B62" s="87" t="s">
        <v>21</v>
      </c>
      <c r="C62" s="577"/>
      <c r="D62" s="14"/>
      <c r="E62" s="14"/>
    </row>
    <row r="63" spans="2:5" ht="15.75">
      <c r="B63" s="88" t="s">
        <v>24</v>
      </c>
      <c r="C63" s="143">
        <f>SUM(C55:C62)</f>
        <v>0</v>
      </c>
      <c r="D63" s="14"/>
      <c r="E63" s="14"/>
    </row>
    <row r="64" spans="2:5" ht="15.75">
      <c r="B64" s="88" t="s">
        <v>26</v>
      </c>
      <c r="C64" s="577"/>
      <c r="D64" s="14"/>
      <c r="E64" s="14"/>
    </row>
    <row r="65" spans="2:5" ht="15.75">
      <c r="B65" s="88" t="s">
        <v>27</v>
      </c>
      <c r="C65" s="435">
        <f>SUM(C63-C64)</f>
        <v>0</v>
      </c>
      <c r="D65" s="14"/>
      <c r="E65" s="14"/>
    </row>
    <row r="66" spans="2:5" ht="15.75">
      <c r="B66" s="14"/>
      <c r="C66" s="14"/>
      <c r="D66" s="14"/>
      <c r="E66" s="14"/>
    </row>
    <row r="67" spans="2:5" ht="15.75">
      <c r="B67" s="52" t="s">
        <v>9</v>
      </c>
      <c r="C67" s="578"/>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Wendell Township</v>
      </c>
      <c r="C1" s="14"/>
      <c r="D1" s="14"/>
      <c r="E1" s="61">
        <f>inputPrYr!$D$5</f>
        <v>2012</v>
      </c>
    </row>
    <row r="2" spans="2:5" ht="15.75">
      <c r="B2" s="14"/>
      <c r="C2" s="14"/>
      <c r="D2" s="14"/>
      <c r="E2" s="52"/>
    </row>
    <row r="3" spans="2:5" ht="15.75">
      <c r="B3" s="17"/>
      <c r="C3" s="62"/>
      <c r="D3" s="62"/>
      <c r="E3" s="63"/>
    </row>
    <row r="4" spans="2:5" ht="15.75">
      <c r="B4" s="580" t="s">
        <v>747</v>
      </c>
      <c r="C4" s="64"/>
      <c r="D4" s="64"/>
      <c r="E4" s="64"/>
    </row>
    <row r="5" spans="2:5" ht="15.75">
      <c r="B5" s="22" t="s">
        <v>10</v>
      </c>
      <c r="C5" s="413" t="s">
        <v>11</v>
      </c>
      <c r="D5" s="416" t="s">
        <v>12</v>
      </c>
      <c r="E5" s="23" t="s">
        <v>13</v>
      </c>
    </row>
    <row r="6" spans="2:5" ht="15.75">
      <c r="B6" s="24" t="s">
        <v>311</v>
      </c>
      <c r="C6" s="414" t="str">
        <f>CONCATENATE("Actual ",$E$1-2,"")</f>
        <v>Actual 2010</v>
      </c>
      <c r="D6" s="414" t="str">
        <f>CONCATENATE("Estimate ",$E$1-1,"")</f>
        <v>Estimate 2011</v>
      </c>
      <c r="E6" s="26" t="str">
        <f>CONCATENATE("Year ",$E$1,"")</f>
        <v>Year 2012</v>
      </c>
    </row>
    <row r="7" spans="2:5" ht="15.75">
      <c r="B7" s="27" t="s">
        <v>147</v>
      </c>
      <c r="C7" s="420"/>
      <c r="D7" s="418">
        <f>C54</f>
        <v>0</v>
      </c>
      <c r="E7" s="65">
        <f>D54</f>
        <v>0</v>
      </c>
    </row>
    <row r="8" spans="2:5" ht="15.75">
      <c r="B8" s="27" t="s">
        <v>124</v>
      </c>
      <c r="C8" s="419"/>
      <c r="D8" s="418"/>
      <c r="E8" s="65"/>
    </row>
    <row r="9" spans="2:5" ht="15.75">
      <c r="B9" s="27" t="s">
        <v>16</v>
      </c>
      <c r="C9" s="29"/>
      <c r="D9" s="419">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0"/>
      <c r="D27" s="420"/>
      <c r="E27" s="66"/>
    </row>
    <row r="28" spans="2:5" ht="15.75">
      <c r="B28" s="39" t="s">
        <v>224</v>
      </c>
      <c r="C28" s="412">
        <f>IF(C29*0.1&lt;C27,"Exceed 10% Rule","")</f>
      </c>
      <c r="D28" s="412">
        <f>IF(D29*0.1&lt;D27,"Exceed 10% Rule","")</f>
      </c>
      <c r="E28" s="45">
        <f>IF(E29*0.1+E60&lt;E27,"Exceed 10% Rule","")</f>
      </c>
    </row>
    <row r="29" spans="2:5" ht="15.75">
      <c r="B29" s="43" t="s">
        <v>23</v>
      </c>
      <c r="C29" s="421">
        <f>SUM(C9:C27)</f>
        <v>0</v>
      </c>
      <c r="D29" s="421">
        <f>SUM(D9:D27)</f>
        <v>0</v>
      </c>
      <c r="E29" s="72">
        <f>SUM(E9:E27)</f>
        <v>0</v>
      </c>
    </row>
    <row r="30" spans="2:5" ht="15.75">
      <c r="B30" s="43" t="s">
        <v>24</v>
      </c>
      <c r="C30" s="421">
        <f>C7+C29</f>
        <v>0</v>
      </c>
      <c r="D30" s="421">
        <f>D7+D29</f>
        <v>0</v>
      </c>
      <c r="E30" s="73">
        <f>E7+E29</f>
        <v>0</v>
      </c>
    </row>
    <row r="31" spans="2:5" ht="15.75">
      <c r="B31" s="74" t="s">
        <v>25</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0"/>
      <c r="D51" s="420"/>
      <c r="E51" s="66"/>
    </row>
    <row r="52" spans="2:9" ht="15.75">
      <c r="B52" s="35" t="s">
        <v>644</v>
      </c>
      <c r="C52" s="412">
        <f>IF(C53*0.1&lt;C51,"Exceed 10% Rule","")</f>
      </c>
      <c r="D52" s="412">
        <f>IF(D53*0.1&lt;D51,"Exceed 10% Rule","")</f>
      </c>
      <c r="E52" s="45">
        <f>IF(E53*0.1&lt;E51,"Exceed 10% Rule","")</f>
      </c>
      <c r="G52" s="664" t="str">
        <f>CONCATENATE("Projected Carryover Into ",E1+1,"")</f>
        <v>Projected Carryover Into 2013</v>
      </c>
      <c r="H52" s="665"/>
      <c r="I52" s="666"/>
    </row>
    <row r="53" spans="2:9" ht="15.75">
      <c r="B53" s="43" t="s">
        <v>26</v>
      </c>
      <c r="C53" s="421">
        <f>SUM(C32:C51)</f>
        <v>0</v>
      </c>
      <c r="D53" s="421">
        <f>SUM(D32:D51)</f>
        <v>0</v>
      </c>
      <c r="E53" s="72">
        <f>SUM(E32:E51)</f>
        <v>0</v>
      </c>
      <c r="G53" s="531"/>
      <c r="H53" s="532"/>
      <c r="I53" s="533"/>
    </row>
    <row r="54" spans="2:9" ht="15.75">
      <c r="B54" s="27" t="s">
        <v>123</v>
      </c>
      <c r="C54" s="422">
        <f>C30-C53</f>
        <v>0</v>
      </c>
      <c r="D54" s="422">
        <f>D30-D53</f>
        <v>0</v>
      </c>
      <c r="E54" s="33" t="s">
        <v>301</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301</v>
      </c>
      <c r="F55" s="50"/>
      <c r="G55" s="558">
        <f>E29</f>
        <v>0</v>
      </c>
      <c r="H55" s="560" t="str">
        <f>CONCATENATE("",E1," Non-AV Receipts (est.)")</f>
        <v>2012 Non-AV Receipts (est.)</v>
      </c>
      <c r="I55" s="533"/>
    </row>
    <row r="56" spans="2:9" ht="15.75">
      <c r="B56" s="48"/>
      <c r="C56" s="639" t="s">
        <v>646</v>
      </c>
      <c r="D56" s="640"/>
      <c r="E56" s="34"/>
      <c r="F56" s="530">
        <f>IF(E53/0.95-E53&lt;E56,"Exceeds 5%","")</f>
      </c>
      <c r="G56" s="561">
        <f>E60</f>
        <v>0</v>
      </c>
      <c r="H56" s="560" t="str">
        <f>CONCATENATE("",E1," Ad Valorem Tax (est.)")</f>
        <v>2012 Ad Valorem Tax (est.)</v>
      </c>
      <c r="I56" s="533"/>
    </row>
    <row r="57" spans="2:9" ht="15.75">
      <c r="B57" s="433" t="str">
        <f>CONCATENATE(C72,"     ",D72)</f>
        <v>     </v>
      </c>
      <c r="C57" s="641" t="s">
        <v>647</v>
      </c>
      <c r="D57" s="642"/>
      <c r="E57" s="32">
        <f>E53+E56</f>
        <v>0</v>
      </c>
      <c r="G57" s="558">
        <f>SUM(G54:G56)</f>
        <v>0</v>
      </c>
      <c r="H57" s="560" t="str">
        <f>CONCATENATE("Total ",E1," Resources Available")</f>
        <v>Total 2012 Resources Available</v>
      </c>
      <c r="I57" s="533"/>
    </row>
    <row r="58" spans="2:9" ht="15.75">
      <c r="B58" s="433" t="str">
        <f>CONCATENATE(C73,"     ",D73)</f>
        <v>     </v>
      </c>
      <c r="C58" s="60"/>
      <c r="D58" s="52" t="s">
        <v>28</v>
      </c>
      <c r="E58" s="46">
        <f>IF(E57-E30&gt;0,E57-E30,0)</f>
        <v>0</v>
      </c>
      <c r="G58" s="562"/>
      <c r="H58" s="560"/>
      <c r="I58" s="533"/>
    </row>
    <row r="59" spans="2:9" ht="15.75">
      <c r="B59" s="52"/>
      <c r="C59" s="437" t="s">
        <v>648</v>
      </c>
      <c r="D59" s="429">
        <f>inputOth!$E$40</f>
        <v>0</v>
      </c>
      <c r="E59" s="32">
        <f>ROUND(IF(D59&gt;0,(E58*D59),0),0)</f>
        <v>0</v>
      </c>
      <c r="G59" s="561">
        <f>C53</f>
        <v>0</v>
      </c>
      <c r="H59" s="560" t="str">
        <f>CONCATENATE("Less ",E1-2," Expenditures")</f>
        <v>Less 2010 Expenditures</v>
      </c>
      <c r="I59" s="533"/>
    </row>
    <row r="60" spans="2:9" ht="15.75">
      <c r="B60" s="14"/>
      <c r="C60" s="637" t="str">
        <f>CONCATENATE("Amount of  ",$E$1-1," Ad Valorem Tax")</f>
        <v>Amount of  2011 Ad Valorem Tax</v>
      </c>
      <c r="D60" s="638"/>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Wendell Township</v>
      </c>
      <c r="C1" s="22" t="s">
        <v>35</v>
      </c>
      <c r="D1" s="14"/>
      <c r="E1" s="15">
        <f>inputPrYr!D5</f>
        <v>2012</v>
      </c>
    </row>
    <row r="2" spans="2:5" ht="15.75">
      <c r="B2" s="17"/>
      <c r="C2" s="14"/>
      <c r="D2" s="14"/>
      <c r="E2" s="89"/>
    </row>
    <row r="3" spans="2:5" ht="15.75">
      <c r="B3" s="580" t="s">
        <v>747</v>
      </c>
      <c r="C3" s="77"/>
      <c r="D3" s="77"/>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39" t="s">
        <v>646</v>
      </c>
      <c r="D35" s="640"/>
      <c r="E35" s="34"/>
      <c r="F35" s="50">
        <f>IF(E32/0.95-E32&lt;E35,"Exceeds 5%","")</f>
      </c>
    </row>
    <row r="36" spans="2:5" ht="15.75">
      <c r="B36" s="433" t="str">
        <f>CONCATENATE(C88,"     ",D88)</f>
        <v>     </v>
      </c>
      <c r="C36" s="641" t="s">
        <v>647</v>
      </c>
      <c r="D36" s="642"/>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37" t="str">
        <f>CONCATENATE("Amount of  ",$E$1-1," Ad Valorem Tax")</f>
        <v>Amount of  2011 Ad Valorem Tax</v>
      </c>
      <c r="D39" s="638"/>
      <c r="E39" s="46">
        <f>E37+E38</f>
        <v>0</v>
      </c>
    </row>
    <row r="40" spans="2:5" ht="15.75">
      <c r="B40" s="22" t="s">
        <v>10</v>
      </c>
      <c r="C40" s="77"/>
      <c r="D40" s="77"/>
      <c r="E40" s="77"/>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39" t="s">
        <v>646</v>
      </c>
      <c r="D72" s="640"/>
      <c r="E72" s="34"/>
      <c r="F72" s="50">
        <f>IF(E69/0.95-E69&lt;E72,"Exceeds 5%","")</f>
      </c>
    </row>
    <row r="73" spans="2:5" ht="15.75">
      <c r="B73" s="433" t="str">
        <f>CONCATENATE(C90,"     ",D90)</f>
        <v>     </v>
      </c>
      <c r="C73" s="641" t="s">
        <v>647</v>
      </c>
      <c r="D73" s="642"/>
      <c r="E73" s="32">
        <f>E69+E72</f>
        <v>0</v>
      </c>
    </row>
    <row r="74" spans="2:5" ht="15.75">
      <c r="B74" s="433" t="str">
        <f>CONCATENATE(C91,"     ",D91)</f>
        <v>     </v>
      </c>
      <c r="C74" s="60"/>
      <c r="D74" s="52" t="s">
        <v>28</v>
      </c>
      <c r="E74" s="46">
        <f>IF(E73-E58&gt;0,E73-E58,0)</f>
        <v>0</v>
      </c>
    </row>
    <row r="75" spans="2:5" ht="15.75">
      <c r="B75" s="52"/>
      <c r="C75" s="437" t="s">
        <v>648</v>
      </c>
      <c r="D75" s="429">
        <f>inputOth!$E$40</f>
        <v>0</v>
      </c>
      <c r="E75" s="32">
        <f>ROUND(IF(D75&gt;0,(E74*D75),0),0)</f>
        <v>0</v>
      </c>
    </row>
    <row r="76" spans="2:5" ht="15.75">
      <c r="B76" s="14"/>
      <c r="C76" s="637" t="str">
        <f>CONCATENATE("Amount of  ",$E$1-1," Ad Valorem Tax")</f>
        <v>Amount of  2011 Ad Valorem Tax</v>
      </c>
      <c r="D76" s="638"/>
      <c r="E76" s="46">
        <f>E74+E75</f>
        <v>0</v>
      </c>
    </row>
    <row r="77" spans="2:5" ht="15.75">
      <c r="B77" s="52" t="s">
        <v>9</v>
      </c>
      <c r="C77" s="57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Wendell Township</v>
      </c>
      <c r="C1" s="14"/>
      <c r="D1" s="14"/>
      <c r="E1" s="15">
        <f>inputPrYr!D5</f>
        <v>2012</v>
      </c>
    </row>
    <row r="2" spans="2:5" ht="15.75">
      <c r="B2" s="17"/>
      <c r="C2" s="14"/>
      <c r="D2" s="62"/>
      <c r="E2" s="93"/>
    </row>
    <row r="3" spans="2:5" ht="15.75">
      <c r="B3" s="580" t="s">
        <v>747</v>
      </c>
      <c r="C3" s="77"/>
      <c r="D3" s="77"/>
      <c r="E3" s="77"/>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39" t="s">
        <v>646</v>
      </c>
      <c r="D35" s="640"/>
      <c r="E35" s="34"/>
      <c r="F35" s="50">
        <f>IF(E32/0.95-E32&lt;E35,"Exceeds 5%","")</f>
      </c>
    </row>
    <row r="36" spans="2:5" ht="15.75">
      <c r="B36" s="433" t="str">
        <f>CONCATENATE(C88,"     ",D88)</f>
        <v>     </v>
      </c>
      <c r="C36" s="641" t="s">
        <v>647</v>
      </c>
      <c r="D36" s="642"/>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37" t="str">
        <f>CONCATENATE("Amount of  ",$E$1-1," Ad Valorem Tax")</f>
        <v>Amount of  2011 Ad Valorem Tax</v>
      </c>
      <c r="D39" s="638"/>
      <c r="E39" s="46">
        <f>E37+E38</f>
        <v>0</v>
      </c>
    </row>
    <row r="40" spans="2:5" ht="15.75">
      <c r="B40" s="22" t="s">
        <v>10</v>
      </c>
      <c r="C40" s="77"/>
      <c r="D40" s="77"/>
      <c r="E40" s="77"/>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39" t="s">
        <v>646</v>
      </c>
      <c r="D72" s="640"/>
      <c r="E72" s="579"/>
      <c r="F72" s="50">
        <f>IF(E69/0.95-E69&lt;E72,"Exceeds 5%","")</f>
      </c>
    </row>
    <row r="73" spans="2:6" ht="15.75">
      <c r="B73" s="433" t="str">
        <f>CONCATENATE(C90,"     ",D90)</f>
        <v>     </v>
      </c>
      <c r="C73" s="641" t="s">
        <v>647</v>
      </c>
      <c r="D73" s="642"/>
      <c r="E73" s="32">
        <f>E69+E72</f>
        <v>0</v>
      </c>
      <c r="F73" s="50"/>
    </row>
    <row r="74" spans="2:5" ht="15.75">
      <c r="B74" s="433" t="str">
        <f>CONCATENATE(C91,"     ",D91)</f>
        <v>     </v>
      </c>
      <c r="C74" s="60"/>
      <c r="D74" s="52" t="s">
        <v>28</v>
      </c>
      <c r="E74" s="46">
        <f>IF(E73-E58&gt;0,E73-E58,0)</f>
        <v>0</v>
      </c>
    </row>
    <row r="75" spans="2:5" ht="15.75">
      <c r="B75" s="52"/>
      <c r="C75" s="437" t="s">
        <v>648</v>
      </c>
      <c r="D75" s="429">
        <f>inputOth!$E$40</f>
        <v>0</v>
      </c>
      <c r="E75" s="32">
        <f>ROUND(IF(D75&gt;0,(E74*D75),0),0)</f>
        <v>0</v>
      </c>
    </row>
    <row r="76" spans="2:5" ht="15.75">
      <c r="B76" s="14"/>
      <c r="C76" s="637" t="str">
        <f>CONCATENATE("Amount of  ",$E$1-1," Ad Valorem Tax")</f>
        <v>Amount of  2011 Ad Valorem Tax</v>
      </c>
      <c r="D76" s="638"/>
      <c r="E76" s="46">
        <f>E74+E75</f>
        <v>0</v>
      </c>
    </row>
    <row r="77" spans="2:5" ht="15.75">
      <c r="B77" s="52" t="s">
        <v>9</v>
      </c>
      <c r="C77" s="57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Wendell Township</v>
      </c>
      <c r="C1" s="14"/>
      <c r="D1" s="14"/>
      <c r="E1" s="15">
        <f>inputPrYr!D5</f>
        <v>2012</v>
      </c>
    </row>
    <row r="2" spans="2:5" ht="15.75">
      <c r="B2" s="17"/>
      <c r="C2" s="14"/>
      <c r="D2" s="62"/>
      <c r="E2" s="63"/>
    </row>
    <row r="3" spans="2:5" ht="15.75">
      <c r="B3" s="580" t="s">
        <v>747</v>
      </c>
      <c r="C3" s="77"/>
      <c r="D3" s="77"/>
      <c r="E3" s="77"/>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39" t="s">
        <v>646</v>
      </c>
      <c r="D35" s="640"/>
      <c r="E35" s="34"/>
      <c r="F35" s="50">
        <f>IF(E32/0.95-E32&lt;E35,"Exceeds 5%","")</f>
      </c>
    </row>
    <row r="36" spans="2:5" ht="15.75">
      <c r="B36" s="433" t="str">
        <f>CONCATENATE(C88,"     ",D88)</f>
        <v>     </v>
      </c>
      <c r="C36" s="641" t="s">
        <v>647</v>
      </c>
      <c r="D36" s="642"/>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37" t="str">
        <f>CONCATENATE("Amount of  ",$E$1-1," Ad Valorem Tax")</f>
        <v>Amount of  2011 Ad Valorem Tax</v>
      </c>
      <c r="D39" s="638"/>
      <c r="E39" s="46">
        <f>E37+E38</f>
        <v>0</v>
      </c>
    </row>
    <row r="40" spans="2:5" ht="15.75">
      <c r="B40" s="22" t="s">
        <v>10</v>
      </c>
      <c r="C40" s="77"/>
      <c r="D40" s="77"/>
      <c r="E40" s="77"/>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39" t="s">
        <v>646</v>
      </c>
      <c r="D72" s="640"/>
      <c r="E72" s="34"/>
      <c r="F72" s="50">
        <f>IF(E69/0.95-E69&lt;E72,"Exceeds 5%","")</f>
      </c>
    </row>
    <row r="73" spans="2:5" ht="15.75">
      <c r="B73" s="48"/>
      <c r="C73" s="641" t="s">
        <v>647</v>
      </c>
      <c r="D73" s="642"/>
      <c r="E73" s="32">
        <f>E69+E72</f>
        <v>0</v>
      </c>
    </row>
    <row r="74" spans="2:5" ht="15.75">
      <c r="B74" s="48"/>
      <c r="C74" s="60"/>
      <c r="D74" s="52" t="s">
        <v>28</v>
      </c>
      <c r="E74" s="46">
        <f>IF(E73-E58&gt;0,E73-E58,0)</f>
        <v>0</v>
      </c>
    </row>
    <row r="75" spans="2:5" ht="15.75">
      <c r="B75" s="52"/>
      <c r="C75" s="437" t="s">
        <v>648</v>
      </c>
      <c r="D75" s="429">
        <f>inputOth!$E$40</f>
        <v>0</v>
      </c>
      <c r="E75" s="32">
        <f>ROUND(IF(D75&gt;0,(E74*D75),0),0)</f>
        <v>0</v>
      </c>
    </row>
    <row r="76" spans="2:5" ht="15.75">
      <c r="B76" s="14"/>
      <c r="C76" s="637" t="str">
        <f>CONCATENATE("Amount of  ",$E$1-1," Ad Valorem Tax")</f>
        <v>Amount of  2011 Ad Valorem Tax</v>
      </c>
      <c r="D76" s="638"/>
      <c r="E76" s="46">
        <f>E74+E75</f>
        <v>0</v>
      </c>
    </row>
    <row r="77" spans="2:5" ht="15.75">
      <c r="B77" s="52" t="s">
        <v>9</v>
      </c>
      <c r="C77" s="57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588" t="s">
        <v>806</v>
      </c>
      <c r="E2" s="19"/>
    </row>
    <row r="3" spans="1:5" ht="15.75">
      <c r="A3" s="79" t="s">
        <v>236</v>
      </c>
      <c r="B3" s="14"/>
      <c r="C3" s="14"/>
      <c r="D3" s="589" t="s">
        <v>807</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00" t="s">
        <v>162</v>
      </c>
      <c r="B10" s="601"/>
      <c r="C10" s="601"/>
      <c r="D10" s="601"/>
      <c r="E10" s="601"/>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90804</v>
      </c>
      <c r="E16" s="200">
        <v>42451</v>
      </c>
    </row>
    <row r="17" spans="1:5" ht="15.75">
      <c r="A17" s="14"/>
      <c r="B17" s="83" t="s">
        <v>311</v>
      </c>
      <c r="C17" s="172" t="s">
        <v>156</v>
      </c>
      <c r="D17" s="200"/>
      <c r="E17" s="200"/>
    </row>
    <row r="18" spans="1:5" ht="15.75">
      <c r="A18" s="14"/>
      <c r="B18" s="83" t="s">
        <v>286</v>
      </c>
      <c r="C18" s="192" t="s">
        <v>326</v>
      </c>
      <c r="D18" s="200"/>
      <c r="E18" s="200"/>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42451</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90804</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98" t="str">
        <f>CONCATENATE("",D5-3," Tax Rate                    (",D5-2," Column)")</f>
        <v>2009 Tax Rate                    (2010 Column)</v>
      </c>
      <c r="E39" s="14"/>
    </row>
    <row r="40" spans="1:5" ht="15.75">
      <c r="A40" s="335" t="str">
        <f>CONCATENATE("the ",D5-1," Budget, Budget Summary Page:")</f>
        <v>the 2011 Budget, Budget Summary Page:</v>
      </c>
      <c r="B40" s="307"/>
      <c r="C40" s="14"/>
      <c r="D40" s="599"/>
      <c r="E40" s="14"/>
    </row>
    <row r="41" spans="1:5" ht="15.75">
      <c r="A41" s="14"/>
      <c r="B41" s="96" t="str">
        <f aca="true" t="shared" si="0" ref="B41:B49">B16</f>
        <v>General</v>
      </c>
      <c r="C41" s="14"/>
      <c r="D41" s="347">
        <v>32.709</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32.709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41817</v>
      </c>
    </row>
    <row r="53" spans="1:5" ht="15.75">
      <c r="A53" s="353" t="str">
        <f>CONCATENATE("Assessed Valuation (",D5-2," budget column)")</f>
        <v>Assessed Valuation (2010 budget column)</v>
      </c>
      <c r="B53" s="354"/>
      <c r="C53" s="291"/>
      <c r="D53" s="28"/>
      <c r="E53" s="200">
        <v>1278483</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v>0</v>
      </c>
      <c r="E57" s="36">
        <v>0</v>
      </c>
    </row>
    <row r="58" spans="1:5" ht="15.75">
      <c r="A58" s="354" t="s">
        <v>172</v>
      </c>
      <c r="B58" s="354"/>
      <c r="C58" s="357"/>
      <c r="D58" s="36">
        <v>0</v>
      </c>
      <c r="E58" s="36">
        <v>0</v>
      </c>
    </row>
    <row r="59" spans="1:5" ht="15.75">
      <c r="A59" s="354" t="s">
        <v>173</v>
      </c>
      <c r="B59" s="354"/>
      <c r="C59" s="357"/>
      <c r="D59" s="36">
        <v>56467</v>
      </c>
      <c r="E59" s="36">
        <v>37759</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Wendell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4">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5">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Wendell Township</v>
      </c>
      <c r="B1" s="14"/>
      <c r="C1" s="14"/>
      <c r="D1" s="14"/>
      <c r="E1" s="14"/>
      <c r="F1" s="14">
        <f>inputPrYr!D5</f>
        <v>2012</v>
      </c>
    </row>
    <row r="2" spans="1:6" ht="15.75">
      <c r="A2" s="14"/>
      <c r="B2" s="14"/>
      <c r="C2" s="14"/>
      <c r="D2" s="14"/>
      <c r="E2" s="14"/>
      <c r="F2" s="14"/>
    </row>
    <row r="3" spans="1:6" ht="15.75">
      <c r="A3" s="14"/>
      <c r="B3" s="613" t="str">
        <f>CONCATENATE("",F1," Neighborhood Revitalization Rebate")</f>
        <v>2012 Neighborhood Revitalization Rebate</v>
      </c>
      <c r="C3" s="621"/>
      <c r="D3" s="621"/>
      <c r="E3" s="621"/>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69" t="str">
        <f>CONCATENATE("",F1-1," July 1 Valuation:")</f>
        <v>2011 July 1 Valuation:</v>
      </c>
      <c r="B18" s="668"/>
      <c r="C18" s="669"/>
      <c r="D18" s="147">
        <f>inputOth!E7</f>
        <v>1360444</v>
      </c>
      <c r="E18" s="14"/>
      <c r="F18" s="140"/>
    </row>
    <row r="19" spans="1:6" ht="15.75">
      <c r="A19" s="14"/>
      <c r="B19" s="14"/>
      <c r="C19" s="14"/>
      <c r="D19" s="14"/>
      <c r="E19" s="14"/>
      <c r="F19" s="140"/>
    </row>
    <row r="20" spans="1:6" ht="15.75">
      <c r="A20" s="14"/>
      <c r="B20" s="669" t="s">
        <v>378</v>
      </c>
      <c r="C20" s="669"/>
      <c r="D20" s="148">
        <f>IF(D18&gt;0,(D18*0.001),"")</f>
        <v>1360.444</v>
      </c>
      <c r="E20" s="14"/>
      <c r="F20" s="140"/>
    </row>
    <row r="21" spans="1:6" ht="15.75">
      <c r="A21" s="14"/>
      <c r="B21" s="48"/>
      <c r="C21" s="48"/>
      <c r="D21" s="149"/>
      <c r="E21" s="14"/>
      <c r="F21" s="140"/>
    </row>
    <row r="22" spans="1:6" ht="15.75">
      <c r="A22" s="667" t="s">
        <v>380</v>
      </c>
      <c r="B22" s="612"/>
      <c r="C22" s="612"/>
      <c r="D22" s="150">
        <f>inputOth!E13</f>
        <v>0</v>
      </c>
      <c r="E22" s="151"/>
      <c r="F22" s="151"/>
    </row>
    <row r="23" spans="1:6" ht="15.75">
      <c r="A23" s="151"/>
      <c r="B23" s="151"/>
      <c r="C23" s="151"/>
      <c r="D23" s="152"/>
      <c r="E23" s="151"/>
      <c r="F23" s="151"/>
    </row>
    <row r="24" spans="1:6" ht="15.75">
      <c r="A24" s="151"/>
      <c r="B24" s="667" t="s">
        <v>381</v>
      </c>
      <c r="C24" s="66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626</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Wendell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70">
        <f>inputPrYr!B33</f>
        <v>0</v>
      </c>
      <c r="B5" s="671"/>
      <c r="C5" s="670">
        <f>inputPrYr!B34</f>
        <v>0</v>
      </c>
      <c r="D5" s="671"/>
      <c r="E5" s="670">
        <f>inputPrYr!B35</f>
        <v>0</v>
      </c>
      <c r="F5" s="671"/>
      <c r="G5" s="672">
        <f>inputPrYr!B36</f>
        <v>0</v>
      </c>
      <c r="H5" s="671"/>
      <c r="I5" s="672">
        <f>inputPrYr!B37</f>
        <v>0</v>
      </c>
      <c r="J5" s="671"/>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29"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0" t="s">
        <v>740</v>
      </c>
    </row>
    <row r="4" ht="17.25" customHeight="1">
      <c r="A4" s="430"/>
    </row>
    <row r="5" ht="15.75">
      <c r="A5" s="91"/>
    </row>
    <row r="6" ht="52.5" customHeight="1">
      <c r="A6" s="176" t="s">
        <v>371</v>
      </c>
    </row>
    <row r="7" ht="15.75">
      <c r="A7" s="91"/>
    </row>
    <row r="8" ht="15.75">
      <c r="A8" s="91"/>
    </row>
    <row r="9" ht="70.5" customHeight="1">
      <c r="A9" s="176" t="s">
        <v>372</v>
      </c>
    </row>
    <row r="10" ht="15.75">
      <c r="A10" s="177"/>
    </row>
    <row r="11" ht="15.75">
      <c r="A11" s="177"/>
    </row>
    <row r="12" ht="63">
      <c r="A12" s="529" t="s">
        <v>741</v>
      </c>
    </row>
    <row r="13" ht="15.75">
      <c r="A13" s="177"/>
    </row>
    <row r="14" ht="15.75">
      <c r="A14" s="177"/>
    </row>
    <row r="15" ht="63">
      <c r="A15" s="529"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5"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2" t="str">
        <f>CONCATENATE("Well, let's look to see if any of your ",inputPrYr!D5-1," expenditures can")</f>
        <v>Well, let's look to see if any of your 2011 expenditures can</v>
      </c>
      <c r="B33" s="379"/>
      <c r="C33" s="379"/>
      <c r="D33" s="379"/>
      <c r="E33" s="379"/>
      <c r="F33" s="379"/>
    </row>
    <row r="34" spans="1:6" ht="15.75">
      <c r="A34" s="392" t="s">
        <v>523</v>
      </c>
      <c r="B34" s="379"/>
      <c r="C34" s="379"/>
      <c r="D34" s="379"/>
      <c r="E34" s="379"/>
      <c r="F34" s="379"/>
    </row>
    <row r="35" spans="1:6" ht="15.75">
      <c r="A35" s="392" t="s">
        <v>409</v>
      </c>
      <c r="B35" s="379"/>
      <c r="C35" s="379"/>
      <c r="D35" s="379"/>
      <c r="E35" s="379"/>
      <c r="F35" s="379"/>
    </row>
    <row r="36" spans="1:6" ht="15.75">
      <c r="A36" s="392" t="s">
        <v>410</v>
      </c>
      <c r="B36" s="379"/>
      <c r="C36" s="379"/>
      <c r="D36" s="379"/>
      <c r="E36" s="379"/>
      <c r="F36" s="379"/>
    </row>
    <row r="37" spans="1:6" ht="15.75">
      <c r="A37" s="392"/>
      <c r="B37" s="379"/>
      <c r="C37" s="379"/>
      <c r="D37" s="379"/>
      <c r="E37" s="379"/>
      <c r="F37" s="379"/>
    </row>
    <row r="38" spans="1:6" ht="15.75">
      <c r="A38" s="392" t="str">
        <f>CONCATENATE("Additionally, do your ",inputPrYr!D5-1," receipts contain a reimbursement")</f>
        <v>Additionally, do your 2011 receipts contain a reimbursement</v>
      </c>
      <c r="B38" s="379"/>
      <c r="C38" s="379"/>
      <c r="D38" s="379"/>
      <c r="E38" s="379"/>
      <c r="F38" s="379"/>
    </row>
    <row r="39" spans="1:6" ht="15.75">
      <c r="A39" s="392" t="s">
        <v>411</v>
      </c>
      <c r="B39" s="379"/>
      <c r="C39" s="379"/>
      <c r="D39" s="379"/>
      <c r="E39" s="379"/>
      <c r="F39" s="379"/>
    </row>
    <row r="40" spans="1:6" ht="15.75">
      <c r="A40" s="392" t="s">
        <v>412</v>
      </c>
      <c r="B40" s="379"/>
      <c r="C40" s="379"/>
      <c r="D40" s="379"/>
      <c r="E40" s="379"/>
      <c r="F40" s="379"/>
    </row>
    <row r="41" spans="1:6" ht="15.75">
      <c r="A41" s="392"/>
      <c r="B41" s="379"/>
      <c r="C41" s="379"/>
      <c r="D41" s="379"/>
      <c r="E41" s="379"/>
      <c r="F41" s="379"/>
    </row>
    <row r="42" spans="1:6" ht="15.75">
      <c r="A42" s="392" t="s">
        <v>413</v>
      </c>
      <c r="B42" s="379"/>
      <c r="C42" s="379"/>
      <c r="D42" s="379"/>
      <c r="E42" s="379"/>
      <c r="F42" s="379"/>
    </row>
    <row r="43" spans="1:6" ht="15.75">
      <c r="A43" s="392" t="s">
        <v>599</v>
      </c>
      <c r="B43" s="379"/>
      <c r="C43" s="379"/>
      <c r="D43" s="379"/>
      <c r="E43" s="379"/>
      <c r="F43" s="379"/>
    </row>
    <row r="44" spans="1:6" ht="15.75">
      <c r="A44" s="392" t="s">
        <v>600</v>
      </c>
      <c r="B44" s="379"/>
      <c r="C44" s="379"/>
      <c r="D44" s="379"/>
      <c r="E44" s="379"/>
      <c r="F44" s="379"/>
    </row>
    <row r="45" spans="1:6" ht="15.75">
      <c r="A45" s="392" t="s">
        <v>524</v>
      </c>
      <c r="B45" s="379"/>
      <c r="C45" s="379"/>
      <c r="D45" s="379"/>
      <c r="E45" s="379"/>
      <c r="F45" s="379"/>
    </row>
    <row r="46" spans="1:6" ht="15.75">
      <c r="A46" s="392" t="s">
        <v>415</v>
      </c>
      <c r="B46" s="379"/>
      <c r="C46" s="379"/>
      <c r="D46" s="379"/>
      <c r="E46" s="379"/>
      <c r="F46" s="379"/>
    </row>
    <row r="47" spans="1:6" ht="15.75">
      <c r="A47" s="392" t="s">
        <v>525</v>
      </c>
      <c r="B47" s="379"/>
      <c r="C47" s="379"/>
      <c r="D47" s="379"/>
      <c r="E47" s="379"/>
      <c r="F47" s="379"/>
    </row>
    <row r="48" spans="1:6" ht="15.75">
      <c r="A48" s="392" t="s">
        <v>526</v>
      </c>
      <c r="B48" s="379"/>
      <c r="C48" s="379"/>
      <c r="D48" s="379"/>
      <c r="E48" s="379"/>
      <c r="F48" s="379"/>
    </row>
    <row r="49" spans="1:6" ht="15.75">
      <c r="A49" s="392" t="s">
        <v>418</v>
      </c>
      <c r="B49" s="379"/>
      <c r="C49" s="379"/>
      <c r="D49" s="379"/>
      <c r="E49" s="379"/>
      <c r="F49" s="379"/>
    </row>
    <row r="50" spans="1:6" ht="15.75">
      <c r="A50" s="392"/>
      <c r="B50" s="379"/>
      <c r="C50" s="379"/>
      <c r="D50" s="379"/>
      <c r="E50" s="379"/>
      <c r="F50" s="379"/>
    </row>
    <row r="51" spans="1:6" ht="15.75">
      <c r="A51" s="392" t="s">
        <v>419</v>
      </c>
      <c r="B51" s="379"/>
      <c r="C51" s="379"/>
      <c r="D51" s="379"/>
      <c r="E51" s="379"/>
      <c r="F51" s="379"/>
    </row>
    <row r="52" spans="1:6" ht="15.75">
      <c r="A52" s="392" t="s">
        <v>420</v>
      </c>
      <c r="B52" s="379"/>
      <c r="C52" s="379"/>
      <c r="D52" s="379"/>
      <c r="E52" s="379"/>
      <c r="F52" s="379"/>
    </row>
    <row r="53" spans="1:6" ht="15.75">
      <c r="A53" s="392" t="s">
        <v>421</v>
      </c>
      <c r="B53" s="379"/>
      <c r="C53" s="379"/>
      <c r="D53" s="379"/>
      <c r="E53" s="379"/>
      <c r="F53" s="379"/>
    </row>
    <row r="54" spans="1:6" ht="15.75">
      <c r="A54" s="392"/>
      <c r="B54" s="379"/>
      <c r="C54" s="379"/>
      <c r="D54" s="379"/>
      <c r="E54" s="379"/>
      <c r="F54" s="379"/>
    </row>
    <row r="55" spans="1:6" ht="15.75">
      <c r="A55" s="392" t="s">
        <v>527</v>
      </c>
      <c r="B55" s="379"/>
      <c r="C55" s="379"/>
      <c r="D55" s="379"/>
      <c r="E55" s="379"/>
      <c r="F55" s="379"/>
    </row>
    <row r="56" spans="1:6" ht="15.75">
      <c r="A56" s="392" t="s">
        <v>528</v>
      </c>
      <c r="B56" s="379"/>
      <c r="C56" s="379"/>
      <c r="D56" s="379"/>
      <c r="E56" s="379"/>
      <c r="F56" s="379"/>
    </row>
    <row r="57" spans="1:6" ht="15.75">
      <c r="A57" s="392" t="s">
        <v>529</v>
      </c>
      <c r="B57" s="379"/>
      <c r="C57" s="379"/>
      <c r="D57" s="379"/>
      <c r="E57" s="379"/>
      <c r="F57" s="379"/>
    </row>
    <row r="58" spans="1:6" ht="15.75">
      <c r="A58" s="392" t="s">
        <v>530</v>
      </c>
      <c r="B58" s="379"/>
      <c r="C58" s="379"/>
      <c r="D58" s="379"/>
      <c r="E58" s="379"/>
      <c r="F58" s="379"/>
    </row>
    <row r="59" spans="1:6" ht="15.75">
      <c r="A59" s="392" t="s">
        <v>531</v>
      </c>
      <c r="B59" s="379"/>
      <c r="C59" s="379"/>
      <c r="D59" s="379"/>
      <c r="E59" s="379"/>
      <c r="F59" s="379"/>
    </row>
    <row r="60" spans="1:6" ht="15.75">
      <c r="A60" s="392"/>
      <c r="B60" s="379"/>
      <c r="C60" s="379"/>
      <c r="D60" s="379"/>
      <c r="E60" s="379"/>
      <c r="F60" s="379"/>
    </row>
    <row r="61" spans="1:6" ht="15.75">
      <c r="A61" s="393" t="s">
        <v>532</v>
      </c>
      <c r="B61" s="379"/>
      <c r="C61" s="379"/>
      <c r="D61" s="379"/>
      <c r="E61" s="379"/>
      <c r="F61" s="379"/>
    </row>
    <row r="62" spans="1:6" ht="15.75">
      <c r="A62" s="393" t="s">
        <v>533</v>
      </c>
      <c r="B62" s="379"/>
      <c r="C62" s="379"/>
      <c r="D62" s="379"/>
      <c r="E62" s="379"/>
      <c r="F62" s="379"/>
    </row>
    <row r="63" spans="1:6" ht="15.75">
      <c r="A63" s="393" t="s">
        <v>534</v>
      </c>
      <c r="B63" s="379"/>
      <c r="C63" s="379"/>
      <c r="D63" s="379"/>
      <c r="E63" s="379"/>
      <c r="F63" s="379"/>
    </row>
    <row r="64" ht="15.75">
      <c r="A64" s="393" t="s">
        <v>535</v>
      </c>
    </row>
    <row r="65" ht="15.75">
      <c r="A65" s="393" t="s">
        <v>536</v>
      </c>
    </row>
    <row r="66" ht="15.75">
      <c r="A66" s="393"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2" t="str">
        <f>CONCATENATE("So, let's look to see if any of your ",inputPrYr!D5-1," expenditures can")</f>
        <v>So, let's look to see if any of your 2011 expenditures can</v>
      </c>
      <c r="B41" s="379"/>
      <c r="C41" s="379"/>
      <c r="D41" s="379"/>
      <c r="E41" s="379"/>
      <c r="F41" s="379"/>
    </row>
    <row r="42" spans="1:6" ht="15.75">
      <c r="A42" s="392" t="s">
        <v>523</v>
      </c>
      <c r="B42" s="379"/>
      <c r="C42" s="379"/>
      <c r="D42" s="379"/>
      <c r="E42" s="379"/>
      <c r="F42" s="379"/>
    </row>
    <row r="43" spans="1:6" ht="15.75">
      <c r="A43" s="392" t="s">
        <v>409</v>
      </c>
      <c r="B43" s="379"/>
      <c r="C43" s="379"/>
      <c r="D43" s="379"/>
      <c r="E43" s="379"/>
      <c r="F43" s="379"/>
    </row>
    <row r="44" spans="1:6" ht="15.75">
      <c r="A44" s="392" t="s">
        <v>410</v>
      </c>
      <c r="B44" s="379"/>
      <c r="C44" s="379"/>
      <c r="D44" s="379"/>
      <c r="E44" s="379"/>
      <c r="F44" s="379"/>
    </row>
    <row r="45" ht="15.75">
      <c r="A45" s="379"/>
    </row>
    <row r="46" spans="1:6" ht="15.75">
      <c r="A46" s="392" t="str">
        <f>CONCATENATE("Additionally, do your ",inputPrYr!D5-1," receipts contain a reimbursement")</f>
        <v>Additionally, do your 2011 receipts contain a reimbursement</v>
      </c>
      <c r="B46" s="379"/>
      <c r="C46" s="379"/>
      <c r="D46" s="379"/>
      <c r="E46" s="379"/>
      <c r="F46" s="379"/>
    </row>
    <row r="47" spans="1:6" ht="15.75">
      <c r="A47" s="392" t="s">
        <v>411</v>
      </c>
      <c r="B47" s="379"/>
      <c r="C47" s="379"/>
      <c r="D47" s="379"/>
      <c r="E47" s="379"/>
      <c r="F47" s="379"/>
    </row>
    <row r="48" spans="1:6" ht="15.75">
      <c r="A48" s="392"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2" t="s">
        <v>419</v>
      </c>
      <c r="B56" s="379"/>
      <c r="C56" s="379"/>
      <c r="D56" s="379"/>
      <c r="E56" s="379"/>
      <c r="F56" s="379"/>
    </row>
    <row r="57" spans="1:6" ht="15.75">
      <c r="A57" s="392" t="s">
        <v>420</v>
      </c>
      <c r="B57" s="379"/>
      <c r="C57" s="379"/>
      <c r="D57" s="379"/>
      <c r="E57" s="379"/>
      <c r="F57" s="379"/>
    </row>
    <row r="58" spans="1:6" ht="15.75">
      <c r="A58" s="392" t="s">
        <v>421</v>
      </c>
      <c r="B58" s="379"/>
      <c r="C58" s="379"/>
      <c r="D58" s="379"/>
      <c r="E58" s="379"/>
      <c r="F58" s="379"/>
    </row>
    <row r="59" spans="1:6" ht="15.75">
      <c r="A59" s="392"/>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2" t="s">
        <v>527</v>
      </c>
      <c r="B66" s="379"/>
      <c r="C66" s="379"/>
      <c r="D66" s="379"/>
      <c r="E66" s="379"/>
      <c r="F66" s="379"/>
    </row>
    <row r="67" spans="1:6" ht="15.75">
      <c r="A67" s="392" t="s">
        <v>528</v>
      </c>
      <c r="B67" s="379"/>
      <c r="C67" s="379"/>
      <c r="D67" s="379"/>
      <c r="E67" s="379"/>
      <c r="F67" s="379"/>
    </row>
    <row r="68" spans="1:6" ht="15.75">
      <c r="A68" s="392" t="s">
        <v>529</v>
      </c>
      <c r="B68" s="379"/>
      <c r="C68" s="379"/>
      <c r="D68" s="379"/>
      <c r="E68" s="379"/>
      <c r="F68" s="379"/>
    </row>
    <row r="69" spans="1:6" ht="15.75">
      <c r="A69" s="392" t="s">
        <v>530</v>
      </c>
      <c r="B69" s="379"/>
      <c r="C69" s="379"/>
      <c r="D69" s="379"/>
      <c r="E69" s="379"/>
      <c r="F69" s="379"/>
    </row>
    <row r="70" spans="1:6" ht="15.75">
      <c r="A70" s="392"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5"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6" t="s">
        <v>572</v>
      </c>
      <c r="B17" s="374"/>
      <c r="C17" s="374"/>
      <c r="D17" s="374"/>
      <c r="E17" s="374"/>
      <c r="F17" s="374"/>
      <c r="G17" s="374"/>
      <c r="H17" s="374"/>
    </row>
    <row r="18" spans="1:7" ht="15.75">
      <c r="A18" s="379" t="s">
        <v>573</v>
      </c>
      <c r="B18" s="397"/>
      <c r="C18" s="397"/>
      <c r="D18" s="397"/>
      <c r="E18" s="397"/>
      <c r="F18" s="397"/>
      <c r="G18" s="397"/>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6">
      <selection activeCell="B46" sqref="B4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Wendell Township</v>
      </c>
      <c r="B1" s="101"/>
      <c r="C1" s="101"/>
      <c r="D1" s="101"/>
      <c r="E1" s="101">
        <f>inputPrYr!D5</f>
        <v>2012</v>
      </c>
    </row>
    <row r="2" spans="1:5" ht="15.75">
      <c r="A2" s="99" t="str">
        <f>inputPrYr!D3</f>
        <v>Thomas County</v>
      </c>
      <c r="B2" s="101"/>
      <c r="C2" s="101"/>
      <c r="D2" s="101"/>
      <c r="E2" s="101"/>
    </row>
    <row r="3" spans="1:5" ht="15.75">
      <c r="A3" s="101"/>
      <c r="B3" s="101"/>
      <c r="C3" s="101"/>
      <c r="D3" s="101"/>
      <c r="E3" s="101"/>
    </row>
    <row r="4" spans="1:5" ht="15.75">
      <c r="A4" s="600" t="s">
        <v>162</v>
      </c>
      <c r="B4" s="601"/>
      <c r="C4" s="601"/>
      <c r="D4" s="601"/>
      <c r="E4" s="601"/>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1360444</v>
      </c>
    </row>
    <row r="8" spans="1:5" ht="15.75">
      <c r="A8" s="22" t="str">
        <f>CONCATENATE("New Improvements for ",E1-1,"")</f>
        <v>New Improvements for 2011</v>
      </c>
      <c r="B8" s="19"/>
      <c r="C8" s="19"/>
      <c r="D8" s="19"/>
      <c r="E8" s="309">
        <v>30827</v>
      </c>
    </row>
    <row r="9" spans="1:5" ht="15.75">
      <c r="A9" s="22" t="str">
        <f>CONCATENATE("Personal Property excluding oil, gas, and mobile homes - ",E1-1,"")</f>
        <v>Personal Property excluding oil, gas, and mobile homes - 2011</v>
      </c>
      <c r="B9" s="19"/>
      <c r="C9" s="19"/>
      <c r="D9" s="19"/>
      <c r="E9" s="309">
        <v>40130</v>
      </c>
    </row>
    <row r="10" spans="1:5" ht="15.75">
      <c r="A10" s="22" t="str">
        <f>CONCATENATE("Property that has changed in use for ",E1-1,"")</f>
        <v>Property that has changed in use for 2011</v>
      </c>
      <c r="B10" s="19"/>
      <c r="C10" s="19"/>
      <c r="D10" s="19"/>
      <c r="E10" s="309">
        <v>250</v>
      </c>
    </row>
    <row r="11" spans="1:5" ht="15.75">
      <c r="A11" s="22" t="str">
        <f>CONCATENATE("Personal Property excluding oil, gas, and mobile homes- ",E1-2,"")</f>
        <v>Personal Property excluding oil, gas, and mobile homes- 2010</v>
      </c>
      <c r="B11" s="19"/>
      <c r="C11" s="19"/>
      <c r="D11" s="19"/>
      <c r="E11" s="309">
        <v>38158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2" t="s">
        <v>297</v>
      </c>
      <c r="B16" s="603"/>
      <c r="C16" s="101"/>
      <c r="D16" s="313" t="s">
        <v>3</v>
      </c>
      <c r="E16" s="312"/>
    </row>
    <row r="17" spans="1:5" ht="15.75">
      <c r="A17" s="82" t="str">
        <f>inputPrYr!B16</f>
        <v>General</v>
      </c>
      <c r="B17" s="20"/>
      <c r="C17" s="19"/>
      <c r="D17" s="314">
        <v>32.438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32.438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1308665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2672</v>
      </c>
    </row>
    <row r="32" spans="1:5" ht="15.75">
      <c r="A32" s="322" t="s">
        <v>288</v>
      </c>
      <c r="B32" s="291"/>
      <c r="C32" s="291"/>
      <c r="D32" s="31"/>
      <c r="E32" s="34">
        <v>88</v>
      </c>
    </row>
    <row r="33" spans="1:5" ht="15.75">
      <c r="A33" s="322" t="s">
        <v>164</v>
      </c>
      <c r="B33" s="291"/>
      <c r="C33" s="291"/>
      <c r="D33" s="31"/>
      <c r="E33" s="34">
        <v>801</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0.011</v>
      </c>
    </row>
    <row r="40" spans="1:5" ht="15.75">
      <c r="A40" s="300" t="s">
        <v>169</v>
      </c>
      <c r="B40" s="300"/>
      <c r="C40" s="19"/>
      <c r="D40" s="19"/>
      <c r="E40" s="428"/>
    </row>
    <row r="41" spans="1:5" ht="15.75">
      <c r="A41" s="323" t="s">
        <v>170</v>
      </c>
      <c r="B41" s="323"/>
      <c r="C41" s="324"/>
      <c r="D41" s="324"/>
      <c r="E41" s="325"/>
    </row>
    <row r="42" spans="1:5" ht="15.75">
      <c r="A42" s="151"/>
      <c r="B42" s="151"/>
      <c r="C42" s="151"/>
      <c r="D42" s="151"/>
      <c r="E42" s="151"/>
    </row>
    <row r="43" spans="1:5" ht="15.75">
      <c r="A43" s="604" t="str">
        <f>CONCATENATE("From the ",E1-2," Budget Certificate Page")</f>
        <v>From the 2010 Budget Certificate Page</v>
      </c>
      <c r="B43" s="605"/>
      <c r="C43" s="151"/>
      <c r="D43" s="151"/>
      <c r="E43" s="151"/>
    </row>
    <row r="44" spans="1:5" ht="15.75">
      <c r="A44" s="326"/>
      <c r="B44" s="326" t="str">
        <f>CONCATENATE("",E1-2," Expenditure Amounts")</f>
        <v>2010 Expenditure Amounts</v>
      </c>
      <c r="C44" s="606" t="str">
        <f>CONCATENATE("Note: If the ",E1-2," budget was amended, then the")</f>
        <v>Note: If the 2010 budget was amended, then the</v>
      </c>
      <c r="D44" s="607"/>
      <c r="E44" s="607"/>
    </row>
    <row r="45" spans="1:5" ht="15.75">
      <c r="A45" s="327" t="s">
        <v>218</v>
      </c>
      <c r="B45" s="327" t="s">
        <v>219</v>
      </c>
      <c r="C45" s="328" t="s">
        <v>220</v>
      </c>
      <c r="D45" s="329"/>
      <c r="E45" s="329"/>
    </row>
    <row r="46" spans="1:5" ht="15.75">
      <c r="A46" s="330" t="str">
        <f>inputPrYr!B16</f>
        <v>General</v>
      </c>
      <c r="B46" s="36">
        <v>92561</v>
      </c>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7">
      <selection activeCell="B50" sqref="B50"/>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73" t="s">
        <v>650</v>
      </c>
      <c r="C6" s="674"/>
      <c r="D6" s="674"/>
      <c r="E6" s="674"/>
      <c r="F6" s="674"/>
      <c r="G6" s="674"/>
      <c r="H6" s="674"/>
      <c r="I6" s="674"/>
      <c r="J6" s="674"/>
      <c r="K6" s="674"/>
      <c r="L6" s="443"/>
    </row>
    <row r="7" spans="1:12" ht="40.5" customHeight="1">
      <c r="A7" s="440"/>
      <c r="B7" s="675" t="s">
        <v>651</v>
      </c>
      <c r="C7" s="676"/>
      <c r="D7" s="676"/>
      <c r="E7" s="676"/>
      <c r="F7" s="676"/>
      <c r="G7" s="676"/>
      <c r="H7" s="676"/>
      <c r="I7" s="676"/>
      <c r="J7" s="676"/>
      <c r="K7" s="676"/>
      <c r="L7" s="440"/>
    </row>
    <row r="8" spans="1:12" ht="14.25">
      <c r="A8" s="440"/>
      <c r="B8" s="677" t="s">
        <v>652</v>
      </c>
      <c r="C8" s="677"/>
      <c r="D8" s="677"/>
      <c r="E8" s="677"/>
      <c r="F8" s="677"/>
      <c r="G8" s="677"/>
      <c r="H8" s="677"/>
      <c r="I8" s="677"/>
      <c r="J8" s="677"/>
      <c r="K8" s="677"/>
      <c r="L8" s="440"/>
    </row>
    <row r="9" spans="1:12" ht="14.25">
      <c r="A9" s="440"/>
      <c r="L9" s="440"/>
    </row>
    <row r="10" spans="1:12" ht="14.25">
      <c r="A10" s="440"/>
      <c r="B10" s="677" t="s">
        <v>653</v>
      </c>
      <c r="C10" s="677"/>
      <c r="D10" s="677"/>
      <c r="E10" s="677"/>
      <c r="F10" s="677"/>
      <c r="G10" s="677"/>
      <c r="H10" s="677"/>
      <c r="I10" s="677"/>
      <c r="J10" s="677"/>
      <c r="K10" s="677"/>
      <c r="L10" s="440"/>
    </row>
    <row r="11" spans="1:12" ht="14.25">
      <c r="A11" s="440"/>
      <c r="B11" s="444"/>
      <c r="C11" s="444"/>
      <c r="D11" s="444"/>
      <c r="E11" s="444"/>
      <c r="F11" s="444"/>
      <c r="G11" s="444"/>
      <c r="H11" s="444"/>
      <c r="I11" s="444"/>
      <c r="J11" s="444"/>
      <c r="K11" s="444"/>
      <c r="L11" s="440"/>
    </row>
    <row r="12" spans="1:12" ht="32.25" customHeight="1">
      <c r="A12" s="440"/>
      <c r="B12" s="678" t="s">
        <v>654</v>
      </c>
      <c r="C12" s="678"/>
      <c r="D12" s="678"/>
      <c r="E12" s="678"/>
      <c r="F12" s="678"/>
      <c r="G12" s="678"/>
      <c r="H12" s="678"/>
      <c r="I12" s="678"/>
      <c r="J12" s="678"/>
      <c r="K12" s="678"/>
      <c r="L12" s="440"/>
    </row>
    <row r="13" spans="1:12" ht="14.25">
      <c r="A13" s="440"/>
      <c r="L13" s="440"/>
    </row>
    <row r="14" spans="1:12" ht="14.25">
      <c r="A14" s="440"/>
      <c r="B14" s="445" t="s">
        <v>655</v>
      </c>
      <c r="L14" s="440"/>
    </row>
    <row r="15" spans="1:12" ht="14.25">
      <c r="A15" s="440"/>
      <c r="L15" s="440"/>
    </row>
    <row r="16" spans="1:12" ht="14.25">
      <c r="A16" s="440"/>
      <c r="B16" s="442" t="s">
        <v>656</v>
      </c>
      <c r="L16" s="440"/>
    </row>
    <row r="17" spans="1:12" ht="14.25">
      <c r="A17" s="440"/>
      <c r="B17" s="442" t="s">
        <v>657</v>
      </c>
      <c r="L17" s="440"/>
    </row>
    <row r="18" spans="1:12" ht="14.25">
      <c r="A18" s="440"/>
      <c r="L18" s="440"/>
    </row>
    <row r="19" spans="1:12" ht="14.25">
      <c r="A19" s="440"/>
      <c r="B19" s="445" t="s">
        <v>658</v>
      </c>
      <c r="L19" s="440"/>
    </row>
    <row r="20" spans="1:12" ht="14.25">
      <c r="A20" s="440"/>
      <c r="B20" s="445"/>
      <c r="L20" s="440"/>
    </row>
    <row r="21" spans="1:12" ht="14.25">
      <c r="A21" s="440"/>
      <c r="B21" s="442" t="s">
        <v>659</v>
      </c>
      <c r="L21" s="440"/>
    </row>
    <row r="22" spans="1:12" ht="14.25">
      <c r="A22" s="440"/>
      <c r="L22" s="440"/>
    </row>
    <row r="23" spans="1:12" ht="14.25">
      <c r="A23" s="440"/>
      <c r="B23" s="442" t="s">
        <v>660</v>
      </c>
      <c r="E23" s="442" t="s">
        <v>661</v>
      </c>
      <c r="F23" s="679">
        <v>133685008</v>
      </c>
      <c r="G23" s="679"/>
      <c r="L23" s="440"/>
    </row>
    <row r="24" spans="1:12" ht="14.25">
      <c r="A24" s="440"/>
      <c r="L24" s="440"/>
    </row>
    <row r="25" spans="1:12" ht="14.25">
      <c r="A25" s="440"/>
      <c r="C25" s="680">
        <f>F23</f>
        <v>133685008</v>
      </c>
      <c r="D25" s="680"/>
      <c r="E25" s="442" t="s">
        <v>662</v>
      </c>
      <c r="F25" s="446">
        <v>1000</v>
      </c>
      <c r="G25" s="446" t="s">
        <v>661</v>
      </c>
      <c r="H25" s="447">
        <f>F23/F25</f>
        <v>133685.008</v>
      </c>
      <c r="L25" s="440"/>
    </row>
    <row r="26" spans="1:12" ht="15" thickBot="1">
      <c r="A26" s="440"/>
      <c r="L26" s="440"/>
    </row>
    <row r="27" spans="1:12" ht="14.25">
      <c r="A27" s="440"/>
      <c r="B27" s="448" t="s">
        <v>655</v>
      </c>
      <c r="C27" s="449"/>
      <c r="D27" s="449"/>
      <c r="E27" s="449"/>
      <c r="F27" s="449"/>
      <c r="G27" s="449"/>
      <c r="H27" s="449"/>
      <c r="I27" s="449"/>
      <c r="J27" s="449"/>
      <c r="K27" s="450"/>
      <c r="L27" s="440"/>
    </row>
    <row r="28" spans="1:12" ht="14.25">
      <c r="A28" s="440"/>
      <c r="B28" s="451">
        <f>F23</f>
        <v>133685008</v>
      </c>
      <c r="C28" s="452" t="s">
        <v>663</v>
      </c>
      <c r="D28" s="452"/>
      <c r="E28" s="452" t="s">
        <v>662</v>
      </c>
      <c r="F28" s="453">
        <v>1000</v>
      </c>
      <c r="G28" s="453" t="s">
        <v>661</v>
      </c>
      <c r="H28" s="454">
        <f>B28/F28</f>
        <v>133685.008</v>
      </c>
      <c r="I28" s="452" t="s">
        <v>664</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81" t="s">
        <v>651</v>
      </c>
      <c r="C30" s="681"/>
      <c r="D30" s="681"/>
      <c r="E30" s="681"/>
      <c r="F30" s="681"/>
      <c r="G30" s="681"/>
      <c r="H30" s="681"/>
      <c r="I30" s="681"/>
      <c r="J30" s="681"/>
      <c r="K30" s="681"/>
      <c r="L30" s="440"/>
    </row>
    <row r="31" spans="1:12" ht="14.25">
      <c r="A31" s="440"/>
      <c r="B31" s="677" t="s">
        <v>665</v>
      </c>
      <c r="C31" s="677"/>
      <c r="D31" s="677"/>
      <c r="E31" s="677"/>
      <c r="F31" s="677"/>
      <c r="G31" s="677"/>
      <c r="H31" s="677"/>
      <c r="I31" s="677"/>
      <c r="J31" s="677"/>
      <c r="K31" s="677"/>
      <c r="L31" s="440"/>
    </row>
    <row r="32" spans="1:12" ht="14.25">
      <c r="A32" s="440"/>
      <c r="L32" s="440"/>
    </row>
    <row r="33" spans="1:12" ht="14.25">
      <c r="A33" s="440"/>
      <c r="B33" s="677" t="s">
        <v>666</v>
      </c>
      <c r="C33" s="677"/>
      <c r="D33" s="677"/>
      <c r="E33" s="677"/>
      <c r="F33" s="677"/>
      <c r="G33" s="677"/>
      <c r="H33" s="677"/>
      <c r="I33" s="677"/>
      <c r="J33" s="677"/>
      <c r="K33" s="677"/>
      <c r="L33" s="440"/>
    </row>
    <row r="34" spans="1:12" ht="14.25">
      <c r="A34" s="440"/>
      <c r="L34" s="440"/>
    </row>
    <row r="35" spans="1:12" ht="89.25" customHeight="1">
      <c r="A35" s="440"/>
      <c r="B35" s="678" t="s">
        <v>667</v>
      </c>
      <c r="C35" s="682"/>
      <c r="D35" s="682"/>
      <c r="E35" s="682"/>
      <c r="F35" s="682"/>
      <c r="G35" s="682"/>
      <c r="H35" s="682"/>
      <c r="I35" s="682"/>
      <c r="J35" s="682"/>
      <c r="K35" s="682"/>
      <c r="L35" s="440"/>
    </row>
    <row r="36" spans="1:12" ht="14.25">
      <c r="A36" s="440"/>
      <c r="L36" s="440"/>
    </row>
    <row r="37" spans="1:12" ht="14.25">
      <c r="A37" s="440"/>
      <c r="B37" s="445" t="s">
        <v>668</v>
      </c>
      <c r="L37" s="440"/>
    </row>
    <row r="38" spans="1:12" ht="14.25">
      <c r="A38" s="440"/>
      <c r="L38" s="440"/>
    </row>
    <row r="39" spans="1:12" ht="14.25">
      <c r="A39" s="440"/>
      <c r="B39" s="442" t="s">
        <v>669</v>
      </c>
      <c r="L39" s="440"/>
    </row>
    <row r="40" spans="1:12" ht="14.25">
      <c r="A40" s="440"/>
      <c r="L40" s="440"/>
    </row>
    <row r="41" spans="1:12" ht="14.25">
      <c r="A41" s="440"/>
      <c r="C41" s="683">
        <v>3120000</v>
      </c>
      <c r="D41" s="683"/>
      <c r="E41" s="442" t="s">
        <v>662</v>
      </c>
      <c r="F41" s="446">
        <v>1000</v>
      </c>
      <c r="G41" s="446" t="s">
        <v>661</v>
      </c>
      <c r="H41" s="459">
        <f>C41/F41</f>
        <v>3120</v>
      </c>
      <c r="L41" s="440"/>
    </row>
    <row r="42" spans="1:12" ht="14.25">
      <c r="A42" s="440"/>
      <c r="L42" s="440"/>
    </row>
    <row r="43" spans="1:12" ht="14.25">
      <c r="A43" s="440"/>
      <c r="B43" s="442" t="s">
        <v>670</v>
      </c>
      <c r="L43" s="440"/>
    </row>
    <row r="44" spans="1:12" ht="14.25">
      <c r="A44" s="440"/>
      <c r="L44" s="440"/>
    </row>
    <row r="45" spans="1:12" ht="14.25">
      <c r="A45" s="440"/>
      <c r="B45" s="442" t="s">
        <v>671</v>
      </c>
      <c r="L45" s="440"/>
    </row>
    <row r="46" spans="1:12" ht="15" thickBot="1">
      <c r="A46" s="440"/>
      <c r="L46" s="440"/>
    </row>
    <row r="47" spans="1:12" ht="14.25">
      <c r="A47" s="440"/>
      <c r="B47" s="460" t="s">
        <v>655</v>
      </c>
      <c r="C47" s="449"/>
      <c r="D47" s="449"/>
      <c r="E47" s="449"/>
      <c r="F47" s="449"/>
      <c r="G47" s="449"/>
      <c r="H47" s="449"/>
      <c r="I47" s="449"/>
      <c r="J47" s="449"/>
      <c r="K47" s="450"/>
      <c r="L47" s="440"/>
    </row>
    <row r="48" spans="1:12" ht="14.25">
      <c r="A48" s="440"/>
      <c r="B48" s="679">
        <v>133685008</v>
      </c>
      <c r="C48" s="679"/>
      <c r="D48" s="452" t="s">
        <v>672</v>
      </c>
      <c r="E48" s="452" t="s">
        <v>662</v>
      </c>
      <c r="F48" s="453">
        <v>1000</v>
      </c>
      <c r="G48" s="453" t="s">
        <v>661</v>
      </c>
      <c r="H48" s="454">
        <f>B48/F48</f>
        <v>133685.008</v>
      </c>
      <c r="I48" s="452" t="s">
        <v>673</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674</v>
      </c>
      <c r="D50" s="452"/>
      <c r="E50" s="452" t="s">
        <v>662</v>
      </c>
      <c r="F50" s="454">
        <f>H48</f>
        <v>133685.008</v>
      </c>
      <c r="G50" s="684" t="s">
        <v>675</v>
      </c>
      <c r="H50" s="685"/>
      <c r="I50" s="453" t="s">
        <v>661</v>
      </c>
      <c r="J50" s="463">
        <f>B50/F50</f>
        <v>52.8690023342034</v>
      </c>
      <c r="K50" s="455"/>
      <c r="L50" s="440"/>
    </row>
    <row r="51" spans="1:15" ht="15" thickBot="1">
      <c r="A51" s="440"/>
      <c r="B51" s="456"/>
      <c r="C51" s="457"/>
      <c r="D51" s="457"/>
      <c r="E51" s="457"/>
      <c r="F51" s="457"/>
      <c r="G51" s="457"/>
      <c r="H51" s="457"/>
      <c r="I51" s="686" t="s">
        <v>676</v>
      </c>
      <c r="J51" s="686"/>
      <c r="K51" s="687"/>
      <c r="L51" s="440"/>
      <c r="O51" s="464"/>
    </row>
    <row r="52" spans="1:12" ht="40.5" customHeight="1">
      <c r="A52" s="440"/>
      <c r="B52" s="681" t="s">
        <v>651</v>
      </c>
      <c r="C52" s="681"/>
      <c r="D52" s="681"/>
      <c r="E52" s="681"/>
      <c r="F52" s="681"/>
      <c r="G52" s="681"/>
      <c r="H52" s="681"/>
      <c r="I52" s="681"/>
      <c r="J52" s="681"/>
      <c r="K52" s="681"/>
      <c r="L52" s="440"/>
    </row>
    <row r="53" spans="1:12" ht="14.25">
      <c r="A53" s="440"/>
      <c r="B53" s="677" t="s">
        <v>677</v>
      </c>
      <c r="C53" s="677"/>
      <c r="D53" s="677"/>
      <c r="E53" s="677"/>
      <c r="F53" s="677"/>
      <c r="G53" s="677"/>
      <c r="H53" s="677"/>
      <c r="I53" s="677"/>
      <c r="J53" s="677"/>
      <c r="K53" s="677"/>
      <c r="L53" s="440"/>
    </row>
    <row r="54" spans="1:12" ht="14.25">
      <c r="A54" s="440"/>
      <c r="B54" s="444"/>
      <c r="C54" s="444"/>
      <c r="D54" s="444"/>
      <c r="E54" s="444"/>
      <c r="F54" s="444"/>
      <c r="G54" s="444"/>
      <c r="H54" s="444"/>
      <c r="I54" s="444"/>
      <c r="J54" s="444"/>
      <c r="K54" s="444"/>
      <c r="L54" s="440"/>
    </row>
    <row r="55" spans="1:12" ht="14.25">
      <c r="A55" s="440"/>
      <c r="B55" s="673" t="s">
        <v>678</v>
      </c>
      <c r="C55" s="673"/>
      <c r="D55" s="673"/>
      <c r="E55" s="673"/>
      <c r="F55" s="673"/>
      <c r="G55" s="673"/>
      <c r="H55" s="673"/>
      <c r="I55" s="673"/>
      <c r="J55" s="673"/>
      <c r="K55" s="673"/>
      <c r="L55" s="440"/>
    </row>
    <row r="56" spans="1:12" ht="15" customHeight="1">
      <c r="A56" s="440"/>
      <c r="L56" s="440"/>
    </row>
    <row r="57" spans="1:24" ht="74.25" customHeight="1">
      <c r="A57" s="440"/>
      <c r="B57" s="678" t="s">
        <v>679</v>
      </c>
      <c r="C57" s="682"/>
      <c r="D57" s="682"/>
      <c r="E57" s="682"/>
      <c r="F57" s="682"/>
      <c r="G57" s="682"/>
      <c r="H57" s="682"/>
      <c r="I57" s="682"/>
      <c r="J57" s="682"/>
      <c r="K57" s="682"/>
      <c r="L57" s="440"/>
      <c r="M57" s="465"/>
      <c r="N57" s="466"/>
      <c r="O57" s="466"/>
      <c r="P57" s="466"/>
      <c r="Q57" s="466"/>
      <c r="R57" s="466"/>
      <c r="S57" s="466"/>
      <c r="T57" s="466"/>
      <c r="U57" s="466"/>
      <c r="V57" s="466"/>
      <c r="W57" s="466"/>
      <c r="X57" s="466"/>
    </row>
    <row r="58" spans="1:24" ht="15" customHeight="1">
      <c r="A58" s="440"/>
      <c r="B58" s="678"/>
      <c r="C58" s="682"/>
      <c r="D58" s="682"/>
      <c r="E58" s="682"/>
      <c r="F58" s="682"/>
      <c r="G58" s="682"/>
      <c r="H58" s="682"/>
      <c r="I58" s="682"/>
      <c r="J58" s="682"/>
      <c r="K58" s="682"/>
      <c r="L58" s="440"/>
      <c r="M58" s="465"/>
      <c r="N58" s="466"/>
      <c r="O58" s="466"/>
      <c r="P58" s="466"/>
      <c r="Q58" s="466"/>
      <c r="R58" s="466"/>
      <c r="S58" s="466"/>
      <c r="T58" s="466"/>
      <c r="U58" s="466"/>
      <c r="V58" s="466"/>
      <c r="W58" s="466"/>
      <c r="X58" s="466"/>
    </row>
    <row r="59" spans="1:24" ht="14.25">
      <c r="A59" s="440"/>
      <c r="B59" s="445" t="s">
        <v>668</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680</v>
      </c>
      <c r="L61" s="440"/>
      <c r="M61" s="466"/>
      <c r="N61" s="466"/>
      <c r="O61" s="466"/>
      <c r="P61" s="466"/>
      <c r="Q61" s="466"/>
      <c r="R61" s="466"/>
      <c r="S61" s="466"/>
      <c r="T61" s="466"/>
      <c r="U61" s="466"/>
      <c r="V61" s="466"/>
      <c r="W61" s="466"/>
      <c r="X61" s="466"/>
    </row>
    <row r="62" spans="1:24" ht="14.25">
      <c r="A62" s="440"/>
      <c r="B62" s="442" t="s">
        <v>681</v>
      </c>
      <c r="L62" s="440"/>
      <c r="M62" s="466"/>
      <c r="N62" s="466"/>
      <c r="O62" s="466"/>
      <c r="P62" s="466"/>
      <c r="Q62" s="466"/>
      <c r="R62" s="466"/>
      <c r="S62" s="466"/>
      <c r="T62" s="466"/>
      <c r="U62" s="466"/>
      <c r="V62" s="466"/>
      <c r="W62" s="466"/>
      <c r="X62" s="466"/>
    </row>
    <row r="63" spans="1:24" ht="14.25">
      <c r="A63" s="440"/>
      <c r="B63" s="442" t="s">
        <v>682</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683</v>
      </c>
      <c r="L65" s="440"/>
      <c r="M65" s="466"/>
      <c r="N65" s="466"/>
      <c r="O65" s="466"/>
      <c r="P65" s="466"/>
      <c r="Q65" s="466"/>
      <c r="R65" s="466"/>
      <c r="S65" s="466"/>
      <c r="T65" s="466"/>
      <c r="U65" s="466"/>
      <c r="V65" s="466"/>
      <c r="W65" s="466"/>
      <c r="X65" s="466"/>
    </row>
    <row r="66" spans="1:24" ht="14.25">
      <c r="A66" s="440"/>
      <c r="B66" s="442" t="s">
        <v>684</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685</v>
      </c>
      <c r="L68" s="440"/>
      <c r="M68" s="467"/>
      <c r="N68" s="468"/>
      <c r="O68" s="468"/>
      <c r="P68" s="468"/>
      <c r="Q68" s="468"/>
      <c r="R68" s="468"/>
      <c r="S68" s="468"/>
      <c r="T68" s="468"/>
      <c r="U68" s="468"/>
      <c r="V68" s="468"/>
      <c r="W68" s="468"/>
      <c r="X68" s="466"/>
    </row>
    <row r="69" spans="1:24" ht="14.25">
      <c r="A69" s="440"/>
      <c r="B69" s="442" t="s">
        <v>686</v>
      </c>
      <c r="L69" s="440"/>
      <c r="M69" s="466"/>
      <c r="N69" s="466"/>
      <c r="O69" s="466"/>
      <c r="P69" s="466"/>
      <c r="Q69" s="466"/>
      <c r="R69" s="466"/>
      <c r="S69" s="466"/>
      <c r="T69" s="466"/>
      <c r="U69" s="466"/>
      <c r="V69" s="466"/>
      <c r="W69" s="466"/>
      <c r="X69" s="466"/>
    </row>
    <row r="70" spans="1:24" ht="14.25">
      <c r="A70" s="440"/>
      <c r="B70" s="442" t="s">
        <v>687</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655</v>
      </c>
      <c r="C72" s="449"/>
      <c r="D72" s="449"/>
      <c r="E72" s="449"/>
      <c r="F72" s="449"/>
      <c r="G72" s="449"/>
      <c r="H72" s="449"/>
      <c r="I72" s="449"/>
      <c r="J72" s="449"/>
      <c r="K72" s="450"/>
      <c r="L72" s="469"/>
    </row>
    <row r="73" spans="1:12" ht="14.25">
      <c r="A73" s="440"/>
      <c r="B73" s="461"/>
      <c r="C73" s="452" t="s">
        <v>663</v>
      </c>
      <c r="D73" s="452"/>
      <c r="E73" s="452"/>
      <c r="F73" s="452"/>
      <c r="G73" s="452"/>
      <c r="H73" s="452"/>
      <c r="I73" s="452"/>
      <c r="J73" s="452"/>
      <c r="K73" s="455"/>
      <c r="L73" s="469"/>
    </row>
    <row r="74" spans="1:12" ht="14.25">
      <c r="A74" s="440"/>
      <c r="B74" s="461" t="s">
        <v>688</v>
      </c>
      <c r="C74" s="679">
        <v>133685008</v>
      </c>
      <c r="D74" s="679"/>
      <c r="E74" s="453" t="s">
        <v>662</v>
      </c>
      <c r="F74" s="453">
        <v>1000</v>
      </c>
      <c r="G74" s="453" t="s">
        <v>661</v>
      </c>
      <c r="H74" s="470">
        <f>C74/F74</f>
        <v>133685.008</v>
      </c>
      <c r="I74" s="452" t="s">
        <v>689</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690</v>
      </c>
      <c r="D76" s="452"/>
      <c r="E76" s="453"/>
      <c r="F76" s="452" t="s">
        <v>689</v>
      </c>
      <c r="G76" s="452"/>
      <c r="H76" s="452"/>
      <c r="I76" s="452"/>
      <c r="J76" s="452"/>
      <c r="K76" s="455"/>
      <c r="L76" s="469"/>
    </row>
    <row r="77" spans="1:12" ht="14.25">
      <c r="A77" s="440"/>
      <c r="B77" s="461" t="s">
        <v>691</v>
      </c>
      <c r="C77" s="679">
        <v>5000</v>
      </c>
      <c r="D77" s="679"/>
      <c r="E77" s="453" t="s">
        <v>662</v>
      </c>
      <c r="F77" s="470">
        <f>H74</f>
        <v>133685.008</v>
      </c>
      <c r="G77" s="453" t="s">
        <v>661</v>
      </c>
      <c r="H77" s="463">
        <f>C77/F77</f>
        <v>0.03740135169083432</v>
      </c>
      <c r="I77" s="452" t="s">
        <v>692</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693</v>
      </c>
      <c r="D79" s="472"/>
      <c r="E79" s="473"/>
      <c r="F79" s="472"/>
      <c r="G79" s="472"/>
      <c r="H79" s="472"/>
      <c r="I79" s="472"/>
      <c r="J79" s="472"/>
      <c r="K79" s="474"/>
      <c r="L79" s="469"/>
    </row>
    <row r="80" spans="1:12" ht="14.25">
      <c r="A80" s="440"/>
      <c r="B80" s="461" t="s">
        <v>694</v>
      </c>
      <c r="C80" s="679">
        <v>100000</v>
      </c>
      <c r="D80" s="679"/>
      <c r="E80" s="453" t="s">
        <v>301</v>
      </c>
      <c r="F80" s="453">
        <v>0.115</v>
      </c>
      <c r="G80" s="453" t="s">
        <v>661</v>
      </c>
      <c r="H80" s="470">
        <f>C80*F80</f>
        <v>11500</v>
      </c>
      <c r="I80" s="452" t="s">
        <v>695</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696</v>
      </c>
      <c r="D82" s="472"/>
      <c r="E82" s="473"/>
      <c r="F82" s="472" t="s">
        <v>692</v>
      </c>
      <c r="G82" s="472"/>
      <c r="H82" s="472"/>
      <c r="I82" s="472"/>
      <c r="J82" s="472" t="s">
        <v>697</v>
      </c>
      <c r="K82" s="474"/>
      <c r="L82" s="469"/>
    </row>
    <row r="83" spans="1:12" ht="14.25">
      <c r="A83" s="440"/>
      <c r="B83" s="461" t="s">
        <v>698</v>
      </c>
      <c r="C83" s="688">
        <f>H80</f>
        <v>11500</v>
      </c>
      <c r="D83" s="688"/>
      <c r="E83" s="453" t="s">
        <v>301</v>
      </c>
      <c r="F83" s="463">
        <f>H77</f>
        <v>0.03740135169083432</v>
      </c>
      <c r="G83" s="453" t="s">
        <v>662</v>
      </c>
      <c r="H83" s="453">
        <v>1000</v>
      </c>
      <c r="I83" s="453" t="s">
        <v>661</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81" t="s">
        <v>651</v>
      </c>
      <c r="C85" s="681"/>
      <c r="D85" s="681"/>
      <c r="E85" s="681"/>
      <c r="F85" s="681"/>
      <c r="G85" s="681"/>
      <c r="H85" s="681"/>
      <c r="I85" s="681"/>
      <c r="J85" s="681"/>
      <c r="K85" s="681"/>
      <c r="L85" s="440"/>
    </row>
    <row r="86" spans="1:12" ht="14.25">
      <c r="A86" s="440"/>
      <c r="B86" s="673" t="s">
        <v>699</v>
      </c>
      <c r="C86" s="673"/>
      <c r="D86" s="673"/>
      <c r="E86" s="673"/>
      <c r="F86" s="673"/>
      <c r="G86" s="673"/>
      <c r="H86" s="673"/>
      <c r="I86" s="673"/>
      <c r="J86" s="673"/>
      <c r="K86" s="673"/>
      <c r="L86" s="440"/>
    </row>
    <row r="87" spans="1:12" ht="14.25">
      <c r="A87" s="440"/>
      <c r="B87" s="480"/>
      <c r="C87" s="480"/>
      <c r="D87" s="480"/>
      <c r="E87" s="480"/>
      <c r="F87" s="480"/>
      <c r="G87" s="480"/>
      <c r="H87" s="480"/>
      <c r="I87" s="480"/>
      <c r="J87" s="480"/>
      <c r="K87" s="480"/>
      <c r="L87" s="440"/>
    </row>
    <row r="88" spans="1:12" ht="14.25">
      <c r="A88" s="440"/>
      <c r="B88" s="673" t="s">
        <v>700</v>
      </c>
      <c r="C88" s="673"/>
      <c r="D88" s="673"/>
      <c r="E88" s="673"/>
      <c r="F88" s="673"/>
      <c r="G88" s="673"/>
      <c r="H88" s="673"/>
      <c r="I88" s="673"/>
      <c r="J88" s="673"/>
      <c r="K88" s="673"/>
      <c r="L88" s="440"/>
    </row>
    <row r="89" spans="1:12" ht="14.25">
      <c r="A89" s="440"/>
      <c r="B89" s="481"/>
      <c r="C89" s="481"/>
      <c r="D89" s="481"/>
      <c r="E89" s="481"/>
      <c r="F89" s="481"/>
      <c r="G89" s="481"/>
      <c r="H89" s="481"/>
      <c r="I89" s="481"/>
      <c r="J89" s="481"/>
      <c r="K89" s="481"/>
      <c r="L89" s="440"/>
    </row>
    <row r="90" spans="1:12" ht="45" customHeight="1">
      <c r="A90" s="440"/>
      <c r="B90" s="678" t="s">
        <v>701</v>
      </c>
      <c r="C90" s="678"/>
      <c r="D90" s="678"/>
      <c r="E90" s="678"/>
      <c r="F90" s="678"/>
      <c r="G90" s="678"/>
      <c r="H90" s="678"/>
      <c r="I90" s="678"/>
      <c r="J90" s="678"/>
      <c r="K90" s="678"/>
      <c r="L90" s="440"/>
    </row>
    <row r="91" spans="1:12" ht="15" customHeight="1" thickBot="1">
      <c r="A91" s="440"/>
      <c r="L91" s="440"/>
    </row>
    <row r="92" spans="1:12" ht="15" customHeight="1">
      <c r="A92" s="440"/>
      <c r="B92" s="482" t="s">
        <v>655</v>
      </c>
      <c r="C92" s="483"/>
      <c r="D92" s="483"/>
      <c r="E92" s="483"/>
      <c r="F92" s="483"/>
      <c r="G92" s="483"/>
      <c r="H92" s="483"/>
      <c r="I92" s="483"/>
      <c r="J92" s="483"/>
      <c r="K92" s="484"/>
      <c r="L92" s="440"/>
    </row>
    <row r="93" spans="1:12" ht="15" customHeight="1">
      <c r="A93" s="440"/>
      <c r="B93" s="485"/>
      <c r="C93" s="486" t="s">
        <v>663</v>
      </c>
      <c r="D93" s="486"/>
      <c r="E93" s="486"/>
      <c r="F93" s="486"/>
      <c r="G93" s="486"/>
      <c r="H93" s="486"/>
      <c r="I93" s="486"/>
      <c r="J93" s="486"/>
      <c r="K93" s="487"/>
      <c r="L93" s="440"/>
    </row>
    <row r="94" spans="1:12" ht="15" customHeight="1">
      <c r="A94" s="440"/>
      <c r="B94" s="485" t="s">
        <v>688</v>
      </c>
      <c r="C94" s="679">
        <v>133685008</v>
      </c>
      <c r="D94" s="679"/>
      <c r="E94" s="453" t="s">
        <v>662</v>
      </c>
      <c r="F94" s="453">
        <v>1000</v>
      </c>
      <c r="G94" s="453" t="s">
        <v>661</v>
      </c>
      <c r="H94" s="470">
        <f>C94/F94</f>
        <v>133685.008</v>
      </c>
      <c r="I94" s="486" t="s">
        <v>689</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690</v>
      </c>
      <c r="D96" s="486"/>
      <c r="E96" s="453"/>
      <c r="F96" s="486" t="s">
        <v>689</v>
      </c>
      <c r="G96" s="486"/>
      <c r="H96" s="486"/>
      <c r="I96" s="486"/>
      <c r="J96" s="486"/>
      <c r="K96" s="487"/>
      <c r="L96" s="440"/>
    </row>
    <row r="97" spans="1:12" ht="15" customHeight="1">
      <c r="A97" s="440"/>
      <c r="B97" s="485" t="s">
        <v>691</v>
      </c>
      <c r="C97" s="679">
        <v>50000</v>
      </c>
      <c r="D97" s="679"/>
      <c r="E97" s="453" t="s">
        <v>662</v>
      </c>
      <c r="F97" s="470">
        <f>H94</f>
        <v>133685.008</v>
      </c>
      <c r="G97" s="453" t="s">
        <v>661</v>
      </c>
      <c r="H97" s="463">
        <f>C97/F97</f>
        <v>0.3740135169083432</v>
      </c>
      <c r="I97" s="486" t="s">
        <v>692</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702</v>
      </c>
      <c r="D99" s="489"/>
      <c r="E99" s="473"/>
      <c r="F99" s="489"/>
      <c r="G99" s="489"/>
      <c r="H99" s="489"/>
      <c r="I99" s="489"/>
      <c r="J99" s="489"/>
      <c r="K99" s="490"/>
      <c r="L99" s="440"/>
    </row>
    <row r="100" spans="1:12" ht="15" customHeight="1">
      <c r="A100" s="440"/>
      <c r="B100" s="485" t="s">
        <v>694</v>
      </c>
      <c r="C100" s="679">
        <v>2500000</v>
      </c>
      <c r="D100" s="679"/>
      <c r="E100" s="453" t="s">
        <v>301</v>
      </c>
      <c r="F100" s="491">
        <v>0.3</v>
      </c>
      <c r="G100" s="453" t="s">
        <v>661</v>
      </c>
      <c r="H100" s="470">
        <f>C100*F100</f>
        <v>750000</v>
      </c>
      <c r="I100" s="486" t="s">
        <v>695</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696</v>
      </c>
      <c r="D102" s="489"/>
      <c r="E102" s="473"/>
      <c r="F102" s="489" t="s">
        <v>692</v>
      </c>
      <c r="G102" s="489"/>
      <c r="H102" s="489"/>
      <c r="I102" s="489"/>
      <c r="J102" s="489" t="s">
        <v>697</v>
      </c>
      <c r="K102" s="490"/>
      <c r="L102" s="440"/>
    </row>
    <row r="103" spans="1:12" ht="15" customHeight="1">
      <c r="A103" s="440"/>
      <c r="B103" s="485" t="s">
        <v>698</v>
      </c>
      <c r="C103" s="688">
        <f>H100</f>
        <v>750000</v>
      </c>
      <c r="D103" s="688"/>
      <c r="E103" s="453" t="s">
        <v>301</v>
      </c>
      <c r="F103" s="463">
        <f>H97</f>
        <v>0.3740135169083432</v>
      </c>
      <c r="G103" s="453" t="s">
        <v>662</v>
      </c>
      <c r="H103" s="453">
        <v>1000</v>
      </c>
      <c r="I103" s="453" t="s">
        <v>661</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81" t="s">
        <v>651</v>
      </c>
      <c r="C105" s="689"/>
      <c r="D105" s="689"/>
      <c r="E105" s="689"/>
      <c r="F105" s="689"/>
      <c r="G105" s="689"/>
      <c r="H105" s="689"/>
      <c r="I105" s="689"/>
      <c r="J105" s="689"/>
      <c r="K105" s="689"/>
      <c r="L105" s="440"/>
    </row>
    <row r="106" spans="1:12" ht="15" customHeight="1">
      <c r="A106" s="440"/>
      <c r="B106" s="690" t="s">
        <v>703</v>
      </c>
      <c r="C106" s="674"/>
      <c r="D106" s="674"/>
      <c r="E106" s="674"/>
      <c r="F106" s="674"/>
      <c r="G106" s="674"/>
      <c r="H106" s="674"/>
      <c r="I106" s="674"/>
      <c r="J106" s="674"/>
      <c r="K106" s="674"/>
      <c r="L106" s="440"/>
    </row>
    <row r="107" spans="1:12" ht="15" customHeight="1">
      <c r="A107" s="440"/>
      <c r="B107" s="486"/>
      <c r="C107" s="494"/>
      <c r="D107" s="494"/>
      <c r="E107" s="453"/>
      <c r="F107" s="463"/>
      <c r="G107" s="453"/>
      <c r="H107" s="453"/>
      <c r="I107" s="453"/>
      <c r="J107" s="475"/>
      <c r="K107" s="486"/>
      <c r="L107" s="440"/>
    </row>
    <row r="108" spans="1:12" ht="15" customHeight="1">
      <c r="A108" s="440"/>
      <c r="B108" s="690" t="s">
        <v>704</v>
      </c>
      <c r="C108" s="691"/>
      <c r="D108" s="691"/>
      <c r="E108" s="691"/>
      <c r="F108" s="691"/>
      <c r="G108" s="691"/>
      <c r="H108" s="691"/>
      <c r="I108" s="691"/>
      <c r="J108" s="691"/>
      <c r="K108" s="691"/>
      <c r="L108" s="440"/>
    </row>
    <row r="109" spans="1:12" ht="15" customHeight="1">
      <c r="A109" s="440"/>
      <c r="B109" s="486"/>
      <c r="C109" s="494"/>
      <c r="D109" s="494"/>
      <c r="E109" s="453"/>
      <c r="F109" s="463"/>
      <c r="G109" s="453"/>
      <c r="H109" s="453"/>
      <c r="I109" s="453"/>
      <c r="J109" s="475"/>
      <c r="K109" s="486"/>
      <c r="L109" s="440"/>
    </row>
    <row r="110" spans="1:12" ht="59.25" customHeight="1">
      <c r="A110" s="440"/>
      <c r="B110" s="692" t="s">
        <v>705</v>
      </c>
      <c r="C110" s="682"/>
      <c r="D110" s="682"/>
      <c r="E110" s="682"/>
      <c r="F110" s="682"/>
      <c r="G110" s="682"/>
      <c r="H110" s="682"/>
      <c r="I110" s="682"/>
      <c r="J110" s="682"/>
      <c r="K110" s="682"/>
      <c r="L110" s="440"/>
    </row>
    <row r="111" spans="1:12" ht="15" thickBot="1">
      <c r="A111" s="440"/>
      <c r="B111" s="444"/>
      <c r="C111" s="444"/>
      <c r="D111" s="444"/>
      <c r="E111" s="444"/>
      <c r="F111" s="444"/>
      <c r="G111" s="444"/>
      <c r="H111" s="444"/>
      <c r="I111" s="444"/>
      <c r="J111" s="444"/>
      <c r="K111" s="444"/>
      <c r="L111" s="495"/>
    </row>
    <row r="112" spans="1:12" ht="14.25">
      <c r="A112" s="440"/>
      <c r="B112" s="448" t="s">
        <v>655</v>
      </c>
      <c r="C112" s="449"/>
      <c r="D112" s="449"/>
      <c r="E112" s="449"/>
      <c r="F112" s="449"/>
      <c r="G112" s="449"/>
      <c r="H112" s="449"/>
      <c r="I112" s="449"/>
      <c r="J112" s="449"/>
      <c r="K112" s="450"/>
      <c r="L112" s="440"/>
    </row>
    <row r="113" spans="1:12" ht="14.25">
      <c r="A113" s="440"/>
      <c r="B113" s="461"/>
      <c r="C113" s="452" t="s">
        <v>663</v>
      </c>
      <c r="D113" s="452"/>
      <c r="E113" s="452"/>
      <c r="F113" s="452"/>
      <c r="G113" s="452"/>
      <c r="H113" s="452"/>
      <c r="I113" s="452"/>
      <c r="J113" s="452"/>
      <c r="K113" s="455"/>
      <c r="L113" s="440"/>
    </row>
    <row r="114" spans="1:12" ht="14.25">
      <c r="A114" s="440"/>
      <c r="B114" s="461" t="s">
        <v>688</v>
      </c>
      <c r="C114" s="679">
        <v>133685008</v>
      </c>
      <c r="D114" s="679"/>
      <c r="E114" s="453" t="s">
        <v>662</v>
      </c>
      <c r="F114" s="453">
        <v>1000</v>
      </c>
      <c r="G114" s="453" t="s">
        <v>661</v>
      </c>
      <c r="H114" s="470">
        <f>C114/F114</f>
        <v>133685.008</v>
      </c>
      <c r="I114" s="452" t="s">
        <v>689</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690</v>
      </c>
      <c r="D116" s="452"/>
      <c r="E116" s="453"/>
      <c r="F116" s="452" t="s">
        <v>689</v>
      </c>
      <c r="G116" s="452"/>
      <c r="H116" s="452"/>
      <c r="I116" s="452"/>
      <c r="J116" s="452"/>
      <c r="K116" s="455"/>
      <c r="L116" s="440"/>
    </row>
    <row r="117" spans="1:12" ht="14.25">
      <c r="A117" s="440"/>
      <c r="B117" s="461" t="s">
        <v>691</v>
      </c>
      <c r="C117" s="679">
        <v>50000</v>
      </c>
      <c r="D117" s="679"/>
      <c r="E117" s="453" t="s">
        <v>662</v>
      </c>
      <c r="F117" s="470">
        <f>H114</f>
        <v>133685.008</v>
      </c>
      <c r="G117" s="453" t="s">
        <v>661</v>
      </c>
      <c r="H117" s="463">
        <f>C117/F117</f>
        <v>0.3740135169083432</v>
      </c>
      <c r="I117" s="452" t="s">
        <v>692</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702</v>
      </c>
      <c r="D119" s="472"/>
      <c r="E119" s="473"/>
      <c r="F119" s="472"/>
      <c r="G119" s="472"/>
      <c r="H119" s="472"/>
      <c r="I119" s="472"/>
      <c r="J119" s="472"/>
      <c r="K119" s="474"/>
      <c r="L119" s="440"/>
    </row>
    <row r="120" spans="1:12" ht="14.25">
      <c r="A120" s="440"/>
      <c r="B120" s="461" t="s">
        <v>694</v>
      </c>
      <c r="C120" s="679">
        <v>2500000</v>
      </c>
      <c r="D120" s="679"/>
      <c r="E120" s="453" t="s">
        <v>301</v>
      </c>
      <c r="F120" s="491">
        <v>0.25</v>
      </c>
      <c r="G120" s="453" t="s">
        <v>661</v>
      </c>
      <c r="H120" s="470">
        <f>C120*F120</f>
        <v>625000</v>
      </c>
      <c r="I120" s="452" t="s">
        <v>695</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696</v>
      </c>
      <c r="D122" s="472"/>
      <c r="E122" s="473"/>
      <c r="F122" s="472" t="s">
        <v>692</v>
      </c>
      <c r="G122" s="472"/>
      <c r="H122" s="472"/>
      <c r="I122" s="472"/>
      <c r="J122" s="472" t="s">
        <v>697</v>
      </c>
      <c r="K122" s="474"/>
      <c r="L122" s="440"/>
    </row>
    <row r="123" spans="1:12" ht="14.25">
      <c r="A123" s="440"/>
      <c r="B123" s="461" t="s">
        <v>698</v>
      </c>
      <c r="C123" s="688">
        <f>H120</f>
        <v>625000</v>
      </c>
      <c r="D123" s="688"/>
      <c r="E123" s="453" t="s">
        <v>301</v>
      </c>
      <c r="F123" s="463">
        <f>H117</f>
        <v>0.3740135169083432</v>
      </c>
      <c r="G123" s="453" t="s">
        <v>662</v>
      </c>
      <c r="H123" s="453">
        <v>1000</v>
      </c>
      <c r="I123" s="453" t="s">
        <v>661</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81" t="s">
        <v>651</v>
      </c>
      <c r="C125" s="681"/>
      <c r="D125" s="681"/>
      <c r="E125" s="681"/>
      <c r="F125" s="681"/>
      <c r="G125" s="681"/>
      <c r="H125" s="681"/>
      <c r="I125" s="681"/>
      <c r="J125" s="681"/>
      <c r="K125" s="681"/>
      <c r="L125" s="495"/>
    </row>
    <row r="126" spans="1:12" ht="14.25">
      <c r="A126" s="440"/>
      <c r="B126" s="673" t="s">
        <v>706</v>
      </c>
      <c r="C126" s="673"/>
      <c r="D126" s="673"/>
      <c r="E126" s="673"/>
      <c r="F126" s="673"/>
      <c r="G126" s="673"/>
      <c r="H126" s="673"/>
      <c r="I126" s="673"/>
      <c r="J126" s="673"/>
      <c r="K126" s="673"/>
      <c r="L126" s="495"/>
    </row>
    <row r="127" spans="1:12" ht="14.25">
      <c r="A127" s="440"/>
      <c r="B127" s="444"/>
      <c r="C127" s="444"/>
      <c r="D127" s="444"/>
      <c r="E127" s="444"/>
      <c r="F127" s="444"/>
      <c r="G127" s="444"/>
      <c r="H127" s="444"/>
      <c r="I127" s="444"/>
      <c r="J127" s="444"/>
      <c r="K127" s="444"/>
      <c r="L127" s="495"/>
    </row>
    <row r="128" spans="1:12" ht="14.25">
      <c r="A128" s="440"/>
      <c r="B128" s="673" t="s">
        <v>707</v>
      </c>
      <c r="C128" s="673"/>
      <c r="D128" s="673"/>
      <c r="E128" s="673"/>
      <c r="F128" s="673"/>
      <c r="G128" s="673"/>
      <c r="H128" s="673"/>
      <c r="I128" s="673"/>
      <c r="J128" s="673"/>
      <c r="K128" s="673"/>
      <c r="L128" s="495"/>
    </row>
    <row r="129" spans="1:12" ht="14.25">
      <c r="A129" s="440"/>
      <c r="B129" s="481"/>
      <c r="C129" s="481"/>
      <c r="D129" s="481"/>
      <c r="E129" s="481"/>
      <c r="F129" s="481"/>
      <c r="G129" s="481"/>
      <c r="H129" s="481"/>
      <c r="I129" s="481"/>
      <c r="J129" s="481"/>
      <c r="K129" s="481"/>
      <c r="L129" s="495"/>
    </row>
    <row r="130" spans="1:12" ht="74.25" customHeight="1">
      <c r="A130" s="440"/>
      <c r="B130" s="678" t="s">
        <v>708</v>
      </c>
      <c r="C130" s="678"/>
      <c r="D130" s="678"/>
      <c r="E130" s="678"/>
      <c r="F130" s="678"/>
      <c r="G130" s="678"/>
      <c r="H130" s="678"/>
      <c r="I130" s="678"/>
      <c r="J130" s="678"/>
      <c r="K130" s="678"/>
      <c r="L130" s="495"/>
    </row>
    <row r="131" spans="1:12" ht="15" thickBot="1">
      <c r="A131" s="440"/>
      <c r="L131" s="440"/>
    </row>
    <row r="132" spans="1:12" ht="14.25">
      <c r="A132" s="440"/>
      <c r="B132" s="448" t="s">
        <v>655</v>
      </c>
      <c r="C132" s="449"/>
      <c r="D132" s="449"/>
      <c r="E132" s="449"/>
      <c r="F132" s="449"/>
      <c r="G132" s="449"/>
      <c r="H132" s="449"/>
      <c r="I132" s="449"/>
      <c r="J132" s="449"/>
      <c r="K132" s="450"/>
      <c r="L132" s="440"/>
    </row>
    <row r="133" spans="1:12" ht="14.25">
      <c r="A133" s="440"/>
      <c r="B133" s="461"/>
      <c r="C133" s="693" t="s">
        <v>709</v>
      </c>
      <c r="D133" s="693"/>
      <c r="E133" s="452"/>
      <c r="F133" s="453" t="s">
        <v>710</v>
      </c>
      <c r="G133" s="452"/>
      <c r="H133" s="693" t="s">
        <v>695</v>
      </c>
      <c r="I133" s="693"/>
      <c r="J133" s="452"/>
      <c r="K133" s="455"/>
      <c r="L133" s="440"/>
    </row>
    <row r="134" spans="1:12" ht="14.25">
      <c r="A134" s="440"/>
      <c r="B134" s="461" t="s">
        <v>688</v>
      </c>
      <c r="C134" s="679">
        <v>100000</v>
      </c>
      <c r="D134" s="679"/>
      <c r="E134" s="453" t="s">
        <v>301</v>
      </c>
      <c r="F134" s="453">
        <v>0.115</v>
      </c>
      <c r="G134" s="453" t="s">
        <v>661</v>
      </c>
      <c r="H134" s="694">
        <f>C134*F134</f>
        <v>11500</v>
      </c>
      <c r="I134" s="694"/>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5" t="s">
        <v>695</v>
      </c>
      <c r="D136" s="695"/>
      <c r="E136" s="472"/>
      <c r="F136" s="473" t="s">
        <v>711</v>
      </c>
      <c r="G136" s="473"/>
      <c r="H136" s="472"/>
      <c r="I136" s="472"/>
      <c r="J136" s="472" t="s">
        <v>712</v>
      </c>
      <c r="K136" s="474"/>
      <c r="L136" s="440"/>
    </row>
    <row r="137" spans="1:12" ht="14.25">
      <c r="A137" s="440"/>
      <c r="B137" s="461" t="s">
        <v>691</v>
      </c>
      <c r="C137" s="694">
        <f>H134</f>
        <v>11500</v>
      </c>
      <c r="D137" s="694"/>
      <c r="E137" s="453" t="s">
        <v>301</v>
      </c>
      <c r="F137" s="496">
        <v>52.869</v>
      </c>
      <c r="G137" s="453" t="s">
        <v>662</v>
      </c>
      <c r="H137" s="453">
        <v>1000</v>
      </c>
      <c r="I137" s="453" t="s">
        <v>661</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651</v>
      </c>
      <c r="C139" s="502"/>
      <c r="D139" s="502"/>
      <c r="E139" s="503"/>
      <c r="F139" s="504"/>
      <c r="G139" s="503"/>
      <c r="H139" s="503"/>
      <c r="I139" s="503"/>
      <c r="J139" s="505"/>
      <c r="K139" s="506"/>
      <c r="L139" s="440"/>
    </row>
    <row r="140" spans="1:12" ht="14.25">
      <c r="A140" s="440"/>
      <c r="B140" s="507" t="s">
        <v>713</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714</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6" t="s">
        <v>715</v>
      </c>
      <c r="C144" s="697"/>
      <c r="D144" s="697"/>
      <c r="E144" s="697"/>
      <c r="F144" s="697"/>
      <c r="G144" s="697"/>
      <c r="H144" s="697"/>
      <c r="I144" s="697"/>
      <c r="J144" s="697"/>
      <c r="K144" s="698"/>
      <c r="L144" s="440"/>
    </row>
    <row r="145" spans="1:12" ht="15" thickBot="1">
      <c r="A145" s="440"/>
      <c r="B145" s="461"/>
      <c r="C145" s="470"/>
      <c r="D145" s="470"/>
      <c r="E145" s="453"/>
      <c r="F145" s="513"/>
      <c r="G145" s="453"/>
      <c r="H145" s="453"/>
      <c r="I145" s="453"/>
      <c r="J145" s="497"/>
      <c r="K145" s="455"/>
      <c r="L145" s="440"/>
    </row>
    <row r="146" spans="1:12" ht="14.25">
      <c r="A146" s="440"/>
      <c r="B146" s="448" t="s">
        <v>655</v>
      </c>
      <c r="C146" s="514"/>
      <c r="D146" s="514"/>
      <c r="E146" s="515"/>
      <c r="F146" s="516"/>
      <c r="G146" s="515"/>
      <c r="H146" s="515"/>
      <c r="I146" s="515"/>
      <c r="J146" s="517"/>
      <c r="K146" s="450"/>
      <c r="L146" s="440"/>
    </row>
    <row r="147" spans="1:12" ht="14.25">
      <c r="A147" s="440"/>
      <c r="B147" s="461"/>
      <c r="C147" s="694" t="s">
        <v>716</v>
      </c>
      <c r="D147" s="694"/>
      <c r="E147" s="453"/>
      <c r="F147" s="513" t="s">
        <v>717</v>
      </c>
      <c r="G147" s="453"/>
      <c r="H147" s="453"/>
      <c r="I147" s="453"/>
      <c r="J147" s="699" t="s">
        <v>718</v>
      </c>
      <c r="K147" s="700"/>
      <c r="L147" s="440"/>
    </row>
    <row r="148" spans="1:12" ht="14.25">
      <c r="A148" s="440"/>
      <c r="B148" s="461"/>
      <c r="C148" s="701">
        <v>52.869</v>
      </c>
      <c r="D148" s="701"/>
      <c r="E148" s="453" t="s">
        <v>301</v>
      </c>
      <c r="F148" s="518">
        <v>133685008</v>
      </c>
      <c r="G148" s="519" t="s">
        <v>662</v>
      </c>
      <c r="H148" s="453">
        <v>1000</v>
      </c>
      <c r="I148" s="453" t="s">
        <v>661</v>
      </c>
      <c r="J148" s="694">
        <f>C148*(F148/1000)</f>
        <v>7067792.687952</v>
      </c>
      <c r="K148" s="702"/>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719</v>
      </c>
    </row>
    <row r="3" ht="31.5">
      <c r="A3" s="523" t="s">
        <v>720</v>
      </c>
    </row>
    <row r="4" ht="15.75">
      <c r="A4" s="524" t="s">
        <v>721</v>
      </c>
    </row>
    <row r="7" ht="31.5">
      <c r="A7" s="523" t="s">
        <v>722</v>
      </c>
    </row>
    <row r="8" ht="15.75">
      <c r="A8" s="524" t="s">
        <v>723</v>
      </c>
    </row>
    <row r="11" ht="15.75">
      <c r="A11" s="522" t="s">
        <v>724</v>
      </c>
    </row>
    <row r="12" ht="15.75">
      <c r="A12" s="524" t="s">
        <v>725</v>
      </c>
    </row>
    <row r="15" ht="15.75">
      <c r="A15" s="522" t="s">
        <v>726</v>
      </c>
    </row>
    <row r="16" ht="15.75">
      <c r="A16" s="524" t="s">
        <v>727</v>
      </c>
    </row>
    <row r="19" ht="15.75">
      <c r="A19" s="522" t="s">
        <v>728</v>
      </c>
    </row>
    <row r="20" ht="15.75">
      <c r="A20" s="524" t="s">
        <v>729</v>
      </c>
    </row>
    <row r="23" ht="15.75">
      <c r="A23" s="522" t="s">
        <v>730</v>
      </c>
    </row>
    <row r="24" ht="15.75">
      <c r="A24" s="524" t="s">
        <v>731</v>
      </c>
    </row>
    <row r="27" ht="15.75">
      <c r="A27" s="522" t="s">
        <v>732</v>
      </c>
    </row>
    <row r="28" ht="15.75">
      <c r="A28" s="524" t="s">
        <v>733</v>
      </c>
    </row>
    <row r="31" ht="15.75">
      <c r="A31" s="522" t="s">
        <v>734</v>
      </c>
    </row>
    <row r="32" ht="15.75">
      <c r="A32" s="524" t="s">
        <v>735</v>
      </c>
    </row>
    <row r="35" ht="15.75">
      <c r="A35" s="522" t="s">
        <v>736</v>
      </c>
    </row>
    <row r="36" ht="15.75">
      <c r="A36" s="524" t="s">
        <v>737</v>
      </c>
    </row>
    <row r="39" ht="15.75">
      <c r="A39" s="522" t="s">
        <v>738</v>
      </c>
    </row>
    <row r="40" ht="15.75">
      <c r="A40" s="524"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0" t="s">
        <v>804</v>
      </c>
    </row>
    <row r="2" ht="15.75">
      <c r="A2" s="582" t="s">
        <v>805</v>
      </c>
    </row>
    <row r="4" ht="15.75">
      <c r="A4" s="400" t="s">
        <v>801</v>
      </c>
    </row>
    <row r="5" ht="15.75">
      <c r="A5" s="91" t="s">
        <v>802</v>
      </c>
    </row>
    <row r="6" ht="15.75">
      <c r="A6" s="91" t="s">
        <v>803</v>
      </c>
    </row>
    <row r="8" ht="15.75">
      <c r="A8" s="400" t="s">
        <v>774</v>
      </c>
    </row>
    <row r="9" ht="15.75">
      <c r="A9" s="582" t="s">
        <v>775</v>
      </c>
    </row>
    <row r="10" ht="15.75">
      <c r="A10" s="582" t="s">
        <v>776</v>
      </c>
    </row>
    <row r="11" ht="31.5">
      <c r="A11" s="581" t="s">
        <v>777</v>
      </c>
    </row>
    <row r="12" ht="15.75">
      <c r="A12" s="582" t="s">
        <v>778</v>
      </c>
    </row>
    <row r="13" ht="15.75">
      <c r="A13" s="582" t="s">
        <v>779</v>
      </c>
    </row>
    <row r="14" ht="15.75">
      <c r="A14" s="582" t="s">
        <v>780</v>
      </c>
    </row>
    <row r="15" ht="15.75">
      <c r="A15" s="582" t="s">
        <v>781</v>
      </c>
    </row>
    <row r="16" ht="15.75">
      <c r="A16" s="582" t="s">
        <v>782</v>
      </c>
    </row>
    <row r="17" ht="15.75">
      <c r="A17" s="582" t="s">
        <v>783</v>
      </c>
    </row>
    <row r="18" ht="15.75">
      <c r="A18" s="582" t="s">
        <v>784</v>
      </c>
    </row>
    <row r="19" ht="15.75">
      <c r="A19" s="582" t="s">
        <v>785</v>
      </c>
    </row>
    <row r="20" ht="15.75">
      <c r="A20" s="582" t="s">
        <v>786</v>
      </c>
    </row>
    <row r="21" ht="15.75">
      <c r="A21" s="582" t="s">
        <v>797</v>
      </c>
    </row>
    <row r="22" ht="15.75">
      <c r="A22" s="582" t="s">
        <v>787</v>
      </c>
    </row>
    <row r="23" ht="15.75">
      <c r="A23" s="582" t="s">
        <v>788</v>
      </c>
    </row>
    <row r="24" ht="15.75">
      <c r="A24" s="582" t="s">
        <v>789</v>
      </c>
    </row>
    <row r="25" ht="15.75">
      <c r="A25" s="582" t="s">
        <v>790</v>
      </c>
    </row>
    <row r="26" ht="15.75">
      <c r="A26" s="582" t="s">
        <v>791</v>
      </c>
    </row>
    <row r="27" ht="15.75">
      <c r="A27" s="582" t="s">
        <v>792</v>
      </c>
    </row>
    <row r="28" ht="15.75">
      <c r="A28" s="582" t="s">
        <v>793</v>
      </c>
    </row>
    <row r="29" ht="15.75">
      <c r="A29" s="582" t="s">
        <v>794</v>
      </c>
    </row>
    <row r="30" ht="15.75">
      <c r="A30" s="582" t="s">
        <v>795</v>
      </c>
    </row>
    <row r="31" ht="15.75">
      <c r="A31" s="582" t="s">
        <v>800</v>
      </c>
    </row>
    <row r="33" ht="15.75">
      <c r="A33" s="400" t="s">
        <v>642</v>
      </c>
    </row>
    <row r="34" ht="39" customHeight="1">
      <c r="A34" s="360" t="s">
        <v>643</v>
      </c>
    </row>
    <row r="35" ht="23.25" customHeight="1"/>
    <row r="36" ht="15.75">
      <c r="A36" s="400" t="s">
        <v>638</v>
      </c>
    </row>
    <row r="37" ht="15.75">
      <c r="A37" s="91" t="s">
        <v>639</v>
      </c>
    </row>
    <row r="38" ht="15.75">
      <c r="A38" s="91" t="s">
        <v>640</v>
      </c>
    </row>
    <row r="39" ht="15.75">
      <c r="A39" s="91" t="s">
        <v>641</v>
      </c>
    </row>
    <row r="41" ht="15.75">
      <c r="A41" s="403" t="s">
        <v>627</v>
      </c>
    </row>
    <row r="42" ht="15.75">
      <c r="A42" s="91" t="s">
        <v>637</v>
      </c>
    </row>
    <row r="44" ht="15.75">
      <c r="A44" s="400" t="s">
        <v>601</v>
      </c>
    </row>
    <row r="45" ht="15.75">
      <c r="A45" s="401" t="s">
        <v>602</v>
      </c>
    </row>
    <row r="46" ht="15.75">
      <c r="A46" s="401" t="s">
        <v>603</v>
      </c>
    </row>
    <row r="47" ht="15.75">
      <c r="A47" s="401" t="s">
        <v>604</v>
      </c>
    </row>
    <row r="48" ht="15.75">
      <c r="A48" s="399" t="s">
        <v>605</v>
      </c>
    </row>
    <row r="50" ht="15.75">
      <c r="A50" s="373" t="s">
        <v>328</v>
      </c>
    </row>
    <row r="51" ht="15.75">
      <c r="A51" s="91" t="s">
        <v>330</v>
      </c>
    </row>
    <row r="52" ht="15.75">
      <c r="A52" s="91" t="s">
        <v>331</v>
      </c>
    </row>
    <row r="53" ht="15.75">
      <c r="A53" s="91" t="s">
        <v>332</v>
      </c>
    </row>
    <row r="54" ht="15.75">
      <c r="A54" s="91" t="s">
        <v>333</v>
      </c>
    </row>
    <row r="55" ht="15.75">
      <c r="A55" s="91" t="s">
        <v>334</v>
      </c>
    </row>
    <row r="56" ht="15.75">
      <c r="A56" s="91" t="s">
        <v>335</v>
      </c>
    </row>
    <row r="57" ht="15.75">
      <c r="A57" s="91" t="s">
        <v>350</v>
      </c>
    </row>
    <row r="58" ht="15.75">
      <c r="A58" s="91" t="s">
        <v>351</v>
      </c>
    </row>
    <row r="59" ht="15.75">
      <c r="A59" s="91" t="s">
        <v>352</v>
      </c>
    </row>
    <row r="60" ht="15.75">
      <c r="A60" s="91" t="s">
        <v>353</v>
      </c>
    </row>
    <row r="61" ht="15.75">
      <c r="A61" s="91" t="s">
        <v>369</v>
      </c>
    </row>
    <row r="62" ht="31.5">
      <c r="A62" s="360" t="s">
        <v>370</v>
      </c>
    </row>
    <row r="63" ht="15.75">
      <c r="A63" s="360" t="s">
        <v>379</v>
      </c>
    </row>
    <row r="64" ht="15.75">
      <c r="A64" s="375" t="s">
        <v>382</v>
      </c>
    </row>
    <row r="65" ht="15.75">
      <c r="A65" s="376" t="s">
        <v>383</v>
      </c>
    </row>
    <row r="67" ht="15.75">
      <c r="A67" s="373" t="s">
        <v>323</v>
      </c>
    </row>
    <row r="68" ht="15.75">
      <c r="A68" s="91" t="s">
        <v>324</v>
      </c>
    </row>
    <row r="69" ht="15.75">
      <c r="A69" s="91" t="s">
        <v>325</v>
      </c>
    </row>
    <row r="71" ht="15.75">
      <c r="A71" s="373" t="s">
        <v>321</v>
      </c>
    </row>
    <row r="72" ht="15.75">
      <c r="A72" s="91" t="s">
        <v>322</v>
      </c>
    </row>
    <row r="74" ht="15.75">
      <c r="A74" s="373" t="s">
        <v>319</v>
      </c>
    </row>
    <row r="75" ht="15.75">
      <c r="A75" s="91" t="s">
        <v>320</v>
      </c>
    </row>
    <row r="77" ht="15.75">
      <c r="A77" s="373" t="s">
        <v>316</v>
      </c>
    </row>
    <row r="78" ht="15.75">
      <c r="A78" s="91" t="s">
        <v>317</v>
      </c>
    </row>
    <row r="79" ht="15.75">
      <c r="A79" s="91" t="s">
        <v>318</v>
      </c>
    </row>
    <row r="81" ht="15.75">
      <c r="A81" s="91" t="s">
        <v>312</v>
      </c>
    </row>
    <row r="82" ht="15.75">
      <c r="A82" s="91" t="s">
        <v>313</v>
      </c>
    </row>
    <row r="83" ht="15.75">
      <c r="A83" s="91" t="s">
        <v>314</v>
      </c>
    </row>
    <row r="84" ht="15.75">
      <c r="A84" s="91" t="s">
        <v>315</v>
      </c>
    </row>
    <row r="86" ht="15.75">
      <c r="A86" s="91" t="s">
        <v>308</v>
      </c>
    </row>
    <row r="87" ht="15.75">
      <c r="A87" s="91" t="s">
        <v>309</v>
      </c>
    </row>
    <row r="88" ht="15.75">
      <c r="A88" s="91" t="s">
        <v>310</v>
      </c>
    </row>
    <row r="90" ht="15.75">
      <c r="A90" s="91" t="s">
        <v>306</v>
      </c>
    </row>
    <row r="91" ht="34.5" customHeight="1">
      <c r="A91" s="91" t="s">
        <v>307</v>
      </c>
    </row>
    <row r="93" ht="15.75">
      <c r="A93" s="91" t="s">
        <v>261</v>
      </c>
    </row>
    <row r="94" ht="15.75">
      <c r="A94" s="91" t="s">
        <v>262</v>
      </c>
    </row>
    <row r="95" ht="31.5">
      <c r="A95" s="360" t="s">
        <v>278</v>
      </c>
    </row>
    <row r="96" ht="15.75">
      <c r="A96" s="91" t="s">
        <v>263</v>
      </c>
    </row>
    <row r="97" ht="15.75">
      <c r="A97" s="91" t="s">
        <v>264</v>
      </c>
    </row>
    <row r="98" ht="15.75">
      <c r="A98" s="91" t="s">
        <v>265</v>
      </c>
    </row>
    <row r="99" ht="15.75">
      <c r="A99" s="91" t="s">
        <v>266</v>
      </c>
    </row>
    <row r="100" ht="31.5">
      <c r="A100" s="360" t="s">
        <v>246</v>
      </c>
    </row>
    <row r="101" ht="31.5">
      <c r="A101" s="360" t="s">
        <v>274</v>
      </c>
    </row>
    <row r="102" ht="31.5">
      <c r="A102" s="360" t="s">
        <v>267</v>
      </c>
    </row>
    <row r="103" ht="15.75">
      <c r="A103" s="360" t="s">
        <v>268</v>
      </c>
    </row>
    <row r="104" ht="31.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1.5">
      <c r="A115" s="360" t="s">
        <v>244</v>
      </c>
    </row>
    <row r="116" ht="31.5">
      <c r="A116" s="360" t="s">
        <v>248</v>
      </c>
    </row>
    <row r="117" ht="31.5">
      <c r="A117" s="360" t="s">
        <v>245</v>
      </c>
    </row>
    <row r="118" ht="31.5">
      <c r="A118" s="360" t="s">
        <v>249</v>
      </c>
    </row>
    <row r="119" ht="15.75">
      <c r="A119" s="360" t="s">
        <v>255</v>
      </c>
    </row>
    <row r="121" ht="15.75">
      <c r="A121" s="91" t="s">
        <v>195</v>
      </c>
    </row>
    <row r="122" ht="47.25">
      <c r="A122" s="360" t="s">
        <v>250</v>
      </c>
    </row>
    <row r="123" ht="15.75">
      <c r="A123" s="91" t="s">
        <v>196</v>
      </c>
    </row>
    <row r="124" ht="15.75">
      <c r="A124" s="91" t="s">
        <v>200</v>
      </c>
    </row>
    <row r="125" ht="15.75">
      <c r="A125" s="91" t="s">
        <v>201</v>
      </c>
    </row>
    <row r="126" ht="15.75">
      <c r="A126" s="91" t="s">
        <v>197</v>
      </c>
    </row>
    <row r="127" ht="15.75">
      <c r="A127" s="91" t="s">
        <v>198</v>
      </c>
    </row>
    <row r="128" ht="15.75">
      <c r="A128" s="91" t="s">
        <v>199</v>
      </c>
    </row>
    <row r="129" ht="15.75">
      <c r="A129" s="360" t="s">
        <v>202</v>
      </c>
    </row>
    <row r="130" ht="15.75">
      <c r="A130" s="91" t="s">
        <v>203</v>
      </c>
    </row>
    <row r="131" ht="15.75">
      <c r="A131" s="91" t="s">
        <v>204</v>
      </c>
    </row>
    <row r="132" ht="15.75">
      <c r="A132" s="91" t="s">
        <v>251</v>
      </c>
    </row>
    <row r="133" ht="15.75">
      <c r="A133" s="91" t="s">
        <v>205</v>
      </c>
    </row>
    <row r="134" ht="15.75">
      <c r="A134" s="91" t="s">
        <v>252</v>
      </c>
    </row>
    <row r="135" ht="15.75">
      <c r="A135" s="91" t="s">
        <v>206</v>
      </c>
    </row>
    <row r="136" ht="15.75">
      <c r="A136" s="91" t="s">
        <v>253</v>
      </c>
    </row>
    <row r="137" ht="15.75">
      <c r="A137" s="91" t="s">
        <v>207</v>
      </c>
    </row>
    <row r="138" ht="15.75">
      <c r="A138" s="91" t="s">
        <v>211</v>
      </c>
    </row>
    <row r="139" ht="15.75">
      <c r="A139" s="91" t="s">
        <v>254</v>
      </c>
    </row>
    <row r="140" ht="15.75">
      <c r="A140" s="91" t="s">
        <v>229</v>
      </c>
    </row>
    <row r="141" ht="15.75">
      <c r="A141" s="91" t="s">
        <v>230</v>
      </c>
    </row>
    <row r="142" ht="15.75">
      <c r="A142" s="91" t="s">
        <v>231</v>
      </c>
    </row>
    <row r="143" ht="15.75">
      <c r="A143" s="91" t="s">
        <v>215</v>
      </c>
    </row>
    <row r="144" ht="15.75">
      <c r="A144" s="91" t="s">
        <v>216</v>
      </c>
    </row>
    <row r="145" ht="15.75">
      <c r="A145" s="91" t="s">
        <v>217</v>
      </c>
    </row>
    <row r="146" ht="15.75">
      <c r="A146" s="91" t="s">
        <v>226</v>
      </c>
    </row>
    <row r="147" ht="15.75">
      <c r="A147" s="91" t="s">
        <v>227</v>
      </c>
    </row>
    <row r="148" ht="15.75">
      <c r="A148" s="91" t="s">
        <v>228</v>
      </c>
    </row>
    <row r="149" ht="15.75">
      <c r="A149" s="91" t="s">
        <v>239</v>
      </c>
    </row>
    <row r="150" ht="15.7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08" t="s">
        <v>384</v>
      </c>
      <c r="B2" s="609"/>
      <c r="C2" s="609"/>
      <c r="D2" s="609"/>
      <c r="E2" s="609"/>
      <c r="F2" s="609"/>
    </row>
    <row r="4" spans="1:6" ht="15.75">
      <c r="A4" s="383"/>
      <c r="B4" s="383"/>
      <c r="C4" s="383"/>
      <c r="D4" s="385"/>
      <c r="E4" s="383"/>
      <c r="F4" s="383"/>
    </row>
    <row r="5" spans="1:6" ht="15.75">
      <c r="A5" s="384" t="s">
        <v>385</v>
      </c>
      <c r="B5" s="592" t="s">
        <v>822</v>
      </c>
      <c r="C5" s="386"/>
      <c r="D5" s="384" t="s">
        <v>799</v>
      </c>
      <c r="E5" s="383"/>
      <c r="F5" s="383"/>
    </row>
    <row r="6" spans="1:6" ht="15.75">
      <c r="A6" s="384"/>
      <c r="B6" s="387"/>
      <c r="C6" s="388"/>
      <c r="D6" s="384" t="s">
        <v>798</v>
      </c>
      <c r="E6" s="383"/>
      <c r="F6" s="383"/>
    </row>
    <row r="7" spans="1:6" ht="15.75">
      <c r="A7" s="384" t="s">
        <v>386</v>
      </c>
      <c r="B7" s="592" t="s">
        <v>811</v>
      </c>
      <c r="C7" s="389"/>
      <c r="D7" s="384"/>
      <c r="E7" s="383"/>
      <c r="F7" s="383"/>
    </row>
    <row r="8" spans="1:6" ht="15.75">
      <c r="A8" s="384"/>
      <c r="B8" s="384"/>
      <c r="C8" s="384"/>
      <c r="D8" s="384"/>
      <c r="E8" s="383"/>
      <c r="F8" s="383"/>
    </row>
    <row r="9" spans="1:6" ht="15.75">
      <c r="A9" s="384" t="s">
        <v>387</v>
      </c>
      <c r="B9" s="590" t="s">
        <v>809</v>
      </c>
      <c r="C9" s="390"/>
      <c r="D9" s="390"/>
      <c r="E9" s="391"/>
      <c r="F9" s="383"/>
    </row>
    <row r="10" spans="1:6" ht="15.75">
      <c r="A10" s="384"/>
      <c r="B10" s="384"/>
      <c r="C10" s="384"/>
      <c r="D10" s="384"/>
      <c r="E10" s="383"/>
      <c r="F10" s="383"/>
    </row>
    <row r="11" spans="1:6" ht="15.75">
      <c r="A11" s="384"/>
      <c r="B11" s="384"/>
      <c r="C11" s="384"/>
      <c r="D11" s="384"/>
      <c r="E11" s="383"/>
      <c r="F11" s="383"/>
    </row>
    <row r="12" spans="1:6" ht="15.75">
      <c r="A12" s="384" t="s">
        <v>388</v>
      </c>
      <c r="B12" s="591" t="s">
        <v>810</v>
      </c>
      <c r="C12" s="390"/>
      <c r="D12" s="390"/>
      <c r="E12" s="391"/>
      <c r="F12" s="383"/>
    </row>
    <row r="15" spans="1:6" ht="15.75">
      <c r="A15" s="610" t="s">
        <v>389</v>
      </c>
      <c r="B15" s="610"/>
      <c r="C15" s="384"/>
      <c r="D15" s="384"/>
      <c r="E15" s="384"/>
      <c r="F15" s="383"/>
    </row>
    <row r="16" spans="1:6" ht="15.75">
      <c r="A16" s="384"/>
      <c r="B16" s="384"/>
      <c r="C16" s="384"/>
      <c r="D16" s="384"/>
      <c r="E16" s="384"/>
      <c r="F16" s="383"/>
    </row>
    <row r="17" spans="1:5" ht="15.75">
      <c r="A17" s="384" t="s">
        <v>385</v>
      </c>
      <c r="B17" s="387"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3" t="s">
        <v>73</v>
      </c>
      <c r="C1" s="613"/>
      <c r="D1" s="613"/>
      <c r="E1" s="613"/>
      <c r="F1" s="613"/>
      <c r="G1" s="613"/>
      <c r="H1" s="14">
        <f>inputPrYr!D5</f>
        <v>2012</v>
      </c>
    </row>
    <row r="2" spans="3:7" s="14" customFormat="1" ht="15.75">
      <c r="C2" s="156"/>
      <c r="D2" s="156"/>
      <c r="E2" s="156"/>
      <c r="F2" s="156"/>
      <c r="G2" s="63"/>
    </row>
    <row r="3" spans="2:8" s="14" customFormat="1" ht="15.75">
      <c r="B3" s="622" t="str">
        <f>CONCATENATE("To the Clerk of ",inputPrYr!D3,", State of Kansas")</f>
        <v>To the Clerk of Thomas County, State of Kansas</v>
      </c>
      <c r="C3" s="621"/>
      <c r="D3" s="621"/>
      <c r="E3" s="621"/>
      <c r="F3" s="621"/>
      <c r="G3" s="621"/>
      <c r="H3" s="621"/>
    </row>
    <row r="4" spans="2:7" s="14" customFormat="1" ht="15.75">
      <c r="B4" s="158" t="s">
        <v>155</v>
      </c>
      <c r="C4" s="156"/>
      <c r="D4" s="156"/>
      <c r="E4" s="156"/>
      <c r="F4" s="156"/>
      <c r="G4" s="156"/>
    </row>
    <row r="5" s="14" customFormat="1" ht="15.75">
      <c r="D5" s="424" t="str">
        <f>inputPrYr!D2</f>
        <v>Wendell Township</v>
      </c>
    </row>
    <row r="6" spans="2:7" s="14" customFormat="1" ht="15.75">
      <c r="B6" s="620" t="s">
        <v>153</v>
      </c>
      <c r="C6" s="621"/>
      <c r="D6" s="621"/>
      <c r="E6" s="621"/>
      <c r="F6" s="621"/>
      <c r="G6" s="621"/>
    </row>
    <row r="7" spans="2:7" s="14" customFormat="1" ht="15.75" customHeight="1">
      <c r="B7" s="622" t="s">
        <v>154</v>
      </c>
      <c r="C7" s="623"/>
      <c r="D7" s="623"/>
      <c r="E7" s="623"/>
      <c r="F7" s="623"/>
      <c r="G7" s="623"/>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17" t="str">
        <f>CONCATENATE("",H1," Adopted Budget")</f>
        <v>2012 Adopted Budget</v>
      </c>
      <c r="F11" s="618"/>
      <c r="G11" s="619"/>
    </row>
    <row r="12" spans="2:7" s="14" customFormat="1" ht="15.75">
      <c r="B12" s="22"/>
      <c r="D12" s="77"/>
      <c r="E12" s="279" t="s">
        <v>289</v>
      </c>
      <c r="F12" s="614" t="str">
        <f>CONCATENATE("Amount of ",H1-1," Ad Valorem Tax")</f>
        <v>Amount of 2011 Ad Valorem Tax</v>
      </c>
      <c r="G12" s="23" t="s">
        <v>290</v>
      </c>
    </row>
    <row r="13" spans="4:7" s="14" customFormat="1" ht="15.75">
      <c r="D13" s="23" t="s">
        <v>291</v>
      </c>
      <c r="E13" s="567" t="s">
        <v>219</v>
      </c>
      <c r="F13" s="615"/>
      <c r="G13" s="167" t="s">
        <v>292</v>
      </c>
    </row>
    <row r="14" spans="2:7" s="14" customFormat="1" ht="15.75">
      <c r="B14" s="82" t="s">
        <v>293</v>
      </c>
      <c r="C14" s="20"/>
      <c r="D14" s="26" t="s">
        <v>294</v>
      </c>
      <c r="E14" s="568" t="s">
        <v>746</v>
      </c>
      <c r="F14" s="616"/>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89451</v>
      </c>
      <c r="F20" s="172">
        <f>IF(gen!$E$57&lt;&gt;0,gen!$E$57,0)</f>
        <v>43508</v>
      </c>
      <c r="G20" s="168">
        <f>IF(AND(gen!E57=0,$C$38&gt;=0)," ",IF(AND(F20&gt;0,$C$38=0)," ",IF(AND(F20&gt;0,$C$38&gt;0),ROUND(F20/$C$38*1000,3))))</f>
        <v>31.922</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89451</v>
      </c>
      <c r="F33" s="292">
        <f>SUM(F20:F28)</f>
        <v>43508</v>
      </c>
      <c r="G33" s="293">
        <f>IF(SUM(G20:G28)&gt;0,SUM(G20:G28),"")</f>
        <v>31.922</v>
      </c>
    </row>
    <row r="34" spans="2:4" s="14" customFormat="1" ht="16.5" thickTop="1">
      <c r="B34" s="27" t="s">
        <v>174</v>
      </c>
      <c r="C34" s="283"/>
      <c r="D34" s="288">
        <f>summ!D47</f>
        <v>7</v>
      </c>
    </row>
    <row r="35" spans="2:6" s="14" customFormat="1" ht="15.75">
      <c r="B35" s="27" t="s">
        <v>225</v>
      </c>
      <c r="C35" s="28"/>
      <c r="D35" s="288">
        <f>IF(nhood!C37&gt;0,nhood!C37,"")</f>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24" t="s">
        <v>128</v>
      </c>
      <c r="D37" s="625"/>
      <c r="E37" s="298"/>
      <c r="G37" s="22" t="s">
        <v>302</v>
      </c>
    </row>
    <row r="38" spans="2:7" s="14" customFormat="1" ht="15.75">
      <c r="B38" s="27" t="s">
        <v>102</v>
      </c>
      <c r="C38" s="626">
        <v>1362952</v>
      </c>
      <c r="D38" s="627"/>
      <c r="E38" s="299"/>
      <c r="G38" s="22"/>
    </row>
    <row r="39" spans="2:7" s="14" customFormat="1" ht="15.75">
      <c r="B39" s="300"/>
      <c r="C39" s="628" t="str">
        <f>CONCATENATE("Nov. 1, ",H1-1," Valuation")</f>
        <v>Nov. 1, 2011 Valuation</v>
      </c>
      <c r="D39" s="629"/>
      <c r="E39" s="298"/>
      <c r="G39" s="22"/>
    </row>
    <row r="40" spans="2:7" s="14" customFormat="1" ht="15.75">
      <c r="B40" s="300" t="s">
        <v>303</v>
      </c>
      <c r="E40" s="19"/>
      <c r="G40" s="22"/>
    </row>
    <row r="41" spans="2:7" s="14" customFormat="1" ht="15.75">
      <c r="B41" s="301" t="s">
        <v>823</v>
      </c>
      <c r="C41" s="301"/>
      <c r="E41" s="298"/>
      <c r="F41" s="19"/>
      <c r="G41" s="19"/>
    </row>
    <row r="42" spans="2:3" s="14" customFormat="1" ht="15.75">
      <c r="B42" s="302" t="s">
        <v>808</v>
      </c>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76" t="s">
        <v>152</v>
      </c>
      <c r="C49" s="305">
        <f>H1-1</f>
        <v>2011</v>
      </c>
      <c r="D49" s="22"/>
      <c r="E49" s="82"/>
      <c r="F49" s="174"/>
      <c r="G49" s="174"/>
      <c r="H49" s="101"/>
    </row>
    <row r="50" spans="2:8" ht="15.75">
      <c r="B50" s="14"/>
      <c r="C50" s="14"/>
      <c r="D50" s="14"/>
      <c r="E50" s="14"/>
      <c r="F50" s="22"/>
      <c r="G50" s="14"/>
      <c r="H50" s="101"/>
    </row>
    <row r="51" spans="2:8" ht="15.75">
      <c r="B51" s="566"/>
      <c r="C51" s="14"/>
      <c r="D51" s="14"/>
      <c r="E51" s="20"/>
      <c r="F51" s="20"/>
      <c r="G51" s="20"/>
      <c r="H51" s="101"/>
    </row>
    <row r="52" spans="2:7" ht="15.75">
      <c r="B52" s="49" t="s">
        <v>305</v>
      </c>
      <c r="C52" s="14"/>
      <c r="D52" s="14"/>
      <c r="E52" s="611" t="s">
        <v>304</v>
      </c>
      <c r="F52" s="612"/>
      <c r="G52" s="61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5"/>
      <c r="G56" s="14"/>
    </row>
    <row r="57" spans="2:7" ht="15.75">
      <c r="B57" s="304" t="s">
        <v>1</v>
      </c>
      <c r="C57" s="303"/>
      <c r="D57" s="303"/>
      <c r="E57" s="303"/>
      <c r="F57" s="425"/>
      <c r="G57" s="14"/>
    </row>
    <row r="58" spans="2:7" ht="15.75">
      <c r="B58" s="304"/>
      <c r="C58" s="303"/>
      <c r="D58" s="303"/>
      <c r="E58" s="303"/>
      <c r="F58" s="425"/>
      <c r="G58" s="14"/>
    </row>
    <row r="59" spans="2:7" ht="15.75">
      <c r="B59" s="14"/>
      <c r="C59" s="14"/>
      <c r="D59" s="14"/>
      <c r="E59" s="14"/>
      <c r="F59" s="14"/>
      <c r="G59" s="14"/>
    </row>
    <row r="60" spans="2:7" ht="15.75">
      <c r="B60" s="584"/>
      <c r="C60" s="585"/>
      <c r="D60" s="585"/>
      <c r="E60" s="585"/>
      <c r="F60" s="585"/>
      <c r="G60" s="585"/>
    </row>
    <row r="61" spans="2:7" ht="15.75">
      <c r="B61" s="584"/>
      <c r="C61" s="585"/>
      <c r="D61" s="585"/>
      <c r="E61" s="585"/>
      <c r="F61" s="585"/>
      <c r="G61" s="585"/>
    </row>
    <row r="62" spans="2:7" ht="15.75">
      <c r="B62" s="584"/>
      <c r="C62" s="585"/>
      <c r="D62" s="585"/>
      <c r="E62" s="586"/>
      <c r="F62" s="587"/>
      <c r="G62" s="58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973113"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2">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Wendell Township</v>
      </c>
      <c r="D1" s="14"/>
      <c r="E1" s="14"/>
      <c r="F1" s="14"/>
      <c r="G1" s="14"/>
      <c r="H1" s="14"/>
      <c r="I1" s="14"/>
      <c r="J1" s="14">
        <f>inputPrYr!D5</f>
        <v>2012</v>
      </c>
    </row>
    <row r="2" spans="1:10" ht="15.75">
      <c r="A2" s="14"/>
      <c r="B2" s="14"/>
      <c r="C2" s="14"/>
      <c r="D2" s="14"/>
      <c r="E2" s="14"/>
      <c r="F2" s="14"/>
      <c r="G2" s="14"/>
      <c r="H2" s="14"/>
      <c r="I2" s="14"/>
      <c r="J2" s="14"/>
    </row>
    <row r="3" spans="1:10" ht="15.75">
      <c r="A3" s="631" t="str">
        <f>CONCATENATE("Computation to Determine Limit for ",J1,"")</f>
        <v>Computation to Determine Limit for 2012</v>
      </c>
      <c r="B3" s="613"/>
      <c r="C3" s="613"/>
      <c r="D3" s="613"/>
      <c r="E3" s="613"/>
      <c r="F3" s="613"/>
      <c r="G3" s="613"/>
      <c r="H3" s="613"/>
      <c r="I3" s="613"/>
      <c r="J3" s="613"/>
    </row>
    <row r="4" spans="1:10" ht="15.75">
      <c r="A4" s="14"/>
      <c r="B4" s="14"/>
      <c r="C4" s="14"/>
      <c r="D4" s="14"/>
      <c r="E4" s="613"/>
      <c r="F4" s="613"/>
      <c r="G4" s="613"/>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42451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42451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30827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40130</v>
      </c>
      <c r="F14" s="270"/>
      <c r="G14" s="55"/>
      <c r="H14" s="55"/>
      <c r="I14" s="53"/>
      <c r="J14" s="55"/>
    </row>
    <row r="15" spans="1:10" ht="15.75">
      <c r="A15" s="269"/>
      <c r="B15" s="14" t="s">
        <v>91</v>
      </c>
      <c r="C15" s="14" t="str">
        <f>CONCATENATE("Personal Property ",J1-2,"")</f>
        <v>Personal Property 2010</v>
      </c>
      <c r="D15" s="269" t="s">
        <v>86</v>
      </c>
      <c r="E15" s="273">
        <f>inputOth!E11</f>
        <v>38158</v>
      </c>
      <c r="F15" s="270"/>
      <c r="G15" s="53"/>
      <c r="H15" s="53"/>
      <c r="I15" s="55"/>
      <c r="J15" s="55"/>
    </row>
    <row r="16" spans="1:10" ht="15.75">
      <c r="A16" s="269"/>
      <c r="B16" s="14" t="s">
        <v>92</v>
      </c>
      <c r="C16" s="14" t="s">
        <v>112</v>
      </c>
      <c r="D16" s="14"/>
      <c r="E16" s="55"/>
      <c r="F16" s="55" t="s">
        <v>15</v>
      </c>
      <c r="G16" s="271">
        <f>IF(E14&gt;E15,E14-E15,0)</f>
        <v>1972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250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33049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1360444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1327395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0.024897637854594902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1057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43508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43508</v>
      </c>
    </row>
    <row r="35" spans="1:10" ht="16.5" thickTop="1">
      <c r="A35" s="14"/>
      <c r="B35" s="14"/>
      <c r="C35" s="14"/>
      <c r="D35" s="14"/>
      <c r="E35" s="14"/>
      <c r="F35" s="14"/>
      <c r="G35" s="14"/>
      <c r="H35" s="14"/>
      <c r="I35" s="14"/>
      <c r="J35" s="14"/>
    </row>
    <row r="36" spans="1:10" s="278" customFormat="1" ht="18.75">
      <c r="A36" s="630" t="str">
        <f>CONCATENATE("If the ",J1," budget includes tax levies exceeding the total on line 14, you must")</f>
        <v>If the 2012 budget includes tax levies exceeding the total on line 14, you must</v>
      </c>
      <c r="B36" s="630"/>
      <c r="C36" s="630"/>
      <c r="D36" s="630"/>
      <c r="E36" s="630"/>
      <c r="F36" s="630"/>
      <c r="G36" s="630"/>
      <c r="H36" s="630"/>
      <c r="I36" s="630"/>
      <c r="J36" s="630"/>
    </row>
    <row r="37" spans="1:10" s="278" customFormat="1" ht="18.75">
      <c r="A37" s="630" t="s">
        <v>117</v>
      </c>
      <c r="B37" s="630"/>
      <c r="C37" s="630"/>
      <c r="D37" s="630"/>
      <c r="E37" s="630"/>
      <c r="F37" s="630"/>
      <c r="G37" s="630"/>
      <c r="H37" s="630"/>
      <c r="I37" s="630"/>
      <c r="J37" s="63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Wendell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36" t="s">
        <v>238</v>
      </c>
      <c r="C6" s="612"/>
      <c r="D6" s="612"/>
      <c r="E6" s="612"/>
      <c r="F6" s="612"/>
      <c r="G6" s="612"/>
      <c r="H6" s="612"/>
      <c r="I6" s="612"/>
      <c r="J6" s="612"/>
      <c r="K6" s="612"/>
      <c r="L6" s="61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2" t="str">
        <f>CONCATENATE("Budget Tax Levy Amount for ",J1-2,"")</f>
        <v>Budget Tax Levy Amount for 2010</v>
      </c>
      <c r="E9" s="632" t="str">
        <f>CONCATENATE("Budget Tax Levy Rate for ",J1-1,"")</f>
        <v>Budget Tax Levy Rate for 2011</v>
      </c>
      <c r="F9" s="250"/>
      <c r="G9" s="617" t="str">
        <f>CONCATENATE("Allocation for Year ",J1,"")</f>
        <v>Allocation for Year 2012</v>
      </c>
      <c r="H9" s="634"/>
      <c r="I9" s="634"/>
      <c r="J9" s="634"/>
      <c r="K9" s="634"/>
      <c r="L9" s="635"/>
    </row>
    <row r="10" spans="2:12" ht="15.75">
      <c r="B10" s="251" t="str">
        <f>CONCATENATE("",J1-1," Budgeted Funds")</f>
        <v>2011 Budgeted Funds</v>
      </c>
      <c r="C10" s="190"/>
      <c r="D10" s="633"/>
      <c r="E10" s="633"/>
      <c r="F10" s="25"/>
      <c r="G10" s="26" t="s">
        <v>81</v>
      </c>
      <c r="H10" s="26"/>
      <c r="I10" s="26" t="s">
        <v>82</v>
      </c>
      <c r="J10" s="167" t="s">
        <v>125</v>
      </c>
      <c r="K10" s="167" t="s">
        <v>166</v>
      </c>
      <c r="L10" s="111"/>
    </row>
    <row r="11" spans="2:12" ht="15.75">
      <c r="B11" s="96" t="str">
        <f>inputPrYr!B16</f>
        <v>General</v>
      </c>
      <c r="C11" s="252"/>
      <c r="D11" s="96">
        <f>IF(inputPrYr!E16&gt;0,inputPrYr!E16,"  ")</f>
        <v>42451</v>
      </c>
      <c r="E11" s="253">
        <f>IF(inputOth!D17&gt;0,inputOth!D17,"  ")</f>
        <v>32.438</v>
      </c>
      <c r="F11" s="254"/>
      <c r="G11" s="96">
        <f>IF(inputPrYr!E16=0,0,G22-SUM(G12:G19))</f>
        <v>2672</v>
      </c>
      <c r="H11" s="255"/>
      <c r="I11" s="96">
        <f>IF(inputPrYr!E16=0,0,I24-SUM(I12:I19))</f>
        <v>88</v>
      </c>
      <c r="J11" s="96">
        <f>IF(inputPrYr!E16=0,0,J26-SUM(J12:J19))</f>
        <v>801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42451</v>
      </c>
      <c r="E20" s="259">
        <f>SUM(E11:E19)</f>
        <v>32.438</v>
      </c>
      <c r="F20" s="260"/>
      <c r="G20" s="258">
        <f>SUM(G11:G19)</f>
        <v>2672</v>
      </c>
      <c r="H20" s="258"/>
      <c r="I20" s="258">
        <f>SUM(I11:I19)</f>
        <v>88</v>
      </c>
      <c r="J20" s="258">
        <f>SUM(J11:J19)</f>
        <v>801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2672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88</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801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0.0629431579939224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0.0020729782572848697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0.018868813455513417</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Wendell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3" t="s">
        <v>175</v>
      </c>
      <c r="B5" s="613"/>
      <c r="C5" s="613"/>
      <c r="D5" s="613"/>
      <c r="E5" s="613"/>
      <c r="F5" s="61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4" t="s">
        <v>636</v>
      </c>
      <c r="B32" s="405"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2011-07-14T13:33:31Z</cp:lastPrinted>
  <dcterms:created xsi:type="dcterms:W3CDTF">1998-08-26T16:30:41Z</dcterms:created>
  <dcterms:modified xsi:type="dcterms:W3CDTF">2011-10-25T08:31:43Z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