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<sst xmlns="http://schemas.openxmlformats.org/spreadsheetml/2006/main" count="253" uniqueCount="209">
  <si>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</si>
  <si>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</si>
  <si>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</si>
  <si>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</si>
  <si>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</si>
  <si>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</si>
  <si>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</si>
  <si>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</si>
  <si>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</si>
  <si>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</si>
  <si>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</si>
  <si>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</si>
  <si>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</si>
  <si>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</si>
  <si>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</si>
  <si>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</si>
  <si>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</si>
  <si>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</si>
  <si>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</si>
  <si>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</si>
  <si>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</si>
  <si>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</si>
  <si>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</si>
  <si>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</si>
  <si>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</si>
  <si>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</si>
  <si>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</si>
  <si>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</si>
  <si>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</si>
  <si>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</si>
  <si>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</si>
  <si>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</si>
  <si>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</si>
  <si>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</si>
  <si>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</si>
  <si>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</si>
  <si>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</si>
  <si>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</si>
  <si>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</si>
  <si>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</si>
  <si>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</si>
  <si>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</si>
  <si>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</si>
  <si>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</si>
  <si>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</si>
  <si>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</si>
  <si>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</si>
  <si>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</si>
  <si>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</si>
  <si>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</si>
  <si>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</si>
  <si>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</si>
  <si>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</si>
  <si>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</si>
  <si>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</si>
  <si>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</si>
  <si>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</si>
  <si>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</si>
  <si>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</si>
  <si>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</si>
  <si>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</si>
  <si>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</si>
  <si>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</si>
  <si>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</si>
  <si>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</si>
  <si>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</si>
  <si>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</si>
  <si>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</si>
  <si>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</si>
  <si>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</si>
  <si>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</si>
  <si>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</si>
  <si>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</si>
  <si>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</si>
  <si>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</si>
  <si>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</si>
  <si>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</si>
  <si>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</si>
  <si>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</si>
  <si>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</si>
  <si>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</si>
  <si>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</si>
  <si>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</si>
  <si>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</si>
  <si>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</si>
  <si>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</si>
  <si>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</si>
  <si>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</si>
  <si>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</si>
  <si>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</si>
  <si>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</si>
  <si>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</si>
  <si>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</si>
  <si>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</si>
  <si>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</si>
  <si>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</si>
  <si>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</si>
  <si>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</si>
  <si>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</si>
  <si>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</si>
  <si>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</si>
  <si>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</si>
  <si>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</si>
  <si>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</si>
  <si>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</si>
  <si>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</si>
  <si>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</si>
  <si>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</si>
  <si>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</si>
  <si>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</si>
  <si>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</si>
  <si>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</si>
  <si>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</si>
  <si>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</si>
  <si>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</si>
  <si>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</si>
  <si>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</si>
  <si>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</si>
  <si>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</si>
  <si>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</si>
  <si>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</si>
  <si>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</si>
  <si>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</si>
  <si>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</si>
  <si>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</si>
  <si>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</si>
  <si>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</si>
  <si>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</si>
  <si>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</si>
  <si>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</si>
  <si>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</si>
  <si>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</si>
  <si>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</si>
  <si>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</si>
  <si>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</si>
  <si>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</si>
  <si>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</si>
  <si>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</si>
  <si>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</si>
  <si>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</si>
  <si>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</si>
  <si>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</si>
  <si>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</si>
  <si>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</si>
  <si>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</si>
  <si>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</si>
  <si>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</si>
  <si>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</si>
  <si>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</si>
  <si>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</si>
  <si>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</si>
  <si>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</si>
  <si>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</si>
  <si>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</si>
  <si>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</si>
  <si>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</si>
  <si>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</si>
  <si>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</si>
  <si>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</si>
  <si>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</si>
  <si>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</si>
  <si>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</si>
  <si>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</si>
  <si>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</si>
  <si>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</si>
  <si>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</si>
  <si>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</si>
  <si>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</si>
  <si>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</si>
  <si>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</si>
  <si>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</si>
  <si>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</si>
  <si>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</si>
  <si>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</si>
  <si>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</si>
  <si>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</si>
  <si>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</si>
  <si>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</si>
  <si>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</si>
  <si>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</si>
  <si>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</si>
  <si>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</si>
  <si>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</si>
  <si>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</si>
  <si>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</si>
  <si>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</si>
  <si>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</si>
  <si>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</si>
  <si>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</si>
  <si>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</si>
  <si>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</si>
  <si>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</si>
  <si>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</si>
  <si>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</si>
  <si>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</si>
  <si>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</si>
  <si>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</si>
  <si>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</si>
  <si>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</si>
  <si>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</si>
  <si>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</si>
  <si>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</si>
  <si>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</si>
  <si>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</si>
  <si>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</si>
  <si>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</si>
  <si>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Lincoln Township</t>
  </si>
  <si>
    <t>Cemetery Operations</t>
  </si>
  <si>
    <t>Interest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</si>
</sst>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447675</xdr:colOff>
      <xdr:row>101</xdr:row>
      <xdr:rowOff>171450</xdr:rowOff>
    </xdr:to>
    <xdr:pic>
      <xdr:nvPicPr>
        <xdr:cNvPr id="1" name="Picture 1"/>
        <xdr:cNvPicPr preferRelativeResize="1">
          <a:picLocks noChangeAspect="1"/>
        </xdr:cNvPicPr>
      </xdr:nvPicPr>
      <xdr:blipFill>
        <a:blip r:embed="rId1"/>
        <a:stretch>
          <a:fillRect/>
        </a:stretch>
      </xdr:blipFill>
      <xdr:spPr>
        <a:xfrm>
          <a:off x="0" y="0"/>
          <a:ext cx="15535275" cy="2037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409575</xdr:colOff>
      <xdr:row>57</xdr:row>
      <xdr:rowOff>19050</xdr:rowOff>
    </xdr:to>
    <xdr:pic>
      <xdr:nvPicPr>
        <xdr:cNvPr id="1" name="Picture 1"/>
        <xdr:cNvPicPr preferRelativeResize="1">
          <a:picLocks noChangeAspect="1"/>
        </xdr:cNvPicPr>
      </xdr:nvPicPr>
      <xdr:blipFill>
        <a:blip r:embed="rId1"/>
        <a:stretch>
          <a:fillRect/>
        </a:stretch>
      </xdr:blipFill>
      <xdr:spPr>
        <a:xfrm>
          <a:off x="0" y="0"/>
          <a:ext cx="13820775" cy="11420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7">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8703</v>
      </c>
      <c r="E16" s="119">
        <v>0</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0</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8703</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0</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0</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0</v>
      </c>
    </row>
    <row r="49" spans="1:5" ht="15.75">
      <c r="A49" s="224" t="str">
        <f>CONCATENATE("Assessed Valuation (",D5-2," budget column)")</f>
        <v>Assessed Valuation (2010 budget column)</v>
      </c>
      <c r="B49" s="225"/>
      <c r="C49" s="157"/>
      <c r="D49" s="29"/>
      <c r="E49" s="119">
        <v>705376</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7">
      <selection activeCell="D51" sqref="D51"/>
    </sheetView>
  </sheetViews>
  <sheetFormatPr defaultColWidth="8.796875" defaultRowHeight="15.75"/>
  <sheetData>
    <row r="1" spans="1:7" ht="15.75">
      <c r="A1" s="356" t="s">
        <v>107</v>
      </c>
      <c r="B1" s="356"/>
      <c r="C1" s="356"/>
      <c r="D1" s="356"/>
      <c r="E1" s="356"/>
      <c r="F1" s="356"/>
      <c r="G1" s="356"/>
    </row>
    <row r="2" ht="15.75">
      <c r="A2" s="1"/>
    </row>
    <row r="3" spans="1:7" ht="15.75">
      <c r="A3" s="357" t="s">
        <v>108</v>
      </c>
      <c r="B3" s="357"/>
      <c r="C3" s="357"/>
      <c r="D3" s="357"/>
      <c r="E3" s="357"/>
      <c r="F3" s="357"/>
      <c r="G3" s="357"/>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358" t="str">
        <f>CONCATENATE("   with respect to financing the ",inputPrYr!D5," annual budget for ",(inputPrYr!D2)," , ",(inputPrYr!D3)," , Kansas.")</f>
        <v>   with respect to financing the 2012 annual budget for Lincoln Township , Smith County , Kansas.</v>
      </c>
      <c r="B7" s="350"/>
      <c r="C7" s="350"/>
      <c r="D7" s="350"/>
      <c r="E7" s="350"/>
      <c r="F7" s="350"/>
      <c r="G7" s="350"/>
    </row>
    <row r="8" spans="1:7" ht="15.75">
      <c r="A8" s="350"/>
      <c r="B8" s="350"/>
      <c r="C8" s="350"/>
      <c r="D8" s="350"/>
      <c r="E8" s="350"/>
      <c r="F8" s="350"/>
      <c r="G8" s="350"/>
    </row>
    <row r="9" ht="15.75">
      <c r="A9" s="1"/>
    </row>
    <row r="10" ht="15.75">
      <c r="A10" s="9" t="s">
        <v>109</v>
      </c>
    </row>
    <row r="11" ht="15.75">
      <c r="A11" s="7" t="str">
        <f>CONCATENATE("to finance the ",inputPrYr!D5," ",(inputPrYr!D2)," budget exceed the amount levied to finance the ",inputPrYr!D5-1,"")</f>
        <v>to finance the 2012 Lincoln Township budget exceed the amount levied to finance the 2011</v>
      </c>
    </row>
    <row r="12" spans="1:7" ht="15.75">
      <c r="A12" s="351"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350"/>
      <c r="C12" s="350"/>
      <c r="D12" s="350"/>
      <c r="E12" s="350"/>
      <c r="F12" s="350"/>
      <c r="G12" s="350"/>
    </row>
    <row r="13" spans="1:7" ht="15.75">
      <c r="A13" s="350"/>
      <c r="B13" s="350"/>
      <c r="C13" s="350"/>
      <c r="D13" s="350"/>
      <c r="E13" s="350"/>
      <c r="F13" s="350"/>
      <c r="G13" s="350"/>
    </row>
    <row r="14" spans="1:7" ht="15.75">
      <c r="A14" s="351" t="s">
        <v>114</v>
      </c>
      <c r="B14" s="350"/>
      <c r="C14" s="350"/>
      <c r="D14" s="350"/>
      <c r="E14" s="350"/>
      <c r="F14" s="350"/>
      <c r="G14" s="350"/>
    </row>
    <row r="15" spans="1:7" ht="15.75">
      <c r="A15" s="350"/>
      <c r="B15" s="350"/>
      <c r="C15" s="350"/>
      <c r="D15" s="350"/>
      <c r="E15" s="350"/>
      <c r="F15" s="350"/>
      <c r="G15" s="350"/>
    </row>
    <row r="16" spans="1:7" ht="15.75">
      <c r="A16" s="352"/>
      <c r="B16" s="352"/>
      <c r="C16" s="352"/>
      <c r="D16" s="352"/>
      <c r="E16" s="352"/>
      <c r="F16" s="352"/>
      <c r="G16" s="352"/>
    </row>
    <row r="17" ht="15.75">
      <c r="A17" s="2"/>
    </row>
    <row r="18" spans="1:7" ht="15.75">
      <c r="A18" s="354" t="s">
        <v>110</v>
      </c>
      <c r="B18" s="350"/>
      <c r="C18" s="350"/>
      <c r="D18" s="350"/>
      <c r="E18" s="350"/>
      <c r="F18" s="350"/>
      <c r="G18" s="350"/>
    </row>
    <row r="19" spans="1:7" ht="15.75">
      <c r="A19" s="350"/>
      <c r="B19" s="350"/>
      <c r="C19" s="350"/>
      <c r="D19" s="350"/>
      <c r="E19" s="350"/>
      <c r="F19" s="350"/>
      <c r="G19" s="350"/>
    </row>
    <row r="20" ht="15.75">
      <c r="A20" s="2"/>
    </row>
    <row r="21" spans="1:7" ht="15.75">
      <c r="A21" s="354" t="str">
        <f>CONCATENATE("Whereas, ",(inputPrYr!D2)," provides essential services to protect the safety and well being of the citizens of the township; and")</f>
        <v>Whereas, Lincoln Township provides essential services to protect the safety and well being of the citizens of the township; and</v>
      </c>
      <c r="B21" s="350"/>
      <c r="C21" s="350"/>
      <c r="D21" s="350"/>
      <c r="E21" s="350"/>
      <c r="F21" s="350"/>
      <c r="G21" s="350"/>
    </row>
    <row r="22" spans="1:7" ht="15.75">
      <c r="A22" s="350"/>
      <c r="B22" s="350"/>
      <c r="C22" s="350"/>
      <c r="D22" s="350"/>
      <c r="E22" s="350"/>
      <c r="F22" s="350"/>
      <c r="G22" s="350"/>
    </row>
    <row r="23" ht="15.75">
      <c r="A23" s="4"/>
    </row>
    <row r="24" ht="15.75">
      <c r="A24" s="3" t="s">
        <v>111</v>
      </c>
    </row>
    <row r="25" ht="15.75">
      <c r="A25" s="4"/>
    </row>
    <row r="26" spans="1:7" ht="15.75">
      <c r="A26" s="354"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Smith County, Kansas that is our desire to notify the public of increased property taxes to finance the 2012 Lincoln Township  budget as defined above.</v>
      </c>
      <c r="B26" s="350"/>
      <c r="C26" s="350"/>
      <c r="D26" s="350"/>
      <c r="E26" s="350"/>
      <c r="F26" s="350"/>
      <c r="G26" s="350"/>
    </row>
    <row r="27" spans="1:7" ht="15.75">
      <c r="A27" s="350"/>
      <c r="B27" s="350"/>
      <c r="C27" s="350"/>
      <c r="D27" s="350"/>
      <c r="E27" s="350"/>
      <c r="F27" s="350"/>
      <c r="G27" s="350"/>
    </row>
    <row r="28" spans="1:7" ht="15.75">
      <c r="A28" s="350"/>
      <c r="B28" s="350"/>
      <c r="C28" s="350"/>
      <c r="D28" s="350"/>
      <c r="E28" s="350"/>
      <c r="F28" s="350"/>
      <c r="G28" s="350"/>
    </row>
    <row r="29" ht="15.75">
      <c r="A29" s="4"/>
    </row>
    <row r="30" spans="1:7" ht="15.75">
      <c r="A30" s="349" t="str">
        <f>CONCATENATE("Adopted this _________ day of ___________, ",inputPrYr!D5-1," by the ",(inputPrYr!D2)," Board, ",(inputPrYr!D3),", Kansas.")</f>
        <v>Adopted this _________ day of ___________, 2011 by the Lincoln Township Board, Smith County, Kansas.</v>
      </c>
      <c r="B30" s="350"/>
      <c r="C30" s="350"/>
      <c r="D30" s="350"/>
      <c r="E30" s="350"/>
      <c r="F30" s="350"/>
      <c r="G30" s="350"/>
    </row>
    <row r="31" spans="1:7" ht="15.75">
      <c r="A31" s="350"/>
      <c r="B31" s="350"/>
      <c r="C31" s="350"/>
      <c r="D31" s="350"/>
      <c r="E31" s="350"/>
      <c r="F31" s="350"/>
      <c r="G31" s="350"/>
    </row>
    <row r="32" ht="15.75">
      <c r="A32" s="4"/>
    </row>
    <row r="33" spans="4:7" ht="15.75">
      <c r="D33" s="355" t="str">
        <f>CONCATENATE((inputPrYr!D2)," Board")</f>
        <v>Lincoln Township Board</v>
      </c>
      <c r="E33" s="355"/>
      <c r="F33" s="355"/>
      <c r="G33" s="355"/>
    </row>
    <row r="35" spans="4:7" ht="15.75">
      <c r="D35" s="353" t="s">
        <v>112</v>
      </c>
      <c r="E35" s="353"/>
      <c r="F35" s="353"/>
      <c r="G35" s="353"/>
    </row>
    <row r="36" spans="1:7" ht="15.75">
      <c r="A36" s="5"/>
      <c r="D36" s="353" t="s">
        <v>116</v>
      </c>
      <c r="E36" s="353"/>
      <c r="F36" s="353"/>
      <c r="G36" s="353"/>
    </row>
    <row r="37" spans="4:7" ht="15.75">
      <c r="D37" s="353"/>
      <c r="E37" s="353"/>
      <c r="F37" s="353"/>
      <c r="G37" s="353"/>
    </row>
    <row r="38" spans="4:7" ht="15.75">
      <c r="D38" s="353" t="s">
        <v>112</v>
      </c>
      <c r="E38" s="353"/>
      <c r="F38" s="353"/>
      <c r="G38" s="353"/>
    </row>
    <row r="39" spans="1:7" ht="15.75">
      <c r="A39" s="4"/>
      <c r="D39" s="353" t="s">
        <v>117</v>
      </c>
      <c r="E39" s="353"/>
      <c r="F39" s="353"/>
      <c r="G39" s="353"/>
    </row>
    <row r="40" spans="4:7" ht="15.75">
      <c r="D40" s="353"/>
      <c r="E40" s="353"/>
      <c r="F40" s="353"/>
      <c r="G40" s="353"/>
    </row>
    <row r="41" spans="4:7" ht="15.75">
      <c r="D41" s="353" t="s">
        <v>115</v>
      </c>
      <c r="E41" s="353"/>
      <c r="F41" s="353"/>
      <c r="G41" s="353"/>
    </row>
    <row r="42" spans="1:7" ht="15.75">
      <c r="A42" s="4"/>
      <c r="D42" s="353" t="s">
        <v>118</v>
      </c>
      <c r="E42" s="353"/>
      <c r="F42" s="353"/>
      <c r="G42" s="353"/>
    </row>
    <row r="43" ht="15.75">
      <c r="A43" s="6"/>
    </row>
    <row r="44" ht="15.75">
      <c r="A44" s="6"/>
    </row>
    <row r="45" ht="15.75">
      <c r="A45" s="6" t="s">
        <v>113</v>
      </c>
    </row>
    <row r="50" spans="3:4" ht="15.75">
      <c r="C50" s="10" t="s">
        <v>23</v>
      </c>
      <c r="D50" s="11"/>
    </row>
  </sheetData>
  <sheetProtection/>
  <mergeCells count="18">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 ref="A21:G22"/>
    <mergeCell ref="A26:G28"/>
    <mergeCell ref="D33:G33"/>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Lincoln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667675</v>
      </c>
    </row>
    <row r="8" spans="1:5" ht="15.75">
      <c r="A8" s="22" t="str">
        <f>CONCATENATE("New Improvements for ",E1-1,"")</f>
        <v>New Improvements for 2011</v>
      </c>
      <c r="B8" s="19"/>
      <c r="C8" s="19"/>
      <c r="D8" s="19"/>
      <c r="E8" s="175">
        <v>6953</v>
      </c>
    </row>
    <row r="9" spans="1:5" ht="15.75">
      <c r="A9" s="22" t="str">
        <f>CONCATENATE("Personal Property excluding oil, gas, and mobile homes - ",E1-1,"")</f>
        <v>Personal Property excluding oil, gas, and mobile homes - 2011</v>
      </c>
      <c r="B9" s="19"/>
      <c r="C9" s="19"/>
      <c r="D9" s="19"/>
      <c r="E9" s="175">
        <v>44663</v>
      </c>
    </row>
    <row r="10" spans="1:5" ht="15.75">
      <c r="A10" s="22" t="str">
        <f>CONCATENATE("Property that has changed in use for ",E1-1,"")</f>
        <v>Property that has changed in use for 2011</v>
      </c>
      <c r="B10" s="19"/>
      <c r="C10" s="19"/>
      <c r="D10" s="19"/>
      <c r="E10" s="175">
        <v>6055</v>
      </c>
    </row>
    <row r="11" spans="1:5" ht="15.75">
      <c r="A11" s="22" t="str">
        <f>CONCATENATE("Personal Property excluding oil, gas, and mobile homes- ",E1-2,"")</f>
        <v>Personal Property excluding oil, gas, and mobile homes- 2010</v>
      </c>
      <c r="B11" s="19"/>
      <c r="C11" s="19"/>
      <c r="D11" s="19"/>
      <c r="E11" s="175">
        <v>45286</v>
      </c>
    </row>
    <row r="12" spans="1:5" ht="15.75">
      <c r="A12" s="22" t="str">
        <f>CONCATENATE("Gross earnings (intangible) tax estimate for ",E1,"")</f>
        <v>Gross earnings (intangible) tax estimate for 2012</v>
      </c>
      <c r="B12" s="19"/>
      <c r="C12" s="19"/>
      <c r="D12" s="19"/>
      <c r="E12" s="175">
        <v>1247</v>
      </c>
    </row>
    <row r="13" spans="1:5" ht="15.75">
      <c r="A13" s="22" t="str">
        <f>CONCATENATE("Neighborhood Revitalization - ",E1,"")</f>
        <v>Neighborhood Revitalization - 2012</v>
      </c>
      <c r="B13" s="19"/>
      <c r="C13" s="19"/>
      <c r="D13" s="19"/>
      <c r="E13" s="175">
        <v>20834</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0</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0</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660663</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0</v>
      </c>
    </row>
    <row r="30" spans="1:5" ht="15.75">
      <c r="A30" s="188" t="s">
        <v>169</v>
      </c>
      <c r="B30" s="157"/>
      <c r="C30" s="157"/>
      <c r="D30" s="31"/>
      <c r="E30" s="34">
        <v>0</v>
      </c>
    </row>
    <row r="31" spans="1:5" ht="15.75">
      <c r="A31" s="188" t="s">
        <v>132</v>
      </c>
      <c r="B31" s="157"/>
      <c r="C31" s="157"/>
      <c r="D31" s="31"/>
      <c r="E31" s="34">
        <v>0</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8282</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E19" sqref="E19"/>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Lincoln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6297</v>
      </c>
      <c r="E18" s="114" t="str">
        <f>IF(gen!$G$47&lt;&gt;0,gen!$G$47,"0")</f>
        <v>0</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6297</v>
      </c>
      <c r="E23" s="246">
        <f>SUM(E18:E22)</f>
        <v>0</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19" sqref="E19"/>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Lincoln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0</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0</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6953</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44663</v>
      </c>
      <c r="F14" s="139"/>
      <c r="G14" s="57"/>
      <c r="H14" s="57"/>
      <c r="I14" s="55"/>
      <c r="J14" s="57"/>
    </row>
    <row r="15" spans="1:10" ht="15.75">
      <c r="A15" s="138"/>
      <c r="B15" s="14" t="s">
        <v>77</v>
      </c>
      <c r="C15" s="14" t="str">
        <f>CONCATENATE("Personal Property ",J1-2,"")</f>
        <v>Personal Property 2010</v>
      </c>
      <c r="D15" s="138" t="s">
        <v>72</v>
      </c>
      <c r="E15" s="142">
        <f>inputOth!E11</f>
        <v>45286</v>
      </c>
      <c r="F15" s="139"/>
      <c r="G15" s="55"/>
      <c r="H15" s="55"/>
      <c r="I15" s="57"/>
      <c r="J15" s="57"/>
    </row>
    <row r="16" spans="1:10" ht="15.75">
      <c r="A16" s="138"/>
      <c r="B16" s="14" t="s">
        <v>78</v>
      </c>
      <c r="C16" s="14" t="s">
        <v>91</v>
      </c>
      <c r="D16" s="14"/>
      <c r="E16" s="57"/>
      <c r="F16" s="57" t="s">
        <v>28</v>
      </c>
      <c r="G16" s="140">
        <f>IF(E14&gt;E15,E14-E15,0)</f>
        <v>0</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6055</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13008</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667675</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654667</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0.019869643650894272</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0</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0</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0</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E19" sqref="E19"/>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Lincoln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265" t="str">
        <f>IF(inputPrYr!E16&gt;0,inputPrYr!E16,"0")</f>
        <v>0</v>
      </c>
      <c r="D11" s="127" t="str">
        <f>IF(inputOth!D17&gt;0,inputOth!D17,"  ")</f>
        <v>  </v>
      </c>
      <c r="E11" s="128"/>
      <c r="F11" s="75">
        <f>IF(inputPrYr!E16=0,0,F20-SUM(F12:F17))</f>
        <v>0</v>
      </c>
      <c r="G11" s="129"/>
      <c r="H11" s="75">
        <f>IF(inputPrYr!E16=0,0,H22-SUM(H12:H17))</f>
        <v>0</v>
      </c>
      <c r="I11" s="75">
        <f>IF(inputPrYr!E16=0,0,I24-SUM(I12:I17))</f>
        <v>0</v>
      </c>
      <c r="J11" s="75">
        <f>IF(inputPrYr!E16=0,0,J26-SUM(J12:J17))</f>
        <v>0</v>
      </c>
      <c r="K11" s="130">
        <f>IF(inputOth!D17&gt;0,ROUND(D11*#REF!*-1,0),"")</f>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0</v>
      </c>
      <c r="D18" s="252">
        <f>SUM(D11:D17)</f>
        <v>0</v>
      </c>
      <c r="E18" s="253"/>
      <c r="F18" s="251">
        <f>SUM(F11:F17)</f>
        <v>0</v>
      </c>
      <c r="G18" s="251"/>
      <c r="H18" s="251">
        <f>SUM(H11:H17)</f>
        <v>0</v>
      </c>
      <c r="I18" s="251">
        <f>SUM(I11:I17)</f>
        <v>0</v>
      </c>
      <c r="J18" s="251">
        <f>SUM(J11:J17)</f>
        <v>0</v>
      </c>
      <c r="K18" s="254">
        <f>SUM(K11:K17)</f>
        <v>0</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0</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0</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0</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8">
      <selection activeCell="E19" sqref="E19"/>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Lincoln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9051</v>
      </c>
      <c r="D6" s="342"/>
      <c r="E6" s="326">
        <f>C42</f>
        <v>7548</v>
      </c>
      <c r="F6" s="327"/>
      <c r="G6" s="47">
        <f>E42</f>
        <v>5050</v>
      </c>
    </row>
    <row r="7" spans="1:7" s="230" customFormat="1" ht="15.75">
      <c r="A7" s="45" t="s">
        <v>103</v>
      </c>
      <c r="B7" s="256"/>
      <c r="C7" s="326"/>
      <c r="D7" s="327"/>
      <c r="E7" s="326"/>
      <c r="F7" s="327"/>
      <c r="G7" s="257"/>
    </row>
    <row r="8" spans="1:7" ht="15.75">
      <c r="A8" s="28" t="s">
        <v>29</v>
      </c>
      <c r="B8" s="29"/>
      <c r="C8" s="319">
        <v>0</v>
      </c>
      <c r="D8" s="320"/>
      <c r="E8" s="333">
        <f>ROUND(inputPrYr!E16*inputPrYr!E13,0)</f>
        <v>0</v>
      </c>
      <c r="F8" s="334"/>
      <c r="G8" s="33" t="s">
        <v>180</v>
      </c>
    </row>
    <row r="9" spans="1:7" ht="15.75">
      <c r="A9" s="28" t="s">
        <v>30</v>
      </c>
      <c r="B9" s="29"/>
      <c r="C9" s="319">
        <v>0</v>
      </c>
      <c r="D9" s="320"/>
      <c r="E9" s="319">
        <v>0</v>
      </c>
      <c r="F9" s="320"/>
      <c r="G9" s="34">
        <v>0</v>
      </c>
    </row>
    <row r="10" spans="1:7" ht="15.75">
      <c r="A10" s="28" t="s">
        <v>31</v>
      </c>
      <c r="B10" s="29"/>
      <c r="C10" s="319">
        <v>0</v>
      </c>
      <c r="D10" s="320"/>
      <c r="E10" s="319">
        <v>0</v>
      </c>
      <c r="F10" s="320"/>
      <c r="G10" s="32">
        <f>mvalloc!F11</f>
        <v>0</v>
      </c>
    </row>
    <row r="11" spans="1:7" ht="15.75">
      <c r="A11" s="28" t="s">
        <v>32</v>
      </c>
      <c r="B11" s="29"/>
      <c r="C11" s="319">
        <v>0</v>
      </c>
      <c r="D11" s="320"/>
      <c r="E11" s="319">
        <v>0</v>
      </c>
      <c r="F11" s="320"/>
      <c r="G11" s="32">
        <f>mvalloc!H11</f>
        <v>0</v>
      </c>
    </row>
    <row r="12" spans="1:7" ht="15.75">
      <c r="A12" s="35" t="s">
        <v>60</v>
      </c>
      <c r="B12" s="29"/>
      <c r="C12" s="319">
        <v>0</v>
      </c>
      <c r="D12" s="320"/>
      <c r="E12" s="319">
        <v>0</v>
      </c>
      <c r="F12" s="320"/>
      <c r="G12" s="32">
        <f>mvalloc!I11</f>
        <v>0</v>
      </c>
    </row>
    <row r="13" spans="1:7" ht="15.75">
      <c r="A13" s="35" t="s">
        <v>134</v>
      </c>
      <c r="B13" s="29"/>
      <c r="C13" s="319">
        <v>0</v>
      </c>
      <c r="D13" s="320"/>
      <c r="E13" s="319">
        <v>0</v>
      </c>
      <c r="F13" s="320"/>
      <c r="G13" s="32">
        <f>mvalloc!J11</f>
        <v>0</v>
      </c>
    </row>
    <row r="14" spans="1:7" ht="15.75">
      <c r="A14" s="28" t="s">
        <v>33</v>
      </c>
      <c r="B14" s="29"/>
      <c r="C14" s="319">
        <v>1724</v>
      </c>
      <c r="D14" s="320"/>
      <c r="E14" s="319">
        <v>1502</v>
      </c>
      <c r="F14" s="320"/>
      <c r="G14" s="32">
        <f>inputOth!E12</f>
        <v>1247</v>
      </c>
    </row>
    <row r="15" spans="1:7" ht="15.75">
      <c r="A15" s="37" t="s">
        <v>208</v>
      </c>
      <c r="B15" s="38"/>
      <c r="C15" s="319">
        <f>4+81+46</f>
        <v>131</v>
      </c>
      <c r="D15" s="320"/>
      <c r="E15" s="319">
        <v>0</v>
      </c>
      <c r="F15" s="320"/>
      <c r="G15" s="34">
        <v>0</v>
      </c>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1855</v>
      </c>
      <c r="D21" s="332"/>
      <c r="E21" s="331">
        <f>SUM(E8:E19)</f>
        <v>1502</v>
      </c>
      <c r="F21" s="332"/>
      <c r="G21" s="44">
        <f>SUM(G8:G19)</f>
        <v>1247</v>
      </c>
    </row>
    <row r="22" spans="1:7" ht="15.75">
      <c r="A22" s="45" t="s">
        <v>36</v>
      </c>
      <c r="B22" s="29"/>
      <c r="C22" s="331">
        <f>C21+C6</f>
        <v>10906</v>
      </c>
      <c r="D22" s="332"/>
      <c r="E22" s="331">
        <f>E21+E6</f>
        <v>9050</v>
      </c>
      <c r="F22" s="332"/>
      <c r="G22" s="44">
        <f>G21+G6</f>
        <v>6297</v>
      </c>
    </row>
    <row r="23" spans="1:7" s="230" customFormat="1" ht="15.75">
      <c r="A23" s="45" t="s">
        <v>37</v>
      </c>
      <c r="B23" s="256"/>
      <c r="C23" s="326"/>
      <c r="D23" s="327"/>
      <c r="E23" s="326"/>
      <c r="F23" s="327"/>
      <c r="G23" s="47"/>
    </row>
    <row r="24" spans="1:7" ht="15.75">
      <c r="A24" s="37" t="s">
        <v>202</v>
      </c>
      <c r="B24" s="38"/>
      <c r="C24" s="319">
        <v>150</v>
      </c>
      <c r="D24" s="320"/>
      <c r="E24" s="319">
        <v>150</v>
      </c>
      <c r="F24" s="320"/>
      <c r="G24" s="34">
        <v>150</v>
      </c>
    </row>
    <row r="25" spans="1:7" ht="15.75">
      <c r="A25" s="39" t="s">
        <v>203</v>
      </c>
      <c r="B25" s="38"/>
      <c r="C25" s="319">
        <v>223</v>
      </c>
      <c r="D25" s="320"/>
      <c r="E25" s="319">
        <v>250</v>
      </c>
      <c r="F25" s="320"/>
      <c r="G25" s="34">
        <v>500</v>
      </c>
    </row>
    <row r="26" spans="1:7" ht="15.75">
      <c r="A26" s="39" t="s">
        <v>204</v>
      </c>
      <c r="B26" s="38"/>
      <c r="C26" s="319">
        <v>1500</v>
      </c>
      <c r="D26" s="320"/>
      <c r="E26" s="319">
        <v>2000</v>
      </c>
      <c r="F26" s="320"/>
      <c r="G26" s="34">
        <v>2000</v>
      </c>
    </row>
    <row r="27" spans="1:7" ht="15.75">
      <c r="A27" s="39" t="s">
        <v>207</v>
      </c>
      <c r="B27" s="38"/>
      <c r="C27" s="319">
        <v>1485</v>
      </c>
      <c r="D27" s="320"/>
      <c r="E27" s="319">
        <v>1600</v>
      </c>
      <c r="F27" s="320"/>
      <c r="G27" s="34">
        <v>3647</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t="str">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3358</v>
      </c>
      <c r="D41" s="327"/>
      <c r="E41" s="326">
        <f>SUM(E24:E39)</f>
        <v>4000</v>
      </c>
      <c r="F41" s="327"/>
      <c r="G41" s="47">
        <f>SUM(G24:G37,G38:G39)</f>
        <v>6297</v>
      </c>
    </row>
    <row r="42" spans="1:7" s="230" customFormat="1" ht="15.75">
      <c r="A42" s="45" t="s">
        <v>102</v>
      </c>
      <c r="B42" s="256"/>
      <c r="C42" s="331">
        <f>C22-C41</f>
        <v>7548</v>
      </c>
      <c r="D42" s="332"/>
      <c r="E42" s="331">
        <f>SUM(E22-E41)</f>
        <v>5050</v>
      </c>
      <c r="F42" s="332"/>
      <c r="G42" s="257" t="s">
        <v>180</v>
      </c>
    </row>
    <row r="43" spans="1:8" ht="15.75">
      <c r="A43" s="48" t="str">
        <f>CONCATENATE("",G1-2,"/",G1-1," Budget Authority Amount:")</f>
        <v>2010/2011 Budget Authority Amount:</v>
      </c>
      <c r="B43" s="49">
        <f>inputOth!B44</f>
        <v>8282</v>
      </c>
      <c r="C43" s="50">
        <f>inputPrYr!D16</f>
        <v>8703</v>
      </c>
      <c r="D43" s="323" t="s">
        <v>160</v>
      </c>
      <c r="E43" s="324"/>
      <c r="F43" s="325"/>
      <c r="G43" s="34"/>
      <c r="H43" s="51">
        <f>IF(G41/0.95-G41&lt;G43,"Exceeds 5%","")</f>
      </c>
    </row>
    <row r="44" spans="1:7" ht="15.75">
      <c r="A44" s="48"/>
      <c r="B44" s="52">
        <f>IF(C41&gt;B43,"See Tab A","")</f>
      </c>
      <c r="C44" s="52">
        <f>IF(E41&gt;C43,"See Tab C","")</f>
      </c>
      <c r="D44" s="14"/>
      <c r="E44" s="315" t="s">
        <v>161</v>
      </c>
      <c r="F44" s="316"/>
      <c r="G44" s="32">
        <f>G41+G43</f>
        <v>6297</v>
      </c>
    </row>
    <row r="45" spans="1:7" ht="15.75">
      <c r="A45" s="48"/>
      <c r="B45" s="52">
        <f>IF(C42&lt;0,"See Tab B","")</f>
      </c>
      <c r="C45" s="62">
        <f>IF(E42&lt;0,"See Tab D","")</f>
      </c>
      <c r="D45" s="14"/>
      <c r="E45" s="315" t="s">
        <v>39</v>
      </c>
      <c r="F45" s="316"/>
      <c r="G45" s="46">
        <f>IF(G44-G22&gt;0,G44-G22,0)</f>
        <v>0</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0</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24:D24"/>
    <mergeCell ref="C25:D25"/>
    <mergeCell ref="C26:D26"/>
    <mergeCell ref="C27:D27"/>
    <mergeCell ref="C34:D34"/>
    <mergeCell ref="C35:D35"/>
    <mergeCell ref="E33:F33"/>
    <mergeCell ref="E34:F34"/>
    <mergeCell ref="E35:F35"/>
    <mergeCell ref="E36:F36"/>
    <mergeCell ref="C37:D37"/>
    <mergeCell ref="C36:D36"/>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C18:D18"/>
    <mergeCell ref="C14:D14"/>
    <mergeCell ref="C15:D15"/>
    <mergeCell ref="C16:D16"/>
    <mergeCell ref="E18:F18"/>
    <mergeCell ref="E13:F13"/>
    <mergeCell ref="E14:F14"/>
    <mergeCell ref="E15:F15"/>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E19" sqref="E19"/>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Lincoln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3358</v>
      </c>
      <c r="C17" s="268" t="str">
        <f>IF(inputPrYr!D39&gt;0,inputPrYr!D39,"0.000")</f>
        <v>0.000</v>
      </c>
      <c r="D17" s="75">
        <f>IF(gen!$E$41&lt;&gt;0,gen!$E$41,"  ")</f>
        <v>4000</v>
      </c>
      <c r="E17" s="268" t="str">
        <f>IF(inputOth!D17&gt;0,inputOth!D17,"0.000")</f>
        <v>0.000</v>
      </c>
      <c r="F17" s="75">
        <f>IF(gen!$G$41&lt;&gt;0,gen!$G$41,"  ")</f>
        <v>6297</v>
      </c>
      <c r="G17" s="274" t="str">
        <f>IF(gen!$G$47&lt;&gt;0,gen!$G$47,"0")</f>
        <v>0</v>
      </c>
      <c r="H17" s="271" t="str">
        <f>IF(gen!G47&gt;0,ROUND(G17/$F$28*1000,3),"0.000")</f>
        <v>0.000</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3358</v>
      </c>
      <c r="C23" s="270">
        <f t="shared" si="0"/>
        <v>0</v>
      </c>
      <c r="D23" s="259">
        <f t="shared" si="0"/>
        <v>4000</v>
      </c>
      <c r="E23" s="270">
        <f t="shared" si="0"/>
        <v>0</v>
      </c>
      <c r="F23" s="259">
        <f t="shared" si="0"/>
        <v>6297</v>
      </c>
      <c r="G23" s="259">
        <f t="shared" si="0"/>
        <v>0</v>
      </c>
      <c r="H23" s="270">
        <f t="shared" si="0"/>
        <v>0</v>
      </c>
    </row>
    <row r="24" spans="1:8" ht="15.75">
      <c r="A24" s="70" t="s">
        <v>48</v>
      </c>
      <c r="B24" s="75">
        <v>0</v>
      </c>
      <c r="C24" s="14"/>
      <c r="D24" s="75">
        <v>0</v>
      </c>
      <c r="E24" s="63"/>
      <c r="F24" s="75">
        <v>0</v>
      </c>
      <c r="G24" s="14"/>
      <c r="H24" s="14"/>
    </row>
    <row r="25" spans="1:8" ht="15.75">
      <c r="A25" s="70" t="s">
        <v>49</v>
      </c>
      <c r="B25" s="111">
        <f>B23-B24</f>
        <v>3358</v>
      </c>
      <c r="C25" s="14"/>
      <c r="D25" s="111">
        <f>D23-D24</f>
        <v>4000</v>
      </c>
      <c r="E25" s="14"/>
      <c r="F25" s="111">
        <f>F23-F24</f>
        <v>6297</v>
      </c>
      <c r="G25" s="14"/>
      <c r="H25" s="14"/>
    </row>
    <row r="26" spans="1:8" ht="15.75">
      <c r="A26" s="70" t="s">
        <v>50</v>
      </c>
      <c r="B26" s="75">
        <f>inputPrYr!E48</f>
        <v>0</v>
      </c>
      <c r="C26" s="63"/>
      <c r="D26" s="75">
        <f>inputPrYr!E23</f>
        <v>0</v>
      </c>
      <c r="E26" s="14"/>
      <c r="F26" s="112" t="s">
        <v>180</v>
      </c>
      <c r="G26" s="14"/>
      <c r="H26" s="14"/>
    </row>
    <row r="27" spans="1:8" ht="15.75">
      <c r="A27" s="22" t="s">
        <v>51</v>
      </c>
      <c r="B27" s="14"/>
      <c r="C27" s="63"/>
      <c r="D27" s="14"/>
      <c r="E27" s="63"/>
      <c r="F27" s="14"/>
      <c r="G27" s="14"/>
      <c r="H27" s="14"/>
    </row>
    <row r="28" spans="1:8" ht="15.75">
      <c r="A28" s="70" t="s">
        <v>52</v>
      </c>
      <c r="B28" s="75">
        <f>inputPrYr!E49</f>
        <v>705376</v>
      </c>
      <c r="C28" s="14"/>
      <c r="D28" s="75">
        <f>inputOth!E26</f>
        <v>660663</v>
      </c>
      <c r="E28" s="14"/>
      <c r="F28" s="75">
        <f>inputOth!E7</f>
        <v>667675</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E19" sqref="E1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Lincoln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0</v>
      </c>
      <c r="D6" s="86" t="str">
        <f>IF(C6&gt;0,C6/$D$18,"0.000")</f>
        <v>0.000</v>
      </c>
      <c r="E6" s="87" t="str">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0</v>
      </c>
      <c r="D13" s="262">
        <f>SUM(D6:D12)</f>
        <v>0</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667675</v>
      </c>
      <c r="E16" s="14"/>
      <c r="F16" s="84"/>
    </row>
    <row r="17" spans="1:6" ht="15.75">
      <c r="A17" s="14"/>
      <c r="B17" s="14"/>
      <c r="C17" s="14"/>
      <c r="D17" s="14"/>
      <c r="E17" s="14"/>
      <c r="F17" s="84"/>
    </row>
    <row r="18" spans="1:6" ht="15.75">
      <c r="A18" s="14"/>
      <c r="B18" s="348" t="s">
        <v>188</v>
      </c>
      <c r="C18" s="348"/>
      <c r="D18" s="90">
        <f>IF(D16&gt;0,(D16*0.001),"")</f>
        <v>667.6750000000001</v>
      </c>
      <c r="E18" s="14"/>
      <c r="F18" s="84"/>
    </row>
    <row r="19" spans="1:6" ht="15.75">
      <c r="A19" s="14"/>
      <c r="B19" s="48"/>
      <c r="C19" s="48"/>
      <c r="D19" s="91"/>
      <c r="E19" s="14"/>
      <c r="F19" s="84"/>
    </row>
    <row r="20" spans="1:6" ht="15.75">
      <c r="A20" s="346" t="s">
        <v>189</v>
      </c>
      <c r="B20" s="291"/>
      <c r="C20" s="291"/>
      <c r="D20" s="92">
        <f>inputOth!E13</f>
        <v>20834</v>
      </c>
      <c r="E20" s="93"/>
      <c r="F20" s="93"/>
    </row>
    <row r="21" spans="1:6" ht="15.75">
      <c r="A21" s="93"/>
      <c r="B21" s="93"/>
      <c r="C21" s="93"/>
      <c r="D21" s="94"/>
      <c r="E21" s="93"/>
      <c r="F21" s="93"/>
    </row>
    <row r="22" spans="1:6" ht="15.75">
      <c r="A22" s="93"/>
      <c r="B22" s="346" t="s">
        <v>190</v>
      </c>
      <c r="C22" s="347"/>
      <c r="D22" s="95">
        <f>IF(D20&gt;0,(D20*0.001),"")</f>
        <v>20.834</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2011-07-26T20:31:43Z</cp:lastPrinted>
  <dcterms:created xsi:type="dcterms:W3CDTF">1998-08-26T16:30:41Z</dcterms:created>
  <dcterms:modified xsi:type="dcterms:W3CDTF">2011-12-08T17:43:40Z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L</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