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<sst xmlns="http://schemas.openxmlformats.org/spreadsheetml/2006/main" count="251" uniqueCount="207">
  <si>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</si>
  <si>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</si>
  <si>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</si>
  <si>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</si>
  <si>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</si>
  <si>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</si>
  <si>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</si>
  <si>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</si>
  <si>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</si>
  <si>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</si>
  <si>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</si>
  <si>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</si>
  <si>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</si>
  <si>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</si>
  <si>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</si>
  <si>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</si>
  <si>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</si>
  <si>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</si>
  <si>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</si>
  <si>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</si>
  <si>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</si>
  <si>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</si>
  <si>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</si>
  <si>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</si>
  <si>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</si>
  <si>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</si>
  <si>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</si>
  <si>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</si>
  <si>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</si>
  <si>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</si>
  <si>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</si>
  <si>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</si>
  <si>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</si>
  <si>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</si>
  <si>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</si>
  <si>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</si>
  <si>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</si>
  <si>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</si>
  <si>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</si>
  <si>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</si>
  <si>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</si>
  <si>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</si>
  <si>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</si>
  <si>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</si>
  <si>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</si>
  <si>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</si>
  <si>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</si>
  <si>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</si>
  <si>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</si>
  <si>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</si>
  <si>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</si>
  <si>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</si>
  <si>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</si>
  <si>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</si>
  <si>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</si>
  <si>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</si>
  <si>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</si>
  <si>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</si>
  <si>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</si>
  <si>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</si>
  <si>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</si>
  <si>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</si>
  <si>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</si>
  <si>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</si>
  <si>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</si>
  <si>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</si>
  <si>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</si>
  <si>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</si>
  <si>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</si>
  <si>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</si>
  <si>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</si>
  <si>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</si>
  <si>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</si>
  <si>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</si>
  <si>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</si>
  <si>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</si>
  <si>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</si>
  <si>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</si>
  <si>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</si>
  <si>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</si>
  <si>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</si>
  <si>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</si>
  <si>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</si>
  <si>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</si>
  <si>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</si>
  <si>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</si>
  <si>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</si>
  <si>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</si>
  <si>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</si>
  <si>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</si>
  <si>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</si>
  <si>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</si>
  <si>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</si>
  <si>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</si>
  <si>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</si>
  <si>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</si>
  <si>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</si>
  <si>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</si>
  <si>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</si>
  <si>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</si>
  <si>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</si>
  <si>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</si>
  <si>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</si>
  <si>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</si>
  <si>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</si>
  <si>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</si>
  <si>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</si>
  <si>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</si>
  <si>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</si>
  <si>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</si>
  <si>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</si>
  <si>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</si>
  <si>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</si>
  <si>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</si>
  <si>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</si>
  <si>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</si>
  <si>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</si>
  <si>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</si>
  <si>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</si>
  <si>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</si>
  <si>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</si>
  <si>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</si>
  <si>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</si>
  <si>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</si>
  <si>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</si>
  <si>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</si>
  <si>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</si>
  <si>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</si>
  <si>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</si>
  <si>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</si>
  <si>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</si>
  <si>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</si>
  <si>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</si>
  <si>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</si>
  <si>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</si>
  <si>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</si>
  <si>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</si>
  <si>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</si>
  <si>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</si>
  <si>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</si>
  <si>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</si>
  <si>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</si>
  <si>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</si>
  <si>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</si>
  <si>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</si>
  <si>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</si>
  <si>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</si>
  <si>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</si>
  <si>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</si>
  <si>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</si>
  <si>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</si>
  <si>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</si>
  <si>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</si>
  <si>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</si>
  <si>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</si>
  <si>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</si>
  <si>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</si>
  <si>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</si>
  <si>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</si>
  <si>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</si>
  <si>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</si>
  <si>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</si>
  <si>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</si>
  <si>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</si>
  <si>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</si>
  <si>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</si>
  <si>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</si>
  <si>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</si>
  <si>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</si>
  <si>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</si>
  <si>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</si>
  <si>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</si>
  <si>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</si>
  <si>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</si>
  <si>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</si>
  <si>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</si>
  <si>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</si>
  <si>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</si>
  <si>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</si>
  <si>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</si>
  <si>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</si>
  <si>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</si>
  <si>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</si>
  <si>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</si>
  <si>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</si>
  <si>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</si>
  <si>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</si>
  <si>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</si>
  <si>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</si>
  <si>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</si>
  <si>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</si>
  <si>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</si>
  <si>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</si>
  <si>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</si>
  <si>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</si>
  <si>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</si>
  <si>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</si>
  <si>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</si>
  <si>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</si>
  <si>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</si>
  <si>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</si>
  <si>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</si>
  <si>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</si>
  <si>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</si>
  <si>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</si>
  <si>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</si>
  <si>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German Township</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</si>
</sst>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561975</xdr:colOff>
      <xdr:row>87</xdr:row>
      <xdr:rowOff>123825</xdr:rowOff>
    </xdr:to>
    <xdr:pic>
      <xdr:nvPicPr>
        <xdr:cNvPr id="1" name="Picture 1"/>
        <xdr:cNvPicPr preferRelativeResize="1">
          <a:picLocks noChangeAspect="1"/>
        </xdr:cNvPicPr>
      </xdr:nvPicPr>
      <xdr:blipFill>
        <a:blip r:embed="rId1"/>
        <a:stretch>
          <a:fillRect/>
        </a:stretch>
      </xdr:blipFill>
      <xdr:spPr>
        <a:xfrm>
          <a:off x="0" y="0"/>
          <a:ext cx="15649575" cy="1752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xdr:colOff>
      <xdr:row>78</xdr:row>
      <xdr:rowOff>57150</xdr:rowOff>
    </xdr:to>
    <xdr:pic>
      <xdr:nvPicPr>
        <xdr:cNvPr id="1" name="Picture 1"/>
        <xdr:cNvPicPr preferRelativeResize="1">
          <a:picLocks noChangeAspect="1"/>
        </xdr:cNvPicPr>
      </xdr:nvPicPr>
      <xdr:blipFill>
        <a:blip r:embed="rId1"/>
        <a:stretch>
          <a:fillRect/>
        </a:stretch>
      </xdr:blipFill>
      <xdr:spPr>
        <a:xfrm>
          <a:off x="0" y="0"/>
          <a:ext cx="11763375" cy="1565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7">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2072</v>
      </c>
      <c r="E16" s="119">
        <v>1545</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1545</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2072</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2.987</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2.987</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1503</v>
      </c>
    </row>
    <row r="49" spans="1:5" ht="15.75">
      <c r="A49" s="224" t="str">
        <f>CONCATENATE("Assessed Valuation (",D5-2," budget column)")</f>
        <v>Assessed Valuation (2010 budget column)</v>
      </c>
      <c r="B49" s="225"/>
      <c r="C49" s="157"/>
      <c r="D49" s="29"/>
      <c r="E49" s="119">
        <v>503160</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6" t="s">
        <v>107</v>
      </c>
      <c r="B1" s="356"/>
      <c r="C1" s="356"/>
      <c r="D1" s="356"/>
      <c r="E1" s="356"/>
      <c r="F1" s="356"/>
      <c r="G1" s="356"/>
    </row>
    <row r="2" ht="15.75">
      <c r="A2" s="1"/>
    </row>
    <row r="3" spans="1:7" ht="15.75">
      <c r="A3" s="357" t="s">
        <v>108</v>
      </c>
      <c r="B3" s="357"/>
      <c r="C3" s="357"/>
      <c r="D3" s="357"/>
      <c r="E3" s="357"/>
      <c r="F3" s="357"/>
      <c r="G3" s="357"/>
    </row>
    <row r="4" ht="15.75">
      <c r="A4" s="2"/>
    </row>
    <row r="5" ht="15.75">
      <c r="A5" s="2"/>
    </row>
    <row r="6" spans="1:9" ht="15.75">
      <c r="A6" s="8" t="str">
        <f>CONCATENATE("A resolution expressing the property taxation policy of the Board of ",(inputPrYr!D2)," ")</f>
        <v>A resolution expressing the property taxation policy of the Board of German Township </v>
      </c>
      <c r="I6">
        <f>CONCATENATE(I7)</f>
      </c>
    </row>
    <row r="7" spans="1:7" ht="15.75">
      <c r="A7" s="358" t="str">
        <f>CONCATENATE("   with respect to financing the ",inputPrYr!D5," annual budget for ",(inputPrYr!D2)," , ",(inputPrYr!D3)," , Kansas.")</f>
        <v>   with respect to financing the 2012 annual budget for German Township , Smith County , Kansas.</v>
      </c>
      <c r="B7" s="351"/>
      <c r="C7" s="351"/>
      <c r="D7" s="351"/>
      <c r="E7" s="351"/>
      <c r="F7" s="351"/>
      <c r="G7" s="351"/>
    </row>
    <row r="8" spans="1:7" ht="15.75">
      <c r="A8" s="351"/>
      <c r="B8" s="351"/>
      <c r="C8" s="351"/>
      <c r="D8" s="351"/>
      <c r="E8" s="351"/>
      <c r="F8" s="351"/>
      <c r="G8" s="351"/>
    </row>
    <row r="9" ht="15.75">
      <c r="A9" s="1"/>
    </row>
    <row r="10" ht="15.75">
      <c r="A10" s="9" t="s">
        <v>109</v>
      </c>
    </row>
    <row r="11" ht="15.75">
      <c r="A11" s="7" t="str">
        <f>CONCATENATE("to finance the ",inputPrYr!D5," ",(inputPrYr!D2)," budget exceed the amount levied to finance the ",inputPrYr!D5-1,"")</f>
        <v>to finance the 2012 German Township budget exceed the amount levied to finance the 2011</v>
      </c>
    </row>
    <row r="12" spans="1:7" ht="15.75">
      <c r="A12" s="352" t="str">
        <f>CONCATENATE((inputPrYr!D2)," Township budget, except with regard to revenue produced and attributable to the taxation of 1) new improvements to real property; 2) increased personal property valuation, other than increased")</f>
        <v>German Township Township budget, except with regard to revenue produced and attributable to the taxation of 1) new improvements to real property; 2) increased personal property valuation, other than increased</v>
      </c>
      <c r="B12" s="351"/>
      <c r="C12" s="351"/>
      <c r="D12" s="351"/>
      <c r="E12" s="351"/>
      <c r="F12" s="351"/>
      <c r="G12" s="351"/>
    </row>
    <row r="13" spans="1:7" ht="15.75">
      <c r="A13" s="351"/>
      <c r="B13" s="351"/>
      <c r="C13" s="351"/>
      <c r="D13" s="351"/>
      <c r="E13" s="351"/>
      <c r="F13" s="351"/>
      <c r="G13" s="351"/>
    </row>
    <row r="14" spans="1:7" ht="15.75">
      <c r="A14" s="352" t="s">
        <v>114</v>
      </c>
      <c r="B14" s="351"/>
      <c r="C14" s="351"/>
      <c r="D14" s="351"/>
      <c r="E14" s="351"/>
      <c r="F14" s="351"/>
      <c r="G14" s="351"/>
    </row>
    <row r="15" spans="1:7" ht="15.75">
      <c r="A15" s="351"/>
      <c r="B15" s="351"/>
      <c r="C15" s="351"/>
      <c r="D15" s="351"/>
      <c r="E15" s="351"/>
      <c r="F15" s="351"/>
      <c r="G15" s="351"/>
    </row>
    <row r="16" spans="1:7" ht="15.75">
      <c r="A16" s="353"/>
      <c r="B16" s="353"/>
      <c r="C16" s="353"/>
      <c r="D16" s="353"/>
      <c r="E16" s="353"/>
      <c r="F16" s="353"/>
      <c r="G16" s="353"/>
    </row>
    <row r="17" ht="15.75">
      <c r="A17" s="2"/>
    </row>
    <row r="18" spans="1:7" ht="15.75">
      <c r="A18" s="354" t="s">
        <v>110</v>
      </c>
      <c r="B18" s="351"/>
      <c r="C18" s="351"/>
      <c r="D18" s="351"/>
      <c r="E18" s="351"/>
      <c r="F18" s="351"/>
      <c r="G18" s="351"/>
    </row>
    <row r="19" spans="1:7" ht="15.75">
      <c r="A19" s="351"/>
      <c r="B19" s="351"/>
      <c r="C19" s="351"/>
      <c r="D19" s="351"/>
      <c r="E19" s="351"/>
      <c r="F19" s="351"/>
      <c r="G19" s="351"/>
    </row>
    <row r="20" ht="15.75">
      <c r="A20" s="2"/>
    </row>
    <row r="21" spans="1:7" ht="15.75">
      <c r="A21" s="354" t="str">
        <f>CONCATENATE("Whereas, ",(inputPrYr!D2)," provides essential services to protect the safety and well being of the citizens of the township; and")</f>
        <v>Whereas, German Township provides essential services to protect the safety and well being of the citizens of the township; and</v>
      </c>
      <c r="B21" s="351"/>
      <c r="C21" s="351"/>
      <c r="D21" s="351"/>
      <c r="E21" s="351"/>
      <c r="F21" s="351"/>
      <c r="G21" s="351"/>
    </row>
    <row r="22" spans="1:7" ht="15.75">
      <c r="A22" s="351"/>
      <c r="B22" s="351"/>
      <c r="C22" s="351"/>
      <c r="D22" s="351"/>
      <c r="E22" s="351"/>
      <c r="F22" s="351"/>
      <c r="G22" s="351"/>
    </row>
    <row r="23" ht="15.75">
      <c r="A23" s="4"/>
    </row>
    <row r="24" ht="15.75">
      <c r="A24" s="3" t="s">
        <v>111</v>
      </c>
    </row>
    <row r="25" ht="15.75">
      <c r="A25" s="4"/>
    </row>
    <row r="26" spans="1:7" ht="15.75">
      <c r="A26" s="354" t="str">
        <f>CONCATENATE("NOW, THEREFORE, BE IT RESOLVED by the Board of ",(inputPrYr!D2)," of ",(inputPrYr!D3),", Kansas that is our desire to notify the public of increased property taxes to finance the ",inputPrYr!D5," ",(inputPrYr!D2),"  budget as defined above.")</f>
        <v>NOW, THEREFORE, BE IT RESOLVED by the Board of German Township of Smith County, Kansas that is our desire to notify the public of increased property taxes to finance the 2012 German Township  budget as defined above.</v>
      </c>
      <c r="B26" s="351"/>
      <c r="C26" s="351"/>
      <c r="D26" s="351"/>
      <c r="E26" s="351"/>
      <c r="F26" s="351"/>
      <c r="G26" s="351"/>
    </row>
    <row r="27" spans="1:7" ht="15.75">
      <c r="A27" s="351"/>
      <c r="B27" s="351"/>
      <c r="C27" s="351"/>
      <c r="D27" s="351"/>
      <c r="E27" s="351"/>
      <c r="F27" s="351"/>
      <c r="G27" s="351"/>
    </row>
    <row r="28" spans="1:7" ht="15.75">
      <c r="A28" s="351"/>
      <c r="B28" s="351"/>
      <c r="C28" s="351"/>
      <c r="D28" s="351"/>
      <c r="E28" s="351"/>
      <c r="F28" s="351"/>
      <c r="G28" s="351"/>
    </row>
    <row r="29" ht="15.75">
      <c r="A29" s="4"/>
    </row>
    <row r="30" spans="1:7" ht="15.75">
      <c r="A30" s="350" t="str">
        <f>CONCATENATE("Adopted this _________ day of ___________, ",inputPrYr!D5-1," by the ",(inputPrYr!D2)," Board, ",(inputPrYr!D3),", Kansas.")</f>
        <v>Adopted this _________ day of ___________, 2011 by the German Township Board, Smith County, Kansas.</v>
      </c>
      <c r="B30" s="351"/>
      <c r="C30" s="351"/>
      <c r="D30" s="351"/>
      <c r="E30" s="351"/>
      <c r="F30" s="351"/>
      <c r="G30" s="351"/>
    </row>
    <row r="31" spans="1:7" ht="15.75">
      <c r="A31" s="351"/>
      <c r="B31" s="351"/>
      <c r="C31" s="351"/>
      <c r="D31" s="351"/>
      <c r="E31" s="351"/>
      <c r="F31" s="351"/>
      <c r="G31" s="351"/>
    </row>
    <row r="32" ht="15.75">
      <c r="A32" s="4"/>
    </row>
    <row r="33" spans="4:7" ht="15.75">
      <c r="D33" s="355" t="str">
        <f>CONCATENATE((inputPrYr!D2)," Board")</f>
        <v>German Township Board</v>
      </c>
      <c r="E33" s="355"/>
      <c r="F33" s="355"/>
      <c r="G33" s="355"/>
    </row>
    <row r="35" spans="4:7" ht="15.75">
      <c r="D35" s="349" t="s">
        <v>112</v>
      </c>
      <c r="E35" s="349"/>
      <c r="F35" s="349"/>
      <c r="G35" s="349"/>
    </row>
    <row r="36" spans="1:7" ht="15.75">
      <c r="A36" s="5"/>
      <c r="D36" s="349" t="s">
        <v>116</v>
      </c>
      <c r="E36" s="349"/>
      <c r="F36" s="349"/>
      <c r="G36" s="349"/>
    </row>
    <row r="37" spans="4:7" ht="15.75">
      <c r="D37" s="349"/>
      <c r="E37" s="349"/>
      <c r="F37" s="349"/>
      <c r="G37" s="349"/>
    </row>
    <row r="38" spans="4:7" ht="15.75">
      <c r="D38" s="349" t="s">
        <v>112</v>
      </c>
      <c r="E38" s="349"/>
      <c r="F38" s="349"/>
      <c r="G38" s="349"/>
    </row>
    <row r="39" spans="1:7" ht="15.75">
      <c r="A39" s="4"/>
      <c r="D39" s="349" t="s">
        <v>117</v>
      </c>
      <c r="E39" s="349"/>
      <c r="F39" s="349"/>
      <c r="G39" s="349"/>
    </row>
    <row r="40" spans="4:7" ht="15.75">
      <c r="D40" s="349"/>
      <c r="E40" s="349"/>
      <c r="F40" s="349"/>
      <c r="G40" s="349"/>
    </row>
    <row r="41" spans="4:7" ht="15.75">
      <c r="D41" s="349" t="s">
        <v>115</v>
      </c>
      <c r="E41" s="349"/>
      <c r="F41" s="349"/>
      <c r="G41" s="349"/>
    </row>
    <row r="42" spans="1:7" ht="15.75">
      <c r="A42" s="4"/>
      <c r="D42" s="349" t="s">
        <v>118</v>
      </c>
      <c r="E42" s="349"/>
      <c r="F42" s="349"/>
      <c r="G42" s="349"/>
    </row>
    <row r="43" ht="15.75">
      <c r="A43" s="6"/>
    </row>
    <row r="44" ht="15.75">
      <c r="A44" s="6"/>
    </row>
    <row r="45" ht="15.75">
      <c r="A45" s="6" t="s">
        <v>113</v>
      </c>
    </row>
    <row r="50" spans="3:4" ht="15.75">
      <c r="C50" s="10" t="s">
        <v>23</v>
      </c>
      <c r="D50" s="11"/>
    </row>
  </sheetData>
  <sheetProtection/>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German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455070</v>
      </c>
    </row>
    <row r="8" spans="1:5" ht="15.75">
      <c r="A8" s="22" t="str">
        <f>CONCATENATE("New Improvements for ",E1-1,"")</f>
        <v>New Improvements for 2011</v>
      </c>
      <c r="B8" s="19"/>
      <c r="C8" s="19"/>
      <c r="D8" s="19"/>
      <c r="E8" s="175">
        <v>4410</v>
      </c>
    </row>
    <row r="9" spans="1:5" ht="15.75">
      <c r="A9" s="22" t="str">
        <f>CONCATENATE("Personal Property excluding oil, gas, and mobile homes - ",E1-1,"")</f>
        <v>Personal Property excluding oil, gas, and mobile homes - 2011</v>
      </c>
      <c r="B9" s="19"/>
      <c r="C9" s="19"/>
      <c r="D9" s="19"/>
      <c r="E9" s="175">
        <v>13151</v>
      </c>
    </row>
    <row r="10" spans="1:5" ht="15.75">
      <c r="A10" s="22" t="str">
        <f>CONCATENATE("Property that has changed in use for ",E1-1,"")</f>
        <v>Property that has changed in use for 2011</v>
      </c>
      <c r="B10" s="19"/>
      <c r="C10" s="19"/>
      <c r="D10" s="19"/>
      <c r="E10" s="175">
        <v>2130</v>
      </c>
    </row>
    <row r="11" spans="1:5" ht="15.75">
      <c r="A11" s="22" t="str">
        <f>CONCATENATE("Personal Property excluding oil, gas, and mobile homes- ",E1-2,"")</f>
        <v>Personal Property excluding oil, gas, and mobile homes- 2010</v>
      </c>
      <c r="B11" s="19"/>
      <c r="C11" s="19"/>
      <c r="D11" s="19"/>
      <c r="E11" s="175">
        <v>9550</v>
      </c>
    </row>
    <row r="12" spans="1:5" ht="15.75">
      <c r="A12" s="22" t="str">
        <f>CONCATENATE("Gross earnings (intangible) tax estimate for ",E1,"")</f>
        <v>Gross earnings (intangible) tax estimate for 2012</v>
      </c>
      <c r="B12" s="19"/>
      <c r="C12" s="19"/>
      <c r="D12" s="19"/>
      <c r="E12" s="175">
        <v>209</v>
      </c>
    </row>
    <row r="13" spans="1:5" ht="15.75">
      <c r="A13" s="22" t="str">
        <f>CONCATENATE("Neighborhood Revitalization - ",E1,"")</f>
        <v>Neighborhood Revitalization - 2012</v>
      </c>
      <c r="B13" s="19"/>
      <c r="C13" s="19"/>
      <c r="D13" s="19"/>
      <c r="E13" s="175">
        <v>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3.3</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3.3</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468215</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178</v>
      </c>
    </row>
    <row r="30" spans="1:5" ht="15.75">
      <c r="A30" s="188" t="s">
        <v>169</v>
      </c>
      <c r="B30" s="157"/>
      <c r="C30" s="157"/>
      <c r="D30" s="31"/>
      <c r="E30" s="34">
        <v>2</v>
      </c>
    </row>
    <row r="31" spans="1:5" ht="15.75">
      <c r="A31" s="188" t="s">
        <v>132</v>
      </c>
      <c r="B31" s="157"/>
      <c r="C31" s="157"/>
      <c r="D31" s="31"/>
      <c r="E31" s="34">
        <v>37</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1700</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17" sqref="D17"/>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German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2775</v>
      </c>
      <c r="E18" s="114">
        <f>IF(gen!$G$47&lt;&gt;0,gen!$G$47,0)</f>
        <v>1580</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2775</v>
      </c>
      <c r="E23" s="246">
        <f>SUM(E18:E22)</f>
        <v>1580</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17" sqref="D1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German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1545</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1545</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4410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13151</v>
      </c>
      <c r="F14" s="139"/>
      <c r="G14" s="57"/>
      <c r="H14" s="57"/>
      <c r="I14" s="55"/>
      <c r="J14" s="57"/>
    </row>
    <row r="15" spans="1:10" ht="15.75">
      <c r="A15" s="138"/>
      <c r="B15" s="14" t="s">
        <v>77</v>
      </c>
      <c r="C15" s="14" t="str">
        <f>CONCATENATE("Personal Property ",J1-2,"")</f>
        <v>Personal Property 2010</v>
      </c>
      <c r="D15" s="138" t="s">
        <v>72</v>
      </c>
      <c r="E15" s="142">
        <f>inputOth!E11</f>
        <v>9550</v>
      </c>
      <c r="F15" s="139"/>
      <c r="G15" s="55"/>
      <c r="H15" s="55"/>
      <c r="I15" s="57"/>
      <c r="J15" s="57"/>
    </row>
    <row r="16" spans="1:10" ht="15.75">
      <c r="A16" s="138"/>
      <c r="B16" s="14" t="s">
        <v>78</v>
      </c>
      <c r="C16" s="14" t="s">
        <v>91</v>
      </c>
      <c r="D16" s="14"/>
      <c r="E16" s="57"/>
      <c r="F16" s="57" t="s">
        <v>28</v>
      </c>
      <c r="G16" s="140">
        <f>IF(E14&gt;E15,E14-E15,0)</f>
        <v>3601</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2130</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10141</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455070</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444929</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0.02279240058526192</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35</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1580</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1580</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17" sqref="D1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German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1545</v>
      </c>
      <c r="D11" s="127">
        <f>IF(inputOth!D17&gt;0,inputOth!D17,"  ")</f>
        <v>3.3</v>
      </c>
      <c r="E11" s="128"/>
      <c r="F11" s="75">
        <f>IF(inputPrYr!E16=0,0,F20-SUM(F12:F17))</f>
        <v>178</v>
      </c>
      <c r="G11" s="129"/>
      <c r="H11" s="75">
        <f>IF(inputPrYr!E16=0,0,H22-SUM(H12:H17))</f>
        <v>2</v>
      </c>
      <c r="I11" s="75">
        <f>IF(inputPrYr!E16=0,0,I24-SUM(I12:I17))</f>
        <v>37</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1545</v>
      </c>
      <c r="D18" s="252">
        <f>SUM(D11:D17)</f>
        <v>3.3</v>
      </c>
      <c r="E18" s="253"/>
      <c r="F18" s="251">
        <f>SUM(F11:F17)</f>
        <v>178</v>
      </c>
      <c r="G18" s="251"/>
      <c r="H18" s="251">
        <f>SUM(H11:H17)</f>
        <v>2</v>
      </c>
      <c r="I18" s="251">
        <f>SUM(I11:I17)</f>
        <v>37</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178</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2</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37</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0.11521035598705502</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0.0012944983818770227</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0.02394822006472492</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D17" sqref="D17"/>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German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25" t="s">
        <v>25</v>
      </c>
      <c r="D4" s="326"/>
      <c r="E4" s="329" t="s">
        <v>26</v>
      </c>
      <c r="F4" s="330"/>
      <c r="G4" s="23" t="s">
        <v>27</v>
      </c>
    </row>
    <row r="5" spans="1:7" ht="15.75">
      <c r="A5" s="258" t="str">
        <f>inputPrYr!B16</f>
        <v>General</v>
      </c>
      <c r="B5" s="25"/>
      <c r="C5" s="327" t="str">
        <f>CONCATENATE("Actual ",$G$1-2,"")</f>
        <v>Actual 2010</v>
      </c>
      <c r="D5" s="328"/>
      <c r="E5" s="327" t="str">
        <f>CONCATENATE("Estimate ",$G$1-1,"")</f>
        <v>Estimate 2011</v>
      </c>
      <c r="F5" s="328"/>
      <c r="G5" s="27" t="str">
        <f>CONCATENATE("Year ",$G$1,"")</f>
        <v>Year 2012</v>
      </c>
    </row>
    <row r="6" spans="1:7" s="230" customFormat="1" ht="15.75">
      <c r="A6" s="45" t="s">
        <v>101</v>
      </c>
      <c r="B6" s="256"/>
      <c r="C6" s="323">
        <v>249</v>
      </c>
      <c r="D6" s="324"/>
      <c r="E6" s="317">
        <f>C42</f>
        <v>595</v>
      </c>
      <c r="F6" s="318"/>
      <c r="G6" s="47">
        <f>E42</f>
        <v>769</v>
      </c>
    </row>
    <row r="7" spans="1:7" s="230" customFormat="1" ht="15.75">
      <c r="A7" s="45" t="s">
        <v>103</v>
      </c>
      <c r="B7" s="256"/>
      <c r="C7" s="317"/>
      <c r="D7" s="318"/>
      <c r="E7" s="317"/>
      <c r="F7" s="318"/>
      <c r="G7" s="257"/>
    </row>
    <row r="8" spans="1:7" ht="15.75">
      <c r="A8" s="28" t="s">
        <v>29</v>
      </c>
      <c r="B8" s="29"/>
      <c r="C8" s="319">
        <v>1425</v>
      </c>
      <c r="D8" s="320"/>
      <c r="E8" s="334">
        <f>ROUND(inputPrYr!E16*inputPrYr!E13,0)</f>
        <v>1514</v>
      </c>
      <c r="F8" s="335"/>
      <c r="G8" s="33" t="s">
        <v>180</v>
      </c>
    </row>
    <row r="9" spans="1:7" ht="15.75">
      <c r="A9" s="28" t="s">
        <v>30</v>
      </c>
      <c r="B9" s="29"/>
      <c r="C9" s="319">
        <v>24</v>
      </c>
      <c r="D9" s="320"/>
      <c r="E9" s="319">
        <v>0</v>
      </c>
      <c r="F9" s="320"/>
      <c r="G9" s="34">
        <v>0</v>
      </c>
    </row>
    <row r="10" spans="1:7" ht="15.75">
      <c r="A10" s="28" t="s">
        <v>31</v>
      </c>
      <c r="B10" s="29"/>
      <c r="C10" s="319">
        <v>38</v>
      </c>
      <c r="D10" s="320"/>
      <c r="E10" s="319">
        <v>166</v>
      </c>
      <c r="F10" s="320"/>
      <c r="G10" s="32">
        <f>mvalloc!F11</f>
        <v>178</v>
      </c>
    </row>
    <row r="11" spans="1:7" ht="15.75">
      <c r="A11" s="28" t="s">
        <v>32</v>
      </c>
      <c r="B11" s="29"/>
      <c r="C11" s="319">
        <v>1</v>
      </c>
      <c r="D11" s="320"/>
      <c r="E11" s="319">
        <v>1</v>
      </c>
      <c r="F11" s="320"/>
      <c r="G11" s="32">
        <f>mvalloc!H11</f>
        <v>2</v>
      </c>
    </row>
    <row r="12" spans="1:7" ht="15.75">
      <c r="A12" s="35" t="s">
        <v>60</v>
      </c>
      <c r="B12" s="29"/>
      <c r="C12" s="319">
        <v>4</v>
      </c>
      <c r="D12" s="320"/>
      <c r="E12" s="319">
        <v>19</v>
      </c>
      <c r="F12" s="320"/>
      <c r="G12" s="32">
        <f>mvalloc!I11</f>
        <v>37</v>
      </c>
    </row>
    <row r="13" spans="1:7" ht="15.75">
      <c r="A13" s="35" t="s">
        <v>134</v>
      </c>
      <c r="B13" s="29"/>
      <c r="C13" s="319">
        <v>0</v>
      </c>
      <c r="D13" s="320"/>
      <c r="E13" s="319">
        <v>0</v>
      </c>
      <c r="F13" s="320"/>
      <c r="G13" s="32">
        <f>mvalloc!J11</f>
        <v>0</v>
      </c>
    </row>
    <row r="14" spans="1:7" ht="15.75">
      <c r="A14" s="28" t="s">
        <v>33</v>
      </c>
      <c r="B14" s="29"/>
      <c r="C14" s="319">
        <v>76</v>
      </c>
      <c r="D14" s="320"/>
      <c r="E14" s="319">
        <v>174</v>
      </c>
      <c r="F14" s="320"/>
      <c r="G14" s="32">
        <f>inputOth!E12</f>
        <v>209</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15">
        <f>SUM(C8:C19)</f>
        <v>1568</v>
      </c>
      <c r="D21" s="316"/>
      <c r="E21" s="315">
        <f>SUM(E8:E19)</f>
        <v>1874</v>
      </c>
      <c r="F21" s="316"/>
      <c r="G21" s="44">
        <f>SUM(G8:G19)</f>
        <v>426</v>
      </c>
    </row>
    <row r="22" spans="1:7" ht="15.75">
      <c r="A22" s="45" t="s">
        <v>36</v>
      </c>
      <c r="B22" s="29"/>
      <c r="C22" s="315">
        <f>C21+C6</f>
        <v>1817</v>
      </c>
      <c r="D22" s="316"/>
      <c r="E22" s="315">
        <f>E21+E6</f>
        <v>2469</v>
      </c>
      <c r="F22" s="316"/>
      <c r="G22" s="44">
        <f>G21+G6</f>
        <v>1195</v>
      </c>
    </row>
    <row r="23" spans="1:7" s="230" customFormat="1" ht="15.75">
      <c r="A23" s="45" t="s">
        <v>37</v>
      </c>
      <c r="B23" s="256"/>
      <c r="C23" s="317"/>
      <c r="D23" s="318"/>
      <c r="E23" s="317"/>
      <c r="F23" s="318"/>
      <c r="G23" s="47"/>
    </row>
    <row r="24" spans="1:7" ht="15.75">
      <c r="A24" s="37" t="s">
        <v>202</v>
      </c>
      <c r="B24" s="38"/>
      <c r="C24" s="319">
        <v>0</v>
      </c>
      <c r="D24" s="320"/>
      <c r="E24" s="319">
        <v>100</v>
      </c>
      <c r="F24" s="320"/>
      <c r="G24" s="34">
        <v>1000</v>
      </c>
    </row>
    <row r="25" spans="1:7" ht="15.75">
      <c r="A25" s="39" t="s">
        <v>203</v>
      </c>
      <c r="B25" s="38"/>
      <c r="C25" s="319">
        <v>222</v>
      </c>
      <c r="D25" s="320"/>
      <c r="E25" s="319">
        <v>350</v>
      </c>
      <c r="F25" s="320"/>
      <c r="G25" s="34">
        <v>525</v>
      </c>
    </row>
    <row r="26" spans="1:7" ht="15.75">
      <c r="A26" s="39" t="s">
        <v>204</v>
      </c>
      <c r="B26" s="38"/>
      <c r="C26" s="319">
        <v>1000</v>
      </c>
      <c r="D26" s="320"/>
      <c r="E26" s="319">
        <v>1250</v>
      </c>
      <c r="F26" s="320"/>
      <c r="G26" s="34">
        <v>1250</v>
      </c>
    </row>
    <row r="27" spans="1:7" ht="15.75">
      <c r="A27" s="39"/>
      <c r="B27" s="38"/>
      <c r="C27" s="319"/>
      <c r="D27" s="320"/>
      <c r="E27" s="319"/>
      <c r="F27" s="320"/>
      <c r="G27" s="34"/>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17">
        <f>SUM(C24:C39)</f>
        <v>1222</v>
      </c>
      <c r="D41" s="318"/>
      <c r="E41" s="317">
        <f>SUM(E24:E39)</f>
        <v>1700</v>
      </c>
      <c r="F41" s="318"/>
      <c r="G41" s="47">
        <f>SUM(G24:G37,G38:G39)</f>
        <v>2775</v>
      </c>
    </row>
    <row r="42" spans="1:7" s="230" customFormat="1" ht="15.75">
      <c r="A42" s="45" t="s">
        <v>102</v>
      </c>
      <c r="B42" s="256"/>
      <c r="C42" s="315">
        <f>C22-C41</f>
        <v>595</v>
      </c>
      <c r="D42" s="316"/>
      <c r="E42" s="315">
        <f>SUM(E22-E41)</f>
        <v>769</v>
      </c>
      <c r="F42" s="316"/>
      <c r="G42" s="257" t="s">
        <v>180</v>
      </c>
    </row>
    <row r="43" spans="1:8" ht="15.75">
      <c r="A43" s="48" t="str">
        <f>CONCATENATE("",G1-2,"/",G1-1," Budget Authority Amount:")</f>
        <v>2010/2011 Budget Authority Amount:</v>
      </c>
      <c r="B43" s="49">
        <f>inputOth!B44</f>
        <v>1700</v>
      </c>
      <c r="C43" s="50">
        <f>inputPrYr!D16</f>
        <v>2072</v>
      </c>
      <c r="D43" s="340" t="s">
        <v>160</v>
      </c>
      <c r="E43" s="341"/>
      <c r="F43" s="342"/>
      <c r="G43" s="34"/>
      <c r="H43" s="51">
        <f>IF(G41/0.95-G41&lt;G43,"Exceeds 5%","")</f>
      </c>
    </row>
    <row r="44" spans="1:7" ht="15.75">
      <c r="A44" s="48"/>
      <c r="B44" s="52">
        <f>IF(C41&gt;B43,"See Tab A","")</f>
      </c>
      <c r="C44" s="52">
        <f>IF(E41&gt;C43,"See Tab C","")</f>
      </c>
      <c r="D44" s="14"/>
      <c r="E44" s="336" t="s">
        <v>161</v>
      </c>
      <c r="F44" s="337"/>
      <c r="G44" s="32">
        <f>G41+G43</f>
        <v>2775</v>
      </c>
    </row>
    <row r="45" spans="1:7" ht="15.75">
      <c r="A45" s="48"/>
      <c r="B45" s="52">
        <f>IF(C42&lt;0,"See Tab B","")</f>
      </c>
      <c r="C45" s="62">
        <f>IF(E42&lt;0,"See Tab D","")</f>
      </c>
      <c r="D45" s="14"/>
      <c r="E45" s="336" t="s">
        <v>39</v>
      </c>
      <c r="F45" s="337"/>
      <c r="G45" s="46">
        <f>IF(G44-G22&gt;0,G44-G22,0)</f>
        <v>1580</v>
      </c>
    </row>
    <row r="46" spans="1:7" ht="15.75">
      <c r="A46" s="53"/>
      <c r="B46" s="53"/>
      <c r="C46" s="53"/>
      <c r="D46" s="338" t="s">
        <v>162</v>
      </c>
      <c r="E46" s="339"/>
      <c r="F46" s="54">
        <f>inputOth!$E$38</f>
        <v>0</v>
      </c>
      <c r="G46" s="32">
        <f>ROUND(IF(F46&gt;0,(G45*F46),0),0)</f>
        <v>0</v>
      </c>
    </row>
    <row r="47" spans="1:7" ht="15.75">
      <c r="A47" s="14"/>
      <c r="B47" s="14"/>
      <c r="C47" s="331" t="str">
        <f>CONCATENATE("Amount of  ",$G$1-1," Ad Valorem Tax")</f>
        <v>Amount of  2011 Ad Valorem Tax</v>
      </c>
      <c r="D47" s="332"/>
      <c r="E47" s="332"/>
      <c r="F47" s="333"/>
      <c r="G47" s="44">
        <f>G45+G46</f>
        <v>1580</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E45:F45"/>
    <mergeCell ref="D46:E46"/>
    <mergeCell ref="C38:D38"/>
    <mergeCell ref="C39:D39"/>
    <mergeCell ref="C40:D40"/>
    <mergeCell ref="E39:F39"/>
    <mergeCell ref="E40:F40"/>
    <mergeCell ref="D43:F43"/>
    <mergeCell ref="E44:F44"/>
    <mergeCell ref="C41:D41"/>
    <mergeCell ref="C47:F47"/>
    <mergeCell ref="C7:D7"/>
    <mergeCell ref="E21:F21"/>
    <mergeCell ref="E22:F22"/>
    <mergeCell ref="E23:F23"/>
    <mergeCell ref="E8:F8"/>
    <mergeCell ref="C20:D20"/>
    <mergeCell ref="C21:D21"/>
    <mergeCell ref="C22:D22"/>
    <mergeCell ref="C23:D23"/>
    <mergeCell ref="C4:D4"/>
    <mergeCell ref="C5:D5"/>
    <mergeCell ref="E7:F7"/>
    <mergeCell ref="E6:F6"/>
    <mergeCell ref="E4:F4"/>
    <mergeCell ref="E5:F5"/>
    <mergeCell ref="E19:F19"/>
    <mergeCell ref="E20:F20"/>
    <mergeCell ref="C6:D6"/>
    <mergeCell ref="C19:D19"/>
    <mergeCell ref="E9:F9"/>
    <mergeCell ref="E10:F10"/>
    <mergeCell ref="E11:F11"/>
    <mergeCell ref="E12:F12"/>
    <mergeCell ref="E16:F16"/>
    <mergeCell ref="E17:F17"/>
    <mergeCell ref="C18:D18"/>
    <mergeCell ref="C14:D14"/>
    <mergeCell ref="C15:D15"/>
    <mergeCell ref="C16:D16"/>
    <mergeCell ref="E18:F18"/>
    <mergeCell ref="E13:F13"/>
    <mergeCell ref="E14:F14"/>
    <mergeCell ref="E15:F15"/>
    <mergeCell ref="C12:D12"/>
    <mergeCell ref="C13:D13"/>
    <mergeCell ref="C17:D17"/>
    <mergeCell ref="C8:D8"/>
    <mergeCell ref="C9:D9"/>
    <mergeCell ref="C10:D10"/>
    <mergeCell ref="C11:D11"/>
    <mergeCell ref="E28:F28"/>
    <mergeCell ref="E29:F29"/>
    <mergeCell ref="E38:F38"/>
    <mergeCell ref="E24:F24"/>
    <mergeCell ref="E25:F25"/>
    <mergeCell ref="E26:F26"/>
    <mergeCell ref="E27:F27"/>
    <mergeCell ref="E30:F30"/>
    <mergeCell ref="E31:F31"/>
    <mergeCell ref="E32:F32"/>
    <mergeCell ref="C37:D37"/>
    <mergeCell ref="C36:D36"/>
    <mergeCell ref="E33:F33"/>
    <mergeCell ref="E34:F34"/>
    <mergeCell ref="E35:F35"/>
    <mergeCell ref="E36:F36"/>
    <mergeCell ref="C24:D24"/>
    <mergeCell ref="C25:D25"/>
    <mergeCell ref="C26:D26"/>
    <mergeCell ref="C27:D27"/>
    <mergeCell ref="C34:D34"/>
    <mergeCell ref="C35:D35"/>
    <mergeCell ref="C42:D42"/>
    <mergeCell ref="E41:F41"/>
    <mergeCell ref="E42:F42"/>
    <mergeCell ref="C28:D28"/>
    <mergeCell ref="C29:D29"/>
    <mergeCell ref="C30:D30"/>
    <mergeCell ref="C31:D31"/>
    <mergeCell ref="E37:F37"/>
    <mergeCell ref="C32:D32"/>
    <mergeCell ref="C33:D33"/>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17" sqref="D1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German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1222</v>
      </c>
      <c r="C17" s="268">
        <f>IF(inputPrYr!D39&gt;0,inputPrYr!D39,"0.000")</f>
        <v>2.987</v>
      </c>
      <c r="D17" s="75">
        <f>IF(gen!$E$41&lt;&gt;0,gen!$E$41,"  ")</f>
        <v>1700</v>
      </c>
      <c r="E17" s="268">
        <f>IF(inputOth!D17&gt;0,inputOth!D17,"0.000")</f>
        <v>3.3</v>
      </c>
      <c r="F17" s="75">
        <f>IF(gen!$G$41&lt;&gt;0,gen!$G$41,"  ")</f>
        <v>2775</v>
      </c>
      <c r="G17" s="274">
        <f>IF(gen!$G$47&lt;&gt;0,gen!$G$47,"0")</f>
        <v>1580</v>
      </c>
      <c r="H17" s="271">
        <f>IF(gen!G47&gt;0,ROUND(G17/$F$28*1000,3),"0.000")</f>
        <v>3.472</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1222</v>
      </c>
      <c r="C23" s="270">
        <f t="shared" si="0"/>
        <v>2.987</v>
      </c>
      <c r="D23" s="259">
        <f t="shared" si="0"/>
        <v>1700</v>
      </c>
      <c r="E23" s="270">
        <f t="shared" si="0"/>
        <v>3.3</v>
      </c>
      <c r="F23" s="259">
        <f t="shared" si="0"/>
        <v>2775</v>
      </c>
      <c r="G23" s="259">
        <f t="shared" si="0"/>
        <v>1580</v>
      </c>
      <c r="H23" s="270">
        <f t="shared" si="0"/>
        <v>3.472</v>
      </c>
    </row>
    <row r="24" spans="1:8" ht="15.75">
      <c r="A24" s="70" t="s">
        <v>48</v>
      </c>
      <c r="B24" s="75">
        <v>0</v>
      </c>
      <c r="C24" s="14"/>
      <c r="D24" s="75">
        <v>0</v>
      </c>
      <c r="E24" s="63"/>
      <c r="F24" s="75">
        <v>0</v>
      </c>
      <c r="G24" s="14"/>
      <c r="H24" s="14"/>
    </row>
    <row r="25" spans="1:8" ht="15.75">
      <c r="A25" s="70" t="s">
        <v>49</v>
      </c>
      <c r="B25" s="111">
        <f>B23-B24</f>
        <v>1222</v>
      </c>
      <c r="C25" s="14"/>
      <c r="D25" s="111">
        <f>D23-D24</f>
        <v>1700</v>
      </c>
      <c r="E25" s="14"/>
      <c r="F25" s="111">
        <f>F23-F24</f>
        <v>2775</v>
      </c>
      <c r="G25" s="14"/>
      <c r="H25" s="14"/>
    </row>
    <row r="26" spans="1:8" ht="15.75">
      <c r="A26" s="70" t="s">
        <v>50</v>
      </c>
      <c r="B26" s="75">
        <f>inputPrYr!E48</f>
        <v>1503</v>
      </c>
      <c r="C26" s="63"/>
      <c r="D26" s="75">
        <f>inputPrYr!E23</f>
        <v>1545</v>
      </c>
      <c r="E26" s="14"/>
      <c r="F26" s="112" t="s">
        <v>180</v>
      </c>
      <c r="G26" s="14"/>
      <c r="H26" s="14"/>
    </row>
    <row r="27" spans="1:8" ht="15.75">
      <c r="A27" s="22" t="s">
        <v>51</v>
      </c>
      <c r="B27" s="14"/>
      <c r="C27" s="63"/>
      <c r="D27" s="14"/>
      <c r="E27" s="63"/>
      <c r="F27" s="14"/>
      <c r="G27" s="14"/>
      <c r="H27" s="14"/>
    </row>
    <row r="28" spans="1:8" ht="15.75">
      <c r="A28" s="70" t="s">
        <v>52</v>
      </c>
      <c r="B28" s="75">
        <f>inputPrYr!E49</f>
        <v>503160</v>
      </c>
      <c r="C28" s="14"/>
      <c r="D28" s="75">
        <f>inputOth!E26</f>
        <v>468215</v>
      </c>
      <c r="E28" s="14"/>
      <c r="F28" s="75">
        <f>inputOth!E7</f>
        <v>455070</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7" sqref="D1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German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1580</v>
      </c>
      <c r="D6" s="86">
        <f>IF(C6&gt;0,C6/$D$18,"0.000")</f>
        <v>3.471993319709056</v>
      </c>
      <c r="E6" s="87">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1580</v>
      </c>
      <c r="D13" s="262">
        <f>SUM(D6:D12)</f>
        <v>3.471993319709056</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455070</v>
      </c>
      <c r="E16" s="14"/>
      <c r="F16" s="84"/>
    </row>
    <row r="17" spans="1:6" ht="15.75">
      <c r="A17" s="14"/>
      <c r="B17" s="14"/>
      <c r="C17" s="14"/>
      <c r="D17" s="14"/>
      <c r="E17" s="14"/>
      <c r="F17" s="84"/>
    </row>
    <row r="18" spans="1:6" ht="15.75">
      <c r="A18" s="14"/>
      <c r="B18" s="348" t="s">
        <v>188</v>
      </c>
      <c r="C18" s="348"/>
      <c r="D18" s="90">
        <f>IF(D16&gt;0,(D16*0.001),"")</f>
        <v>455.07</v>
      </c>
      <c r="E18" s="14"/>
      <c r="F18" s="84"/>
    </row>
    <row r="19" spans="1:6" ht="15.75">
      <c r="A19" s="14"/>
      <c r="B19" s="48"/>
      <c r="C19" s="48"/>
      <c r="D19" s="91"/>
      <c r="E19" s="14"/>
      <c r="F19" s="84"/>
    </row>
    <row r="20" spans="1:6" ht="15.75">
      <c r="A20" s="346" t="s">
        <v>189</v>
      </c>
      <c r="B20" s="291"/>
      <c r="C20" s="291"/>
      <c r="D20" s="92">
        <f>inputOth!E13</f>
        <v>0</v>
      </c>
      <c r="E20" s="93"/>
      <c r="F20" s="93"/>
    </row>
    <row r="21" spans="1:6" ht="15.75">
      <c r="A21" s="93"/>
      <c r="B21" s="93"/>
      <c r="C21" s="93"/>
      <c r="D21" s="94"/>
      <c r="E21" s="93"/>
      <c r="F21" s="93"/>
    </row>
    <row r="22" spans="1:6" ht="15.75">
      <c r="A22" s="93"/>
      <c r="B22" s="346" t="s">
        <v>190</v>
      </c>
      <c r="C22" s="347"/>
      <c r="D22" s="95" t="str">
        <f>IF(D20&gt;0,(D20*0.001),"0")</f>
        <v>0</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2011-06-28T19:13:54Z</cp:lastPrinted>
  <dcterms:created xsi:type="dcterms:W3CDTF">1998-08-26T16:30:41Z</dcterms:created>
  <dcterms:modified xsi:type="dcterms:W3CDTF">2011-12-08T17:18:19Z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G</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