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4"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debt" sheetId="10" r:id="rId10"/>
    <sheet name="gen" sheetId="11" r:id="rId11"/>
    <sheet name="DebtService" sheetId="12" r:id="rId12"/>
    <sheet name="road" sheetId="13" r:id="rId13"/>
    <sheet name="Fire_Lib" sheetId="14" r:id="rId14"/>
    <sheet name="summ_pdf" sheetId="15" r:id="rId15"/>
    <sheet name="summ" sheetId="16" r:id="rId16"/>
    <sheet name="SpecRoad&amp;Noxious" sheetId="17" r:id="rId17"/>
    <sheet name="TransferStatutes"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15">'summ'!$A$1:$H$52</definedName>
  </definedNames>
  <calcPr fullCalcOnLoad="1"/>
</workbook>
</file>

<file path=xl/sharedStrings.xml><?xml version="1.0" encoding="utf-8"?>
<sst xmlns="http://schemas.openxmlformats.org/spreadsheetml/2006/main" count="1506" uniqueCount="844">
  <si>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</si>
  <si>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</si>
  <si>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</si>
  <si>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</si>
  <si>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</si>
  <si>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</si>
  <si>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</si>
  <si>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</si>
  <si>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</si>
  <si>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</si>
  <si>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</si>
  <si>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</si>
  <si>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</si>
  <si>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</si>
  <si>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</si>
  <si>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</si>
  <si>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</si>
  <si>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</si>
  <si>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</si>
  <si>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</si>
  <si>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</si>
  <si>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</si>
  <si>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</si>
  <si>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</si>
  <si>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</si>
  <si>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</si>
  <si>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</si>
  <si>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</si>
  <si>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</si>
  <si>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</si>
  <si>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</si>
  <si>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</si>
  <si>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</si>
  <si>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</si>
  <si>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</si>
  <si>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</si>
  <si>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</si>
  <si>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</si>
  <si>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</si>
  <si>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</si>
  <si>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</si>
  <si>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</si>
  <si>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</si>
  <si>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</si>
  <si>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</si>
  <si>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</si>
  <si>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</si>
  <si>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</si>
  <si>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</si>
  <si>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</si>
  <si>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</si>
  <si>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</si>
  <si>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</si>
  <si>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</si>
  <si>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</si>
  <si>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</si>
  <si>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</si>
  <si>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</si>
  <si>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</si>
  <si>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</si>
  <si>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</si>
  <si>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</si>
  <si>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</si>
  <si>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</si>
  <si>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</si>
  <si>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</si>
  <si>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</si>
  <si>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</si>
  <si>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</si>
  <si>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</si>
  <si>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</si>
  <si>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</si>
  <si>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</si>
  <si>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</si>
  <si>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</si>
  <si>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</si>
  <si>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</si>
  <si>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</si>
  <si>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</si>
  <si>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</si>
  <si>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</si>
  <si>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</si>
  <si>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</si>
  <si>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</si>
  <si>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</si>
  <si>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</si>
  <si>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</si>
  <si>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</si>
  <si>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</si>
  <si>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</si>
  <si>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</si>
  <si>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</si>
  <si>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</si>
  <si>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</si>
  <si>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</si>
  <si>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</si>
  <si>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</si>
  <si>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</si>
  <si>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</si>
  <si>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</si>
  <si>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</si>
  <si>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</si>
  <si>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</si>
  <si>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</si>
  <si>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</si>
  <si>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</si>
  <si>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</si>
  <si>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</si>
  <si>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</si>
  <si>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</si>
  <si>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</si>
  <si>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</si>
  <si>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</si>
  <si>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</si>
  <si>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</si>
  <si>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</si>
  <si>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</si>
  <si>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</si>
  <si>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</si>
  <si>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</si>
  <si>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</si>
  <si>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</si>
  <si>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</si>
  <si>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</si>
  <si>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</si>
  <si>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</si>
  <si>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</si>
  <si>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</si>
  <si>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</si>
  <si>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</si>
  <si>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</si>
  <si>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</si>
  <si>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</si>
  <si>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</si>
  <si>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</si>
  <si>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</si>
  <si>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</si>
  <si>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</si>
  <si>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</si>
  <si>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</si>
  <si>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</si>
  <si>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</si>
  <si>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</si>
  <si>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</si>
  <si>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</si>
  <si>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</si>
  <si>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</si>
  <si>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</si>
  <si>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</si>
  <si>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</si>
  <si>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</si>
  <si>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</si>
  <si>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</si>
  <si>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</si>
  <si>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</si>
  <si>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</si>
  <si>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</si>
  <si>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</si>
  <si>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</si>
  <si>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</si>
  <si>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</si>
  <si>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</si>
  <si>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</si>
  <si>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</si>
  <si>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</si>
  <si>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</si>
  <si>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</si>
  <si>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</si>
  <si>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</si>
  <si>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</si>
  <si>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</si>
  <si>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</si>
  <si>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</si>
  <si>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</si>
  <si>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</si>
  <si>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</si>
  <si>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</si>
  <si>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</si>
  <si>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</si>
  <si>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</si>
  <si>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</si>
  <si>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</si>
  <si>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</si>
  <si>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</si>
  <si>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</si>
  <si>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</si>
  <si>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</si>
  <si>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</si>
  <si>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</si>
  <si>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</si>
  <si>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</si>
  <si>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</si>
  <si>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</si>
  <si>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</si>
  <si>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</si>
  <si>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</si>
  <si>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</si>
  <si>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</si>
  <si>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</si>
  <si>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</si>
  <si>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</si>
  <si>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</si>
  <si>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</si>
  <si>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</si>
  <si>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</si>
  <si>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</si>
  <si>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</si>
  <si>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</si>
  <si>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</si>
  <si>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</si>
  <si>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</si>
  <si>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</si>
  <si>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</si>
  <si>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</si>
  <si>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</si>
  <si>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</si>
  <si>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</si>
  <si>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</si>
  <si>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</si>
  <si>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</si>
  <si>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</si>
  <si>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</si>
  <si>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</si>
  <si>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</si>
  <si>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</si>
  <si>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</si>
  <si>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</si>
  <si>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</si>
  <si>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</si>
  <si>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</si>
  <si>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</si>
  <si>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</si>
  <si>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</si>
  <si>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</si>
  <si>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</si>
  <si>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</si>
  <si>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</si>
  <si>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</si>
  <si>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</si>
  <si>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</si>
  <si>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</si>
  <si>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</si>
  <si>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</si>
  <si>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</si>
  <si>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</si>
  <si>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</si>
  <si>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</si>
  <si>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</si>
  <si>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</si>
  <si>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</si>
  <si>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</si>
  <si>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</si>
  <si>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</si>
  <si>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</si>
  <si>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</si>
  <si>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</si>
  <si>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</si>
  <si>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</si>
  <si>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</si>
  <si>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</si>
  <si>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</si>
  <si>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</si>
  <si>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</si>
  <si>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</si>
  <si>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</si>
  <si>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</si>
  <si>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</si>
  <si>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</si>
  <si>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</si>
  <si>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</si>
  <si>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</si>
  <si>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</si>
  <si>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</si>
  <si>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</si>
  <si>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</si>
  <si>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</si>
  <si>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</si>
  <si>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</si>
  <si>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</si>
  <si>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</si>
  <si>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</si>
  <si>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</si>
  <si>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</si>
  <si>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</si>
  <si>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</si>
  <si>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</si>
  <si>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</si>
  <si>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</si>
  <si>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</si>
  <si>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</si>
  <si>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</si>
  <si>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</si>
  <si>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</si>
  <si>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</si>
  <si>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</si>
  <si>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</si>
  <si>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</si>
  <si>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</si>
  <si>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</si>
  <si>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</si>
  <si>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</si>
  <si>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</si>
  <si>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</si>
  <si>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</si>
  <si>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</si>
  <si>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</si>
  <si>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</si>
  <si>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</si>
  <si>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</si>
  <si>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</si>
  <si>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</si>
  <si>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</si>
  <si>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</si>
  <si>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</si>
  <si>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</si>
  <si>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</si>
  <si>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</si>
  <si>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</si>
  <si>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</si>
  <si>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</si>
  <si>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</si>
  <si>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</si>
  <si>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</si>
  <si>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</si>
  <si>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</si>
  <si>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</si>
  <si>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</si>
  <si>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</si>
  <si>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</si>
  <si>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</si>
  <si>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</si>
  <si>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</si>
  <si>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</si>
  <si>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</si>
  <si>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</si>
  <si>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</si>
  <si>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</si>
  <si>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</si>
  <si>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</si>
  <si>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</si>
  <si>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</si>
  <si>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</si>
  <si>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</si>
  <si>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</si>
  <si>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</si>
  <si>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</si>
  <si>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</si>
  <si>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</si>
  <si>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</si>
  <si>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</si>
  <si>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</si>
  <si>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</si>
  <si>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</si>
  <si>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</si>
  <si>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</si>
  <si>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</si>
  <si>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</si>
  <si>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</si>
  <si>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</si>
  <si>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</si>
  <si>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</si>
  <si>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</si>
  <si>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</si>
  <si>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</si>
  <si>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</si>
  <si>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</si>
  <si>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</si>
  <si>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</si>
  <si>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</si>
  <si>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</si>
  <si>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</si>
  <si>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</si>
  <si>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</si>
  <si>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</si>
  <si>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</si>
  <si>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</si>
  <si>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</si>
  <si>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</si>
  <si>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</si>
  <si>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</si>
  <si>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</si>
  <si>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</si>
  <si>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</si>
  <si>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</si>
  <si>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</si>
  <si>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</si>
  <si>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</si>
  <si>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</si>
  <si>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</si>
  <si>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</si>
  <si>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</si>
  <si>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</si>
  <si>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</si>
  <si>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</si>
  <si>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</si>
  <si>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</si>
  <si>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</si>
  <si>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</si>
  <si>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</si>
  <si>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</si>
  <si>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</si>
  <si>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</si>
  <si>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</si>
  <si>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</si>
  <si>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</si>
  <si>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</si>
  <si>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</si>
  <si>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</si>
  <si>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</si>
  <si>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</si>
  <si>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</si>
  <si>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</si>
  <si>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</si>
  <si>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</si>
  <si>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</si>
  <si>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</si>
  <si>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</si>
  <si>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</si>
  <si>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</si>
  <si>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</si>
  <si>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</si>
  <si>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</si>
  <si>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</si>
  <si>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</si>
  <si>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</si>
  <si>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</si>
  <si>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</si>
  <si>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</si>
  <si>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</si>
  <si>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</si>
  <si>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</si>
  <si>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</si>
  <si>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</si>
  <si>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</si>
  <si>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</si>
  <si>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</si>
  <si>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</si>
  <si>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</si>
  <si>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</si>
  <si>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</si>
  <si>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</si>
  <si>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</si>
  <si>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</si>
  <si>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</si>
  <si>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</si>
  <si>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</si>
  <si>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</si>
  <si>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</si>
  <si>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</si>
  <si>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</si>
  <si>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</si>
  <si>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</si>
  <si>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</si>
  <si>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</si>
  <si>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</si>
  <si>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</si>
  <si>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</si>
  <si>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</si>
  <si>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</si>
  <si>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</si>
  <si>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</si>
  <si>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</si>
  <si>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</si>
  <si>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</si>
  <si>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</si>
  <si>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</si>
  <si>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</si>
  <si>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</si>
  <si>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</si>
  <si>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</si>
  <si>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</si>
  <si>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</si>
  <si>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</si>
  <si>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</si>
  <si>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</si>
  <si>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</si>
  <si>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</si>
  <si>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</si>
  <si>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</si>
  <si>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</si>
  <si>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</si>
  <si>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</si>
  <si>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</si>
  <si>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</si>
  <si>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</si>
  <si>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</si>
  <si>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</si>
  <si>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</si>
  <si>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</si>
  <si>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</si>
  <si>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</si>
  <si>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</si>
  <si>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</si>
  <si>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</si>
  <si>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</si>
  <si>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</si>
  <si>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</si>
  <si>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</si>
  <si>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</si>
  <si>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</si>
  <si>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</si>
  <si>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</si>
  <si>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</si>
  <si>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</si>
  <si>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</si>
  <si>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</si>
  <si>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</si>
  <si>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</si>
  <si>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</si>
  <si>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</si>
  <si>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</si>
  <si>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</si>
  <si>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</si>
  <si>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</si>
  <si>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</si>
  <si>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</si>
  <si>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</si>
  <si>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</si>
  <si>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</si>
  <si>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</si>
  <si>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</si>
  <si>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</si>
  <si>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</si>
  <si>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</si>
  <si>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</si>
  <si>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</si>
  <si>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</si>
  <si>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</si>
  <si>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</si>
  <si>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</si>
  <si>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</si>
  <si>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</si>
  <si>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</si>
  <si>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</si>
  <si>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</si>
  <si>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</si>
  <si>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</si>
  <si>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</si>
  <si>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</si>
  <si>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</si>
  <si>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</si>
  <si>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</si>
  <si>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</si>
  <si>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</si>
  <si>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</si>
  <si>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</si>
  <si>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</si>
  <si>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</si>
  <si>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</si>
  <si>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</si>
  <si>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</si>
  <si>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</si>
  <si>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</si>
  <si>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</si>
  <si>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</si>
  <si>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</si>
  <si>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</si>
  <si>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</si>
  <si>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</si>
  <si>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</si>
  <si>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</si>
  <si>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</si>
  <si>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</si>
  <si>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</si>
  <si>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</si>
  <si>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</si>
  <si>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</si>
  <si>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</si>
  <si>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</si>
  <si>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</si>
  <si>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</si>
  <si>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</si>
  <si>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</si>
  <si>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</si>
  <si>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</si>
  <si>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</si>
  <si>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</si>
  <si>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</si>
  <si>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</si>
  <si>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</si>
  <si>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</si>
  <si>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</si>
  <si>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</si>
  <si>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</si>
  <si>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</si>
  <si>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</si>
  <si>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</si>
  <si>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</si>
  <si>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</si>
  <si>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</si>
  <si>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</si>
  <si>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</si>
  <si>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</si>
  <si>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</si>
  <si>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</si>
  <si>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</si>
  <si>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</si>
  <si>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</si>
  <si>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</si>
  <si>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</si>
  <si>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</si>
  <si>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</si>
  <si>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</si>
  <si>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</si>
  <si>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</si>
  <si>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</si>
  <si>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</si>
  <si>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</si>
  <si>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</si>
  <si>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</si>
  <si>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</si>
  <si>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</si>
  <si>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</si>
  <si>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</si>
  <si>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</si>
  <si>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</si>
  <si>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</si>
  <si>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</si>
  <si>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</si>
  <si>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</si>
  <si>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</si>
  <si>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</si>
  <si>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</si>
  <si>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</si>
  <si>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</si>
  <si>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</si>
  <si>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</si>
  <si>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</si>
  <si>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</si>
  <si>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</si>
  <si>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</si>
  <si>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</si>
  <si>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</si>
  <si>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</si>
  <si>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</si>
  <si>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</si>
  <si>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</si>
  <si>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</si>
  <si>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</si>
  <si>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</si>
  <si>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</si>
  <si>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</si>
  <si>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</si>
  <si>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</si>
  <si>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</si>
  <si>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</si>
  <si>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</si>
  <si>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</si>
  <si>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</si>
  <si>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</si>
  <si>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</si>
  <si>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</si>
  <si>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</si>
  <si>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</si>
  <si>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</si>
  <si>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</si>
  <si>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</si>
  <si>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</si>
  <si>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</si>
  <si>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</si>
  <si>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</si>
  <si>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</si>
  <si>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</si>
  <si>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</si>
  <si>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</si>
  <si>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</si>
  <si>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</si>
  <si>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</si>
  <si>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</si>
  <si>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</si>
  <si>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</si>
  <si>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</si>
  <si>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</si>
  <si>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</si>
  <si>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</si>
  <si>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</si>
  <si>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</si>
  <si>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</si>
  <si>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</si>
  <si>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</si>
  <si>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</si>
  <si>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</si>
  <si>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</si>
  <si>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</si>
  <si>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</si>
  <si>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</si>
  <si>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</si>
  <si>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</si>
  <si>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</si>
  <si>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</si>
  <si>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</si>
  <si>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</si>
  <si>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</si>
  <si>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</si>
  <si>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</si>
  <si>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</si>
  <si>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</si>
  <si>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</si>
  <si>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</si>
  <si>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</si>
  <si>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</si>
  <si>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</si>
  <si>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</si>
  <si>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</si>
  <si>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</si>
  <si>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</si>
  <si>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</si>
  <si>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</si>
  <si>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</si>
  <si>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</si>
  <si>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</si>
  <si>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</si>
  <si>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</si>
  <si>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</si>
  <si>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</si>
  <si>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</si>
  <si>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</si>
  <si>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</si>
  <si>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</si>
  <si>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</si>
  <si>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</si>
  <si>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</si>
  <si>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</si>
  <si>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</si>
  <si>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</si>
  <si>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</si>
  <si>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</si>
  <si>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</si>
  <si>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</si>
  <si>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</si>
  <si>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</si>
  <si>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</si>
  <si>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</si>
  <si>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</si>
  <si>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</si>
  <si>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</si>
  <si>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</si>
  <si>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</si>
  <si>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</si>
  <si>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</si>
  <si>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</si>
  <si>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</si>
  <si>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</si>
  <si>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</si>
  <si>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</si>
  <si>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</si>
  <si>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</si>
  <si>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</si>
  <si>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</si>
  <si>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</si>
  <si>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</si>
  <si>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</si>
  <si>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</si>
  <si>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</si>
  <si>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</si>
  <si>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</si>
  <si>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</si>
  <si>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</si>
  <si>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</si>
  <si>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</si>
  <si>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</si>
  <si>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</si>
  <si>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</si>
  <si>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</si>
  <si>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</si>
  <si>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</si>
  <si>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</si>
  <si>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</si>
  <si>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</si>
  <si>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</si>
  <si>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</si>
  <si>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</si>
  <si>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</si>
  <si>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</si>
  <si>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</si>
  <si>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</si>
  <si>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</si>
  <si>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</si>
  <si>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</si>
  <si>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</si>
  <si>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</si>
  <si>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</si>
  <si>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</si>
  <si>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</si>
  <si>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</si>
  <si>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</si>
  <si>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</si>
  <si>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</si>
  <si>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</si>
  <si>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</si>
  <si>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</si>
  <si>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</si>
  <si>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</si>
  <si>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</si>
  <si>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</si>
  <si>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</si>
  <si>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</si>
  <si>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</si>
  <si>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</si>
  <si>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</si>
  <si>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</si>
  <si>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</si>
  <si>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</si>
  <si>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</si>
  <si>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</si>
  <si>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</si>
  <si>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</si>
  <si>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</si>
  <si>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</si>
  <si>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</si>
  <si>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</si>
  <si>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</si>
  <si>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</si>
  <si>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</si>
  <si>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</si>
  <si>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</si>
  <si>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</si>
  <si>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</si>
  <si>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</si>
  <si>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</si>
  <si>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</si>
  <si>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</si>
  <si>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</si>
  <si>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</si>
  <si>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</si>
  <si>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</si>
  <si>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</si>
  <si>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</si>
  <si>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</si>
  <si>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</si>
  <si>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Materials/Supplies</t>
  </si>
  <si>
    <t>Morton Township</t>
  </si>
  <si>
    <t>Sedgwick County</t>
  </si>
  <si>
    <t>City of Cheney</t>
  </si>
  <si>
    <t>Library</t>
  </si>
  <si>
    <t>Series 2010</t>
  </si>
  <si>
    <t>MV Excise Tax</t>
  </si>
  <si>
    <t>Administration</t>
  </si>
  <si>
    <t xml:space="preserve">Interest  </t>
  </si>
  <si>
    <t>Coupon Fees</t>
  </si>
  <si>
    <t>August 23, 2011,</t>
  </si>
  <si>
    <t>7:30 pm</t>
  </si>
  <si>
    <t>325 E South St, Cheney, KS  67025</t>
  </si>
  <si>
    <t>Sedgwick County Clerk's Office, 525 N Main #211, Wichita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</si>
</sst>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638175</xdr:colOff>
      <xdr:row>55</xdr:row>
      <xdr:rowOff>142875</xdr:rowOff>
    </xdr:to>
    <xdr:pic>
      <xdr:nvPicPr>
        <xdr:cNvPr id="1" name="Picture 1"/>
        <xdr:cNvPicPr preferRelativeResize="1">
          <a:picLocks noChangeAspect="1"/>
        </xdr:cNvPicPr>
      </xdr:nvPicPr>
      <xdr:blipFill>
        <a:blip r:embed="rId1"/>
        <a:stretch>
          <a:fillRect/>
        </a:stretch>
      </xdr:blipFill>
      <xdr:spPr>
        <a:xfrm>
          <a:off x="0" y="0"/>
          <a:ext cx="7343775" cy="1114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561975</xdr:colOff>
      <xdr:row>57</xdr:row>
      <xdr:rowOff>0</xdr:rowOff>
    </xdr:to>
    <xdr:pic>
      <xdr:nvPicPr>
        <xdr:cNvPr id="1" name="Picture 1"/>
        <xdr:cNvPicPr preferRelativeResize="1">
          <a:picLocks noChangeAspect="1"/>
        </xdr:cNvPicPr>
      </xdr:nvPicPr>
      <xdr:blipFill>
        <a:blip r:embed="rId1"/>
        <a:stretch>
          <a:fillRect/>
        </a:stretch>
      </xdr:blipFill>
      <xdr:spPr>
        <a:xfrm>
          <a:off x="0" y="0"/>
          <a:ext cx="7267575" cy="1140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7">
      <selection activeCell="C52" sqref="C52"/>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Morton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835</v>
      </c>
      <c r="B9" s="415">
        <v>40533</v>
      </c>
      <c r="C9" s="297">
        <v>5.222887</v>
      </c>
      <c r="D9" s="175">
        <v>125000</v>
      </c>
      <c r="E9" s="298">
        <v>125000</v>
      </c>
      <c r="F9" s="299">
        <v>40603</v>
      </c>
      <c r="G9" s="299">
        <v>40787</v>
      </c>
      <c r="H9" s="298">
        <v>0</v>
      </c>
      <c r="I9" s="298">
        <v>0</v>
      </c>
      <c r="J9" s="298">
        <v>10802.08</v>
      </c>
      <c r="K9" s="298">
        <v>0</v>
      </c>
    </row>
    <row r="10" spans="1:11" ht="15.75">
      <c r="A10" s="295"/>
      <c r="B10" s="415"/>
      <c r="C10" s="297"/>
      <c r="D10" s="175"/>
      <c r="E10" s="298"/>
      <c r="F10" s="299"/>
      <c r="G10" s="299"/>
      <c r="H10" s="298"/>
      <c r="I10" s="298"/>
      <c r="J10" s="298"/>
      <c r="K10" s="298"/>
    </row>
    <row r="11" spans="1:11" ht="15.75">
      <c r="A11" s="212" t="s">
        <v>106</v>
      </c>
      <c r="B11" s="300"/>
      <c r="C11" s="301"/>
      <c r="D11" s="267"/>
      <c r="E11" s="181">
        <f>SUM(E9:E10)</f>
        <v>125000</v>
      </c>
      <c r="F11" s="302"/>
      <c r="G11" s="302"/>
      <c r="H11" s="181">
        <f>SUM(H9:H10)</f>
        <v>0</v>
      </c>
      <c r="I11" s="181">
        <f>SUM(I9:I10)</f>
        <v>0</v>
      </c>
      <c r="J11" s="181">
        <f>SUM(J9:J10)</f>
        <v>10802.08</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125000</v>
      </c>
      <c r="F16" s="305"/>
      <c r="G16" s="309"/>
      <c r="H16" s="308">
        <f>SUM(H11+H15)</f>
        <v>0</v>
      </c>
      <c r="I16" s="308">
        <f>SUM(I11+I15)</f>
        <v>0</v>
      </c>
      <c r="J16" s="308">
        <f>SUM(J11+J15)</f>
        <v>10802.08</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C52" sqref="C5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Morton Township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0</v>
      </c>
      <c r="D6" s="418">
        <f>C47</f>
        <v>-0.010000000005675247</v>
      </c>
      <c r="E6" s="267">
        <f>D47</f>
        <v>148.98999999999432</v>
      </c>
    </row>
    <row r="7" spans="2:5" ht="15.75">
      <c r="B7" s="82" t="s">
        <v>74</v>
      </c>
      <c r="C7" s="418"/>
      <c r="D7" s="418"/>
      <c r="E7" s="328"/>
    </row>
    <row r="8" spans="2:5" ht="15.75">
      <c r="B8" s="82" t="s">
        <v>286</v>
      </c>
      <c r="C8" s="326">
        <f>16178.46-79.33</f>
        <v>16099.13</v>
      </c>
      <c r="D8" s="418">
        <f>inputPrYr!E20</f>
        <v>16765</v>
      </c>
      <c r="E8" s="328" t="s">
        <v>265</v>
      </c>
    </row>
    <row r="9" spans="2:5" ht="15.75">
      <c r="B9" s="82" t="s">
        <v>287</v>
      </c>
      <c r="C9" s="326">
        <f>35.18+350.61+24.42+0.72+0.04+18.48+2.84+28.8</f>
        <v>461.0900000000001</v>
      </c>
      <c r="D9" s="326">
        <v>0</v>
      </c>
      <c r="E9" s="175"/>
    </row>
    <row r="10" spans="2:5" ht="15.75">
      <c r="B10" s="82" t="s">
        <v>288</v>
      </c>
      <c r="C10" s="326">
        <f>2669.14</f>
        <v>2669.14</v>
      </c>
      <c r="D10" s="326">
        <v>2639</v>
      </c>
      <c r="E10" s="267">
        <f>mvalloc!G12</f>
        <v>2391</v>
      </c>
    </row>
    <row r="11" spans="2:5" ht="15.75">
      <c r="B11" s="82" t="s">
        <v>289</v>
      </c>
      <c r="C11" s="326">
        <v>46.94</v>
      </c>
      <c r="D11" s="326">
        <v>89</v>
      </c>
      <c r="E11" s="267">
        <f>mvalloc!I12</f>
        <v>80</v>
      </c>
    </row>
    <row r="12" spans="2:5" ht="15.75">
      <c r="B12" s="329" t="s">
        <v>24</v>
      </c>
      <c r="C12" s="326">
        <v>40.26</v>
      </c>
      <c r="D12" s="326">
        <v>45</v>
      </c>
      <c r="E12" s="267">
        <f>mvalloc!J12</f>
        <v>63.81999999999999</v>
      </c>
    </row>
    <row r="13" spans="2:5" ht="15.75">
      <c r="B13" s="329" t="s">
        <v>113</v>
      </c>
      <c r="C13" s="326">
        <v>0</v>
      </c>
      <c r="D13" s="326">
        <v>0</v>
      </c>
      <c r="E13" s="267">
        <f>inputOth!E70</f>
        <v>0</v>
      </c>
    </row>
    <row r="14" spans="2:5" ht="15.75">
      <c r="B14" s="329" t="s">
        <v>114</v>
      </c>
      <c r="C14" s="326">
        <v>0</v>
      </c>
      <c r="D14" s="326">
        <v>0</v>
      </c>
      <c r="E14" s="267">
        <f>mvalloc!K12</f>
        <v>0</v>
      </c>
    </row>
    <row r="15" spans="2:5" ht="15.75">
      <c r="B15" s="82" t="s">
        <v>290</v>
      </c>
      <c r="C15" s="326">
        <v>0</v>
      </c>
      <c r="D15" s="326">
        <v>0</v>
      </c>
      <c r="E15" s="267">
        <f>inputOth!E32</f>
        <v>0</v>
      </c>
    </row>
    <row r="16" spans="2:5" ht="15.75">
      <c r="B16" s="330" t="s">
        <v>836</v>
      </c>
      <c r="C16" s="326">
        <v>2.07</v>
      </c>
      <c r="D16" s="326">
        <v>0</v>
      </c>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v>0</v>
      </c>
      <c r="D22" s="326">
        <v>0</v>
      </c>
      <c r="E22" s="175"/>
    </row>
    <row r="23" spans="2:5" ht="15.75">
      <c r="B23" s="332" t="s">
        <v>238</v>
      </c>
      <c r="C23" s="326"/>
      <c r="D23" s="326"/>
      <c r="E23" s="175"/>
    </row>
    <row r="24" spans="2:5" ht="15.75">
      <c r="B24" s="332" t="s">
        <v>239</v>
      </c>
      <c r="C24" s="420">
        <f>IF(C25*0.1&lt;C23,"Exceed 10% Rule","")</f>
      </c>
      <c r="D24" s="420">
        <f>IF(D25*0.1&lt;D23,"Exceed 10% Rule","")</f>
      </c>
      <c r="E24" s="336">
        <f>IF(E25*0.1+E53&lt;E23,"Exceed 10% Rule","")</f>
      </c>
    </row>
    <row r="25" spans="2:5" ht="15.75">
      <c r="B25" s="334" t="s">
        <v>293</v>
      </c>
      <c r="C25" s="421">
        <f>SUM(C8:C23)</f>
        <v>19318.629999999994</v>
      </c>
      <c r="D25" s="421">
        <f>SUM(D8:D23)</f>
        <v>19538</v>
      </c>
      <c r="E25" s="335">
        <f>SUM(E8:E23)</f>
        <v>2534.82</v>
      </c>
    </row>
    <row r="26" spans="2:5" ht="15.75">
      <c r="B26" s="100" t="s">
        <v>294</v>
      </c>
      <c r="C26" s="421">
        <f>C25+C6</f>
        <v>19318.629999999994</v>
      </c>
      <c r="D26" s="421">
        <f>D25+D6</f>
        <v>19537.989999999994</v>
      </c>
      <c r="E26" s="335">
        <f>E25+E6</f>
        <v>2683.8099999999945</v>
      </c>
    </row>
    <row r="27" spans="2:5" ht="15.75">
      <c r="B27" s="82" t="s">
        <v>295</v>
      </c>
      <c r="C27" s="418"/>
      <c r="D27" s="418"/>
      <c r="E27" s="267"/>
    </row>
    <row r="28" spans="2:5" ht="15.75">
      <c r="B28" s="330"/>
      <c r="C28" s="326"/>
      <c r="D28" s="326"/>
      <c r="E28" s="175"/>
    </row>
    <row r="29" spans="2:5" ht="15.75">
      <c r="B29" s="331" t="s">
        <v>827</v>
      </c>
      <c r="C29" s="326">
        <v>275</v>
      </c>
      <c r="D29" s="326">
        <v>5200</v>
      </c>
      <c r="E29" s="175">
        <v>1000</v>
      </c>
    </row>
    <row r="30" spans="2:5" ht="15.75">
      <c r="B30" s="331" t="s">
        <v>56</v>
      </c>
      <c r="C30" s="326">
        <v>2865.27</v>
      </c>
      <c r="D30" s="326">
        <v>2100</v>
      </c>
      <c r="E30" s="175">
        <v>4500</v>
      </c>
    </row>
    <row r="31" spans="2:5" ht="15.75">
      <c r="B31" s="331" t="s">
        <v>57</v>
      </c>
      <c r="C31" s="326">
        <v>11827.42</v>
      </c>
      <c r="D31" s="326">
        <v>600</v>
      </c>
      <c r="E31" s="175">
        <v>350</v>
      </c>
    </row>
    <row r="32" spans="2:5" ht="15.75">
      <c r="B32" s="331" t="s">
        <v>828</v>
      </c>
      <c r="C32" s="326">
        <v>4350.95</v>
      </c>
      <c r="D32" s="326">
        <v>3189</v>
      </c>
      <c r="E32" s="175">
        <v>4500</v>
      </c>
    </row>
    <row r="33" spans="2:5" ht="15.75">
      <c r="B33" s="330" t="s">
        <v>829</v>
      </c>
      <c r="C33" s="326">
        <v>0</v>
      </c>
      <c r="D33" s="326">
        <v>300</v>
      </c>
      <c r="E33" s="175">
        <v>500</v>
      </c>
    </row>
    <row r="34" spans="2:5" ht="15.75">
      <c r="B34" s="330" t="s">
        <v>837</v>
      </c>
      <c r="C34" s="326">
        <v>0</v>
      </c>
      <c r="D34" s="326">
        <v>8000</v>
      </c>
      <c r="E34" s="175">
        <v>0</v>
      </c>
    </row>
    <row r="35" spans="2:5" ht="15.75">
      <c r="B35" s="331" t="s">
        <v>79</v>
      </c>
      <c r="C35" s="326">
        <v>0</v>
      </c>
      <c r="D35" s="326"/>
      <c r="E35" s="175">
        <v>2000</v>
      </c>
    </row>
    <row r="36" spans="2:5" ht="15.75">
      <c r="B36" s="331"/>
      <c r="C36" s="326"/>
      <c r="D36" s="326"/>
      <c r="E36" s="175"/>
    </row>
    <row r="37" spans="2:5" ht="15.75">
      <c r="B37" s="330"/>
      <c r="C37" s="326"/>
      <c r="D37" s="326"/>
      <c r="E37" s="175"/>
    </row>
    <row r="38" spans="2:5" ht="15.75">
      <c r="B38" s="331"/>
      <c r="C38" s="326"/>
      <c r="D38" s="326"/>
      <c r="E38" s="175"/>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199</v>
      </c>
      <c r="C41" s="326"/>
      <c r="D41" s="326"/>
      <c r="E41" s="175"/>
      <c r="G41" s="611"/>
      <c r="H41" s="612"/>
      <c r="I41" s="612"/>
      <c r="J41" s="613"/>
    </row>
    <row r="42" spans="2:10" ht="15.75">
      <c r="B42" s="82" t="s">
        <v>823</v>
      </c>
      <c r="C42" s="420">
        <f>IF(C26*0.25&lt;C41,"Exceeds 25%","")</f>
      </c>
      <c r="D42" s="420">
        <f>IF(D26*0.25&lt;D41,"Exceeds 25%","")</f>
      </c>
      <c r="E42" s="336">
        <f>IF(E26*0.25+E53&lt;E41,"Exceeds 25%","")</f>
      </c>
      <c r="G42" s="614">
        <f>D47</f>
        <v>148.98999999999432</v>
      </c>
      <c r="H42" s="615" t="str">
        <f>CONCATENATE("",E1-1," Ending Cash Balance (est.)")</f>
        <v>2011 Ending Cash Balance (est.)</v>
      </c>
      <c r="I42" s="616"/>
      <c r="J42" s="613"/>
    </row>
    <row r="43" spans="2:10" ht="15.75">
      <c r="B43" s="329" t="s">
        <v>240</v>
      </c>
      <c r="C43" s="326"/>
      <c r="D43" s="326"/>
      <c r="E43" s="186">
        <f>nhood!E6</f>
      </c>
      <c r="G43" s="614">
        <f>E25</f>
        <v>2534.82</v>
      </c>
      <c r="H43" s="617" t="str">
        <f>CONCATENATE("",E1," Non-AV Receipts (est.)")</f>
        <v>2012 Non-AV Receipts (est.)</v>
      </c>
      <c r="I43" s="617"/>
      <c r="J43" s="613"/>
    </row>
    <row r="44" spans="2:10" ht="15.75">
      <c r="B44" s="329" t="s">
        <v>238</v>
      </c>
      <c r="C44" s="326"/>
      <c r="D44" s="326"/>
      <c r="E44" s="175"/>
      <c r="G44" s="618">
        <f>E53</f>
        <v>10166.190000000006</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12850</v>
      </c>
      <c r="H45" s="617" t="str">
        <f>CONCATENATE("Total ",E1," Resources Available")</f>
        <v>Total 2012 Resources Available</v>
      </c>
      <c r="I45" s="616"/>
      <c r="J45" s="613"/>
    </row>
    <row r="46" spans="2:10" ht="15.75">
      <c r="B46" s="100" t="s">
        <v>296</v>
      </c>
      <c r="C46" s="421">
        <f>SUM(C28:C39,C41,C43:C44)</f>
        <v>19318.64</v>
      </c>
      <c r="D46" s="421">
        <f>SUM(D28:D39,D41,D43:D44)</f>
        <v>19389</v>
      </c>
      <c r="E46" s="335">
        <f>SUM(E28:E39,E43:E44,E41)</f>
        <v>12850</v>
      </c>
      <c r="G46" s="619"/>
      <c r="H46" s="617"/>
      <c r="I46" s="617"/>
      <c r="J46" s="613"/>
    </row>
    <row r="47" spans="2:10" ht="15.75">
      <c r="B47" s="82" t="s">
        <v>73</v>
      </c>
      <c r="C47" s="422">
        <f>C26-C46</f>
        <v>-0.010000000005675247</v>
      </c>
      <c r="D47" s="422">
        <f>D26-D46</f>
        <v>148.98999999999432</v>
      </c>
      <c r="E47" s="328" t="s">
        <v>265</v>
      </c>
      <c r="G47" s="618">
        <f>C46*0.05+C46</f>
        <v>20284.572</v>
      </c>
      <c r="H47" s="617" t="str">
        <f>CONCATENATE("Less ",E1-2," Expenditures + 5%")</f>
        <v>Less 2010 Expenditures + 5%</v>
      </c>
      <c r="I47" s="616"/>
      <c r="J47" s="613"/>
    </row>
    <row r="48" spans="2:10" ht="15.75">
      <c r="B48" s="121" t="str">
        <f>CONCATENATE("",E1-2,"/",E1-1," Budget Authority Amount:")</f>
        <v>2010/2011 Budget Authority Amount:</v>
      </c>
      <c r="C48" s="362">
        <f>inputOth!B83</f>
        <v>19389</v>
      </c>
      <c r="D48" s="69">
        <f>inputPrYr!D20</f>
        <v>19400</v>
      </c>
      <c r="E48" s="328" t="s">
        <v>265</v>
      </c>
      <c r="F48" s="337"/>
      <c r="G48" s="620">
        <f>G45-G47</f>
        <v>-7434.572</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v>
      </c>
      <c r="C50" s="682" t="s">
        <v>749</v>
      </c>
      <c r="D50" s="683"/>
      <c r="E50" s="267">
        <f>E46+E49</f>
        <v>12850</v>
      </c>
      <c r="G50" s="553">
        <f>IF(inputOth!E11=0,"",ROUND(gen!E53/inputOth!E11*1000,3))</f>
        <v>0.603</v>
      </c>
      <c r="H50" s="554" t="str">
        <f>CONCATENATE("Projected ",E1-1," Mill Rate (est.)")</f>
        <v>Projected 2011 Mill Rate (est.)</v>
      </c>
      <c r="I50" s="555"/>
      <c r="J50" s="556"/>
    </row>
    <row r="51" spans="2:10" ht="15.75">
      <c r="B51" s="532" t="str">
        <f>CONCATENATE(C71,"       ",D71)</f>
        <v>See Tab B       </v>
      </c>
      <c r="C51" s="535"/>
      <c r="D51" s="534" t="s">
        <v>298</v>
      </c>
      <c r="E51" s="186">
        <f>IF(E50-E26&gt;0,E50-E26,0)</f>
        <v>10166.190000000006</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10166.190000000006</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f>IF(D46&gt;D48,"See Tab C","")</f>
      </c>
    </row>
    <row r="71" spans="3:4" ht="15.75" hidden="1">
      <c r="C71" s="160" t="str">
        <f>IF(C47&lt;0,"See Tab B","")</f>
        <v>See Tab B</v>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22">
      <selection activeCell="C52" sqref="C52"/>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Morton Township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v>0</v>
      </c>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t="s">
        <v>16</v>
      </c>
      <c r="C32" s="326">
        <v>0</v>
      </c>
      <c r="D32" s="326">
        <v>0</v>
      </c>
      <c r="E32" s="345">
        <v>0</v>
      </c>
    </row>
    <row r="33" spans="2:5" ht="15.75">
      <c r="B33" s="330" t="s">
        <v>838</v>
      </c>
      <c r="C33" s="326">
        <v>0</v>
      </c>
      <c r="D33" s="326">
        <v>0</v>
      </c>
      <c r="E33" s="345">
        <v>10802.08</v>
      </c>
    </row>
    <row r="34" spans="2:5" ht="15.75">
      <c r="B34" s="330" t="s">
        <v>839</v>
      </c>
      <c r="C34" s="326">
        <v>0</v>
      </c>
      <c r="D34" s="326">
        <v>0</v>
      </c>
      <c r="E34" s="345">
        <v>0</v>
      </c>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10802.08</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10802.08</v>
      </c>
      <c r="H54" s="569" t="str">
        <f>CONCATENATE("",E1," Ad Valorem Tax (est.)")</f>
        <v>2012 Ad Valorem Tax (est.)</v>
      </c>
      <c r="I54" s="542"/>
    </row>
    <row r="55" spans="2:9" ht="15.75">
      <c r="B55" s="532" t="str">
        <f>CONCATENATE(C68,"     ",D68)</f>
        <v>     </v>
      </c>
      <c r="C55" s="682" t="s">
        <v>749</v>
      </c>
      <c r="D55" s="683"/>
      <c r="E55" s="267">
        <f>E51+E54</f>
        <v>10802.08</v>
      </c>
      <c r="G55" s="567">
        <f>SUM(G52:G54)</f>
        <v>10802.08</v>
      </c>
      <c r="H55" s="569" t="str">
        <f>CONCATENATE("Total ",E1," Resources Available")</f>
        <v>Total 2012 Resources Available</v>
      </c>
      <c r="I55" s="542"/>
    </row>
    <row r="56" spans="2:9" ht="15.75">
      <c r="B56" s="532" t="str">
        <f>CONCATENATE(C69,"     ",D69)</f>
        <v>     </v>
      </c>
      <c r="C56" s="535"/>
      <c r="D56" s="534" t="s">
        <v>298</v>
      </c>
      <c r="E56" s="186">
        <f>IF(E55-E30&gt;0,E55-E30,0)</f>
        <v>10802.08</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10802.08</v>
      </c>
      <c r="G58" s="572">
        <f>G55-G57</f>
        <v>10802.08</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C52" sqref="C5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Morton Township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0</v>
      </c>
      <c r="D6" s="418">
        <f>C42</f>
        <v>0.4200000000128057</v>
      </c>
      <c r="E6" s="267">
        <f>D42</f>
        <v>79.4200000000128</v>
      </c>
    </row>
    <row r="7" spans="2:5" ht="15.75">
      <c r="B7" s="82" t="s">
        <v>74</v>
      </c>
      <c r="C7" s="418"/>
      <c r="D7" s="418"/>
      <c r="E7" s="328"/>
    </row>
    <row r="8" spans="2:5" ht="15.75">
      <c r="B8" s="82" t="s">
        <v>286</v>
      </c>
      <c r="C8" s="326">
        <f>94389.88-5.8</f>
        <v>94384.08</v>
      </c>
      <c r="D8" s="418">
        <f>inputPrYr!E22</f>
        <v>105853</v>
      </c>
      <c r="E8" s="328" t="s">
        <v>265</v>
      </c>
    </row>
    <row r="9" spans="2:5" ht="15.75">
      <c r="B9" s="82" t="s">
        <v>287</v>
      </c>
      <c r="C9" s="326">
        <f>+345.16+334.75+295.62+0.46+9.25+51.92+29.92</f>
        <v>1067.0800000000002</v>
      </c>
      <c r="D9" s="326">
        <v>0</v>
      </c>
      <c r="E9" s="175"/>
    </row>
    <row r="10" spans="2:5" ht="15.75">
      <c r="B10" s="82" t="s">
        <v>288</v>
      </c>
      <c r="C10" s="326">
        <v>12258.64</v>
      </c>
      <c r="D10" s="326">
        <v>14784</v>
      </c>
      <c r="E10" s="267">
        <f>mvalloc!G14</f>
        <v>15096</v>
      </c>
    </row>
    <row r="11" spans="2:5" ht="15.75">
      <c r="B11" s="82" t="s">
        <v>289</v>
      </c>
      <c r="C11" s="326">
        <v>388.44</v>
      </c>
      <c r="D11" s="326">
        <v>491</v>
      </c>
      <c r="E11" s="267">
        <f>mvalloc!I14</f>
        <v>501</v>
      </c>
    </row>
    <row r="12" spans="2:5" ht="15.75">
      <c r="B12" s="82" t="s">
        <v>54</v>
      </c>
      <c r="C12" s="326">
        <v>272.13</v>
      </c>
      <c r="D12" s="326">
        <v>307</v>
      </c>
      <c r="E12" s="267">
        <f>mvalloc!J14</f>
        <v>400</v>
      </c>
    </row>
    <row r="13" spans="2:5" ht="15.75">
      <c r="B13" s="82" t="s">
        <v>114</v>
      </c>
      <c r="C13" s="326">
        <v>0</v>
      </c>
      <c r="D13" s="326">
        <v>0</v>
      </c>
      <c r="E13" s="267">
        <f>mvalloc!K14</f>
        <v>0</v>
      </c>
    </row>
    <row r="14" spans="2:5" ht="15.75">
      <c r="B14" s="82" t="s">
        <v>55</v>
      </c>
      <c r="C14" s="326">
        <v>34794.35</v>
      </c>
      <c r="D14" s="326">
        <v>33700</v>
      </c>
      <c r="E14" s="267">
        <f>inputOth!E72</f>
        <v>33700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292</v>
      </c>
      <c r="C20" s="326"/>
      <c r="D20" s="326"/>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143164.72</v>
      </c>
      <c r="D23" s="421">
        <f>SUM(D8:D21)</f>
        <v>155135</v>
      </c>
      <c r="E23" s="335">
        <f>SUM(E8:E21)</f>
        <v>49697</v>
      </c>
    </row>
    <row r="24" spans="2:5" ht="15.75">
      <c r="B24" s="100" t="s">
        <v>294</v>
      </c>
      <c r="C24" s="421">
        <f>C23+C6</f>
        <v>143164.72</v>
      </c>
      <c r="D24" s="421">
        <f>D23+D6</f>
        <v>155135.42</v>
      </c>
      <c r="E24" s="335">
        <f>E23+E6</f>
        <v>49776.42000000001</v>
      </c>
    </row>
    <row r="25" spans="2:5" ht="15.75">
      <c r="B25" s="82" t="s">
        <v>295</v>
      </c>
      <c r="C25" s="418"/>
      <c r="D25" s="418"/>
      <c r="E25" s="267"/>
    </row>
    <row r="26" spans="2:5" ht="15.75">
      <c r="B26" s="331"/>
      <c r="C26" s="326"/>
      <c r="D26" s="326"/>
      <c r="E26" s="175"/>
    </row>
    <row r="27" spans="2:5" ht="15.75">
      <c r="B27" s="331" t="s">
        <v>827</v>
      </c>
      <c r="C27" s="326">
        <v>31617.69</v>
      </c>
      <c r="D27" s="326">
        <v>37756</v>
      </c>
      <c r="E27" s="175">
        <v>38000</v>
      </c>
    </row>
    <row r="28" spans="2:5" ht="15.75">
      <c r="B28" s="331" t="s">
        <v>56</v>
      </c>
      <c r="C28" s="326">
        <v>2000</v>
      </c>
      <c r="D28" s="326">
        <v>0</v>
      </c>
      <c r="E28" s="175">
        <v>0</v>
      </c>
    </row>
    <row r="29" spans="2:5" ht="15.75">
      <c r="B29" s="330" t="s">
        <v>57</v>
      </c>
      <c r="C29" s="326">
        <v>2671.07</v>
      </c>
      <c r="D29" s="326">
        <v>2000</v>
      </c>
      <c r="E29" s="175">
        <v>5000</v>
      </c>
    </row>
    <row r="30" spans="2:5" ht="15.75">
      <c r="B30" s="331" t="s">
        <v>828</v>
      </c>
      <c r="C30" s="326">
        <v>36365.8</v>
      </c>
      <c r="D30" s="326">
        <v>33300</v>
      </c>
      <c r="E30" s="175">
        <v>4000</v>
      </c>
    </row>
    <row r="31" spans="2:5" ht="15.75">
      <c r="B31" s="331" t="s">
        <v>830</v>
      </c>
      <c r="C31" s="326">
        <v>18291.88</v>
      </c>
      <c r="D31" s="326">
        <f>35000+22000</f>
        <v>57000</v>
      </c>
      <c r="E31" s="175">
        <v>60000</v>
      </c>
    </row>
    <row r="32" spans="2:5" ht="15.75">
      <c r="B32" s="331" t="s">
        <v>58</v>
      </c>
      <c r="C32" s="326">
        <v>10774.36</v>
      </c>
      <c r="D32" s="326">
        <v>25000</v>
      </c>
      <c r="E32" s="175">
        <v>45000</v>
      </c>
    </row>
    <row r="33" spans="2:5" ht="15.75">
      <c r="B33" s="331" t="s">
        <v>79</v>
      </c>
      <c r="C33" s="326">
        <v>6170</v>
      </c>
      <c r="D33" s="326">
        <v>0</v>
      </c>
      <c r="E33" s="175">
        <v>6000</v>
      </c>
    </row>
    <row r="34" spans="2:5" ht="15.75">
      <c r="B34" s="330"/>
      <c r="C34" s="326"/>
      <c r="D34" s="326"/>
      <c r="E34" s="175"/>
    </row>
    <row r="35" spans="2:5" ht="15.75">
      <c r="B35" s="330"/>
      <c r="C35" s="326"/>
      <c r="D35" s="326"/>
      <c r="E35" s="175"/>
    </row>
    <row r="36" spans="2:5" ht="15.75">
      <c r="B36" s="82" t="s">
        <v>59</v>
      </c>
      <c r="C36" s="326">
        <v>35273.5</v>
      </c>
      <c r="D36" s="326">
        <v>0</v>
      </c>
      <c r="E36" s="175"/>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240</v>
      </c>
      <c r="C38" s="326"/>
      <c r="D38" s="326"/>
      <c r="E38" s="186">
        <f>nhood!E8</f>
      </c>
      <c r="G38" s="540"/>
      <c r="H38" s="541"/>
      <c r="I38" s="541"/>
      <c r="J38" s="542"/>
    </row>
    <row r="39" spans="2:10" ht="15.75">
      <c r="B39" s="329" t="s">
        <v>238</v>
      </c>
      <c r="C39" s="326"/>
      <c r="D39" s="326"/>
      <c r="E39" s="175"/>
      <c r="G39" s="543">
        <f>D42</f>
        <v>79.4200000000128</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49697</v>
      </c>
      <c r="H40" s="546" t="str">
        <f>CONCATENATE("",E1," Non-AV Receipts (est.)")</f>
        <v>2012 Non-AV Receipts (est.)</v>
      </c>
      <c r="I40" s="545"/>
      <c r="J40" s="542"/>
    </row>
    <row r="41" spans="2:10" ht="15.75">
      <c r="B41" s="100" t="s">
        <v>296</v>
      </c>
      <c r="C41" s="421">
        <f>SUM(C26:C39)</f>
        <v>143164.3</v>
      </c>
      <c r="D41" s="421">
        <f>SUM(D26:D39)</f>
        <v>155056</v>
      </c>
      <c r="E41" s="335">
        <f>SUM(E26:E36,E39)</f>
        <v>158000</v>
      </c>
      <c r="G41" s="547">
        <f>E48</f>
        <v>108223.57999999999</v>
      </c>
      <c r="H41" s="546" t="str">
        <f>CONCATENATE("",E1," Ad Valorem Tax (est.)")</f>
        <v>2012 Ad Valorem Tax (est.)</v>
      </c>
      <c r="I41" s="545"/>
      <c r="J41" s="542"/>
    </row>
    <row r="42" spans="2:10" ht="15.75">
      <c r="B42" s="82" t="s">
        <v>73</v>
      </c>
      <c r="C42" s="422">
        <f>C24-C41</f>
        <v>0.4200000000128057</v>
      </c>
      <c r="D42" s="422">
        <f>D24-D41</f>
        <v>79.4200000000128</v>
      </c>
      <c r="E42" s="328" t="s">
        <v>265</v>
      </c>
      <c r="G42" s="543">
        <f>SUM(G39:G41)</f>
        <v>158000</v>
      </c>
      <c r="H42" s="546" t="str">
        <f>CONCATENATE("Total ",E1," Resources Available")</f>
        <v>Total 2012 Resources Available</v>
      </c>
      <c r="I42" s="545"/>
      <c r="J42" s="542"/>
    </row>
    <row r="43" spans="2:10" ht="15.75">
      <c r="B43" s="121" t="str">
        <f>CONCATENATE("",$E$1-2,"/",$E$1-1," Budget Authority Amount:")</f>
        <v>2010/2011 Budget Authority Amount:</v>
      </c>
      <c r="C43" s="362">
        <f>inputOth!B85</f>
        <v>147104</v>
      </c>
      <c r="D43" s="85">
        <f>inputPrYr!D22</f>
        <v>155056</v>
      </c>
      <c r="E43" s="328" t="s">
        <v>265</v>
      </c>
      <c r="F43" s="337"/>
      <c r="G43" s="548"/>
      <c r="H43" s="546"/>
      <c r="I43" s="546"/>
      <c r="J43" s="542"/>
    </row>
    <row r="44" spans="2:10" ht="15.75">
      <c r="B44" s="121"/>
      <c r="C44" s="680" t="s">
        <v>748</v>
      </c>
      <c r="D44" s="681"/>
      <c r="E44" s="175"/>
      <c r="F44" s="337">
        <f>IF(E41/0.95-E41&lt;E44,"Exceeds 5%","")</f>
      </c>
      <c r="G44" s="547">
        <f>C41*0.05+C41</f>
        <v>150322.51499999998</v>
      </c>
      <c r="H44" s="546" t="str">
        <f>CONCATENATE("Less ",E1-2," Expenditures + 5%")</f>
        <v>Less 2010 Expenditures + 5%</v>
      </c>
      <c r="I44" s="545"/>
      <c r="J44" s="542"/>
    </row>
    <row r="45" spans="2:10" ht="15.75">
      <c r="B45" s="532" t="str">
        <f>CONCATENATE(C70,"     ",D70)</f>
        <v>     </v>
      </c>
      <c r="C45" s="682" t="s">
        <v>749</v>
      </c>
      <c r="D45" s="683"/>
      <c r="E45" s="267">
        <f>E41+E44</f>
        <v>158000</v>
      </c>
      <c r="G45" s="549">
        <f>G42-G44</f>
        <v>7677.485000000015</v>
      </c>
      <c r="H45" s="550" t="str">
        <f>CONCATENATE("Projected ",E1+1," Carryover (est.)")</f>
        <v>Projected 2013 Carryover (est.)</v>
      </c>
      <c r="I45" s="551"/>
      <c r="J45" s="552"/>
    </row>
    <row r="46" spans="2:5" ht="15.75">
      <c r="B46" s="532" t="str">
        <f>CONCATENATE(C71,"     ",D71)</f>
        <v>     </v>
      </c>
      <c r="C46" s="535"/>
      <c r="D46" s="534" t="s">
        <v>298</v>
      </c>
      <c r="E46" s="186">
        <f>IF(E45-E24&gt;0,E45-E24,0)</f>
        <v>108223.57999999999</v>
      </c>
    </row>
    <row r="47" spans="2:10" ht="15.75">
      <c r="B47" s="216"/>
      <c r="C47" s="533" t="s">
        <v>750</v>
      </c>
      <c r="D47" s="537">
        <f>inputOth!$E$77</f>
        <v>0</v>
      </c>
      <c r="E47" s="267">
        <f>ROUND(IF(D47&gt;0,(E46*D47),0),0)</f>
        <v>0</v>
      </c>
      <c r="G47" s="553">
        <f>IF(inputOth!E8=0,"",ROUND(E48/inputOth!E8*1000,3))</f>
        <v>20.809</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108223.57999999999</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15821.51</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35273.5</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0</v>
      </c>
      <c r="D57" s="693"/>
      <c r="E57" s="66"/>
    </row>
    <row r="58" spans="2:5" ht="15.75">
      <c r="B58" s="177"/>
      <c r="C58" s="531"/>
      <c r="D58" s="66"/>
      <c r="E58" s="66"/>
    </row>
    <row r="59" spans="2:5" ht="15.75">
      <c r="B59" s="177" t="s">
        <v>292</v>
      </c>
      <c r="C59" s="531">
        <v>25.05</v>
      </c>
      <c r="D59" s="66"/>
      <c r="E59" s="66"/>
    </row>
    <row r="60" spans="2:5" ht="15.75">
      <c r="B60" s="177" t="s">
        <v>291</v>
      </c>
      <c r="C60" s="531"/>
      <c r="D60" s="66"/>
      <c r="E60" s="66"/>
    </row>
    <row r="61" spans="2:5" ht="15.75">
      <c r="B61" s="354" t="s">
        <v>294</v>
      </c>
      <c r="C61" s="524">
        <f>SUM(C53,C55:C60)</f>
        <v>51120.060000000005</v>
      </c>
      <c r="D61" s="66"/>
      <c r="E61" s="66"/>
    </row>
    <row r="62" spans="2:5" ht="15.75">
      <c r="B62" s="354" t="s">
        <v>296</v>
      </c>
      <c r="C62" s="531"/>
      <c r="D62" s="66"/>
      <c r="E62" s="66"/>
    </row>
    <row r="63" spans="2:5" ht="15.75">
      <c r="B63" s="354" t="s">
        <v>297</v>
      </c>
      <c r="C63" s="524">
        <f>C61-C62</f>
        <v>51120.060000000005</v>
      </c>
      <c r="D63" s="66"/>
      <c r="E63" s="66"/>
    </row>
    <row r="64" spans="2:5" ht="15.75">
      <c r="B64" s="66"/>
      <c r="C64" s="66"/>
      <c r="D64" s="66"/>
      <c r="E64" s="66"/>
    </row>
    <row r="65" spans="2:5" ht="15.75">
      <c r="B65" s="216" t="s">
        <v>279</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C52" sqref="C5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Morton Township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v>382.68</v>
      </c>
      <c r="D6" s="418">
        <f>C32</f>
        <v>769.5200000000004</v>
      </c>
      <c r="E6" s="267">
        <f>D32</f>
        <v>472.52000000000044</v>
      </c>
    </row>
    <row r="7" spans="2:5" ht="15.75">
      <c r="B7" s="82" t="s">
        <v>74</v>
      </c>
      <c r="C7" s="418"/>
      <c r="D7" s="418"/>
      <c r="E7" s="328"/>
    </row>
    <row r="8" spans="2:5" ht="15.75">
      <c r="B8" s="82" t="s">
        <v>286</v>
      </c>
      <c r="C8" s="326">
        <f>1.12-0.74+4731.82+227.78+3290.44+223.68</f>
        <v>8474.1</v>
      </c>
      <c r="D8" s="418">
        <f>inputPrYr!E25</f>
        <v>8523</v>
      </c>
      <c r="E8" s="328" t="s">
        <v>265</v>
      </c>
    </row>
    <row r="9" spans="2:5" ht="15.75">
      <c r="B9" s="82" t="s">
        <v>287</v>
      </c>
      <c r="C9" s="326">
        <f>47.12+40.04+26.54+0.05+1.12+4.65+2.68</f>
        <v>122.2</v>
      </c>
      <c r="D9" s="326">
        <v>0</v>
      </c>
      <c r="E9" s="175"/>
    </row>
    <row r="10" spans="2:5" ht="15.75">
      <c r="B10" s="82" t="s">
        <v>288</v>
      </c>
      <c r="C10" s="326">
        <v>1482.88</v>
      </c>
      <c r="D10" s="326">
        <v>1328</v>
      </c>
      <c r="E10" s="267">
        <f>mvalloc!G17</f>
        <v>1215</v>
      </c>
    </row>
    <row r="11" spans="2:5" ht="15.75">
      <c r="B11" s="82" t="s">
        <v>289</v>
      </c>
      <c r="C11" s="326">
        <v>47.07</v>
      </c>
      <c r="D11" s="326">
        <v>44</v>
      </c>
      <c r="E11" s="267">
        <f>mvalloc!I17</f>
        <v>40</v>
      </c>
    </row>
    <row r="12" spans="2:5" ht="15.75">
      <c r="B12" s="82" t="s">
        <v>54</v>
      </c>
      <c r="C12" s="326">
        <v>30.94</v>
      </c>
      <c r="D12" s="326">
        <v>28</v>
      </c>
      <c r="E12" s="267">
        <f>mvalloc!J17</f>
        <v>32</v>
      </c>
    </row>
    <row r="13" spans="2:5" ht="15.75">
      <c r="B13" s="82" t="s">
        <v>114</v>
      </c>
      <c r="C13" s="326">
        <v>0</v>
      </c>
      <c r="D13" s="326">
        <v>0</v>
      </c>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10157.19</v>
      </c>
      <c r="D20" s="421">
        <f>SUM(D8:D18)</f>
        <v>9923</v>
      </c>
      <c r="E20" s="335">
        <f>SUM(E8:E18)</f>
        <v>1287</v>
      </c>
    </row>
    <row r="21" spans="2:5" ht="15.75">
      <c r="B21" s="100" t="s">
        <v>294</v>
      </c>
      <c r="C21" s="421">
        <f>C20+C6</f>
        <v>10539.87</v>
      </c>
      <c r="D21" s="421">
        <f>D20+D6</f>
        <v>10692.52</v>
      </c>
      <c r="E21" s="335">
        <f>E20+E6</f>
        <v>1759.5200000000004</v>
      </c>
    </row>
    <row r="22" spans="2:5" ht="15.75">
      <c r="B22" s="82" t="s">
        <v>295</v>
      </c>
      <c r="C22" s="418"/>
      <c r="D22" s="418"/>
      <c r="E22" s="267"/>
    </row>
    <row r="23" spans="2:5" ht="15.75">
      <c r="B23" s="331" t="s">
        <v>833</v>
      </c>
      <c r="C23" s="326">
        <v>9770.35</v>
      </c>
      <c r="D23" s="326">
        <v>10220</v>
      </c>
      <c r="E23" s="175">
        <v>10402</v>
      </c>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9770.35</v>
      </c>
      <c r="D31" s="421">
        <f>SUM(D23:D29)</f>
        <v>10220</v>
      </c>
      <c r="E31" s="335">
        <f>SUM(E23:E29)</f>
        <v>10402</v>
      </c>
    </row>
    <row r="32" spans="2:5" ht="15.75">
      <c r="B32" s="82" t="s">
        <v>73</v>
      </c>
      <c r="C32" s="422">
        <f>C21-C31</f>
        <v>769.5200000000004</v>
      </c>
      <c r="D32" s="422">
        <f>D21-D31</f>
        <v>472.52000000000044</v>
      </c>
      <c r="E32" s="328" t="s">
        <v>265</v>
      </c>
    </row>
    <row r="33" spans="2:6" ht="15.75">
      <c r="B33" s="121" t="str">
        <f>CONCATENATE("",$E$1-2,"/",$E$1-1," Budget Authority Amount:")</f>
        <v>2010/2011 Budget Authority Amount:</v>
      </c>
      <c r="C33" s="362">
        <f>inputOth!$B88</f>
        <v>10217</v>
      </c>
      <c r="D33" s="85">
        <f>inputPrYr!$D25</f>
        <v>10220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10402</v>
      </c>
    </row>
    <row r="36" spans="2:5" ht="15.75">
      <c r="B36" s="532" t="str">
        <f>CONCATENATE(C80,"     ",D80)</f>
        <v>     </v>
      </c>
      <c r="C36" s="535"/>
      <c r="D36" s="534" t="s">
        <v>298</v>
      </c>
      <c r="E36" s="186">
        <f>IF(E35-E21&gt;0,E35-E21,0)</f>
        <v>8642.48</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8642.48</v>
      </c>
    </row>
    <row r="39" spans="2:5" ht="15.75">
      <c r="B39" s="74" t="s">
        <v>280</v>
      </c>
      <c r="C39" s="72"/>
      <c r="D39" s="72"/>
      <c r="E39" s="72"/>
    </row>
    <row r="40" spans="2:5" ht="15.75">
      <c r="B40" s="66"/>
      <c r="C40" s="416" t="s">
        <v>281</v>
      </c>
      <c r="D40" s="419" t="s">
        <v>282</v>
      </c>
      <c r="E40" s="76" t="s">
        <v>283</v>
      </c>
    </row>
    <row r="41" spans="2:5" ht="15.75">
      <c r="B41" s="518" t="str">
        <f>inputPrYr!B26</f>
        <v>Library</v>
      </c>
      <c r="C41" s="417" t="str">
        <f>C5</f>
        <v>Actual 2010</v>
      </c>
      <c r="D41" s="417" t="str">
        <f>D5</f>
        <v>Estimate 2011</v>
      </c>
      <c r="E41" s="81" t="str">
        <f>E5</f>
        <v>Year 2012</v>
      </c>
    </row>
    <row r="42" spans="2:5" ht="15.75">
      <c r="B42" s="82" t="s">
        <v>72</v>
      </c>
      <c r="C42" s="326">
        <v>52.47</v>
      </c>
      <c r="D42" s="418">
        <f>C68</f>
        <v>0</v>
      </c>
      <c r="E42" s="267">
        <f>D68</f>
        <v>23</v>
      </c>
    </row>
    <row r="43" spans="2:5" ht="15.75">
      <c r="B43" s="82" t="s">
        <v>74</v>
      </c>
      <c r="C43" s="418"/>
      <c r="D43" s="418"/>
      <c r="E43" s="328"/>
    </row>
    <row r="44" spans="2:5" ht="15.75">
      <c r="B44" s="82" t="s">
        <v>286</v>
      </c>
      <c r="C44" s="326">
        <f>1619.24-0.18</f>
        <v>1619.06</v>
      </c>
      <c r="D44" s="418">
        <f>inputPrYr!E26</f>
        <v>1757</v>
      </c>
      <c r="E44" s="328" t="s">
        <v>265</v>
      </c>
    </row>
    <row r="45" spans="2:5" ht="15.75">
      <c r="B45" s="82" t="s">
        <v>287</v>
      </c>
      <c r="C45" s="326">
        <f>9.36+7.44+5.07+0.01+0.2+0.89+0.52</f>
        <v>23.490000000000002</v>
      </c>
      <c r="D45" s="326">
        <v>0</v>
      </c>
      <c r="E45" s="175"/>
    </row>
    <row r="46" spans="2:5" ht="15.75">
      <c r="B46" s="82" t="s">
        <v>288</v>
      </c>
      <c r="C46" s="326">
        <v>267.93</v>
      </c>
      <c r="D46" s="326">
        <v>253</v>
      </c>
      <c r="E46" s="267">
        <f>mvalloc!G18</f>
        <v>251</v>
      </c>
    </row>
    <row r="47" spans="2:5" ht="15.75">
      <c r="B47" s="82" t="s">
        <v>289</v>
      </c>
      <c r="C47" s="326">
        <v>8.47</v>
      </c>
      <c r="D47" s="326">
        <v>8</v>
      </c>
      <c r="E47" s="267">
        <f>mvalloc!I18</f>
        <v>8</v>
      </c>
    </row>
    <row r="48" spans="2:5" ht="15.75">
      <c r="B48" s="82" t="s">
        <v>54</v>
      </c>
      <c r="C48" s="326">
        <v>6.47</v>
      </c>
      <c r="D48" s="326">
        <v>5</v>
      </c>
      <c r="E48" s="267">
        <f>mvalloc!J18</f>
        <v>7</v>
      </c>
    </row>
    <row r="49" spans="2:5" ht="15.75">
      <c r="B49" s="82" t="s">
        <v>114</v>
      </c>
      <c r="C49" s="326">
        <v>0</v>
      </c>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1925.42</v>
      </c>
      <c r="D56" s="421">
        <f>SUM(D44:D54)</f>
        <v>2023</v>
      </c>
      <c r="E56" s="335">
        <f>SUM(E44:E54)</f>
        <v>266</v>
      </c>
    </row>
    <row r="57" spans="2:5" ht="15.75">
      <c r="B57" s="100" t="s">
        <v>294</v>
      </c>
      <c r="C57" s="421">
        <f>C56+C42</f>
        <v>1977.89</v>
      </c>
      <c r="D57" s="421">
        <f>D56+D42</f>
        <v>2023</v>
      </c>
      <c r="E57" s="335">
        <f>E56+E42</f>
        <v>289</v>
      </c>
    </row>
    <row r="58" spans="2:5" ht="15.75">
      <c r="B58" s="82" t="s">
        <v>295</v>
      </c>
      <c r="C58" s="418"/>
      <c r="D58" s="418"/>
      <c r="E58" s="267"/>
    </row>
    <row r="59" spans="2:5" ht="15.75">
      <c r="B59" s="331" t="s">
        <v>833</v>
      </c>
      <c r="C59" s="326">
        <v>1977.89</v>
      </c>
      <c r="D59" s="326">
        <v>2000</v>
      </c>
      <c r="E59" s="175">
        <v>2000</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1977.89</v>
      </c>
      <c r="D67" s="421">
        <f>SUM(D59:D65)</f>
        <v>2000</v>
      </c>
      <c r="E67" s="335">
        <f>SUM(E59:E65)</f>
        <v>2000</v>
      </c>
    </row>
    <row r="68" spans="2:5" ht="15.75">
      <c r="B68" s="82" t="s">
        <v>73</v>
      </c>
      <c r="C68" s="422">
        <f>C57-C67</f>
        <v>0</v>
      </c>
      <c r="D68" s="422">
        <f>D57-D67</f>
        <v>23</v>
      </c>
      <c r="E68" s="328" t="s">
        <v>265</v>
      </c>
    </row>
    <row r="69" spans="2:6" ht="15.75">
      <c r="B69" s="121" t="str">
        <f>CONCATENATE("",$E$1-2,"/",$E$1-1," Budget Authority Amount:")</f>
        <v>2010/2011 Budget Authority Amount:</v>
      </c>
      <c r="C69" s="362">
        <f>inputOth!$B89</f>
        <v>2000</v>
      </c>
      <c r="D69" s="85">
        <f>inputPrYr!$D26</f>
        <v>2000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2000</v>
      </c>
    </row>
    <row r="72" spans="2:5" ht="15.75">
      <c r="B72" s="532" t="str">
        <f>CONCATENATE(C82,"     ",D82)</f>
        <v>     </v>
      </c>
      <c r="C72" s="535"/>
      <c r="D72" s="534" t="s">
        <v>298</v>
      </c>
      <c r="E72" s="186">
        <f>IF(E71-E57&gt;0,E71-E57,0)</f>
        <v>1711</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1711</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H23" sqref="H2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54" t="s">
        <v>308</v>
      </c>
      <c r="B3" s="654"/>
      <c r="C3" s="654"/>
      <c r="D3" s="654"/>
      <c r="E3" s="654"/>
      <c r="F3" s="654"/>
      <c r="G3" s="654"/>
      <c r="H3" s="654"/>
    </row>
    <row r="4" spans="1:8" ht="15.75">
      <c r="A4" s="705" t="str">
        <f>inputPrYr!D3</f>
        <v>Morton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23, 2011, at 7:30 pm at 325 E South St, Cheney, KS  67025 for the purpose of hearing and</v>
      </c>
      <c r="B6" s="704"/>
      <c r="C6" s="704"/>
      <c r="D6" s="704"/>
      <c r="E6" s="704"/>
      <c r="F6" s="704"/>
      <c r="G6" s="704"/>
      <c r="H6" s="704"/>
    </row>
    <row r="7" spans="1:8" ht="15.75">
      <c r="A7" s="70" t="s">
        <v>427</v>
      </c>
      <c r="B7" s="67"/>
      <c r="C7" s="67"/>
      <c r="D7" s="67"/>
      <c r="E7" s="67"/>
      <c r="F7" s="67"/>
      <c r="G7" s="67"/>
      <c r="H7" s="67"/>
    </row>
    <row r="8" spans="1:8" ht="15.75">
      <c r="A8" s="659" t="str">
        <f>CONCATENATE("Detailed budget information is available at ",inputBudSum!B12," and will be available at this hearing.")</f>
        <v>Detailed budget information is available at Sedgwick County Clerk's Office, 525 N Main #211, Wichita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51"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19318.64</v>
      </c>
      <c r="C17" s="95">
        <f>IF(inputPrYr!D48&gt;0,inputPrYr!D48,"  ")</f>
        <v>1.024</v>
      </c>
      <c r="D17" s="92">
        <f>IF(gen!$D$46&lt;&gt;0,gen!$D$46,"  ")</f>
        <v>19389</v>
      </c>
      <c r="E17" s="95">
        <f>IF(inputOth!D37&gt;0,inputOth!D37,"  ")</f>
        <v>1.024</v>
      </c>
      <c r="F17" s="92">
        <f>IF(gen!$E$46&lt;&gt;0,gen!$E$46,"  ")</f>
        <v>12850</v>
      </c>
      <c r="G17" s="92">
        <f>IF(gen!$E$53&lt;&gt;0,gen!$E$53,"")</f>
        <v>10166.190000000006</v>
      </c>
      <c r="H17" s="95">
        <f>IF(gen!E53&gt;0,ROUND(G17/F38*1000,3)," ")</f>
        <v>0.603</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f>IF(DebtService!$E$51&lt;&gt;0,DebtService!$E$51,"  ")</f>
        <v>10802.08</v>
      </c>
      <c r="G18" s="92">
        <f>IF(DebtService!$E$58&lt;&gt;0,DebtService!$E$58," ")</f>
        <v>10802.08</v>
      </c>
      <c r="H18" s="95">
        <f>IF(DebtService!E58&gt;0,ROUND(G18/F38*1000,3)," ")</f>
        <v>0.64</v>
      </c>
      <c r="I18" s="203"/>
    </row>
    <row r="19" spans="1:8" ht="15.75">
      <c r="A19" s="92" t="str">
        <f>IF(inputPrYr!$B22&gt;"  ",inputPrYr!$B22,"  ")</f>
        <v>Road</v>
      </c>
      <c r="B19" s="92">
        <f>IF(road!$C$41&lt;&gt;0,road!$C$41,"  ")</f>
        <v>143164.3</v>
      </c>
      <c r="C19" s="95">
        <f>IF(inputPrYr!D50&gt;0,inputPrYr!D50,"  ")</f>
        <v>18.712</v>
      </c>
      <c r="D19" s="92">
        <f>IF(road!$D$41&lt;&gt;0,road!$D$41,"  ")</f>
        <v>155056</v>
      </c>
      <c r="E19" s="95">
        <f>IF(inputOth!D39&gt;0,inputOth!D39,"  ")</f>
        <v>20.71</v>
      </c>
      <c r="F19" s="92">
        <f>IF(road!$E$41&lt;&gt;0,road!$E$41,"  ")</f>
        <v>158000</v>
      </c>
      <c r="G19" s="92">
        <f>IF(road!$E$48&lt;&gt;0,road!$E$48,"  ")</f>
        <v>108223.57999999999</v>
      </c>
      <c r="H19" s="95">
        <f>IF(road!E48&gt;0,ROUND(G19/F39*1000,3)," ")</f>
        <v>20.809</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IF(Fire_Lib!$C$31&lt;&gt;0,Fire_Lib!$C$31,"  ")</f>
        <v>9770.35</v>
      </c>
      <c r="C22" s="95">
        <f>IF(inputPrYr!D53&gt;0,inputPrYr!D53,"  ")</f>
        <v>1.68</v>
      </c>
      <c r="D22" s="92">
        <f>IF(Fire_Lib!$D$31&lt;&gt;0,Fire_Lib!$D$31,"  ")</f>
        <v>10220</v>
      </c>
      <c r="E22" s="95">
        <f>IF(inputOth!D42&gt;0,inputOth!D42,"  ")</f>
        <v>1.668</v>
      </c>
      <c r="F22" s="92">
        <f>IF(Fire_Lib!$E$31&lt;&gt;0,Fire_Lib!$E$31,"  ")</f>
        <v>10402</v>
      </c>
      <c r="G22" s="92">
        <f>IF(Fire_Lib!$E$38&lt;&gt;0,Fire_Lib!$E$38,"  ")</f>
        <v>8642.48</v>
      </c>
      <c r="H22" s="95">
        <f>IF(Fire_Lib!E38&gt;0,ROUND(G22/F39*1000,3)," ")</f>
        <v>1.662</v>
      </c>
      <c r="J22" s="694" t="str">
        <f>CONCATENATE("Estimated Value Of One Mill For ",H1,"")</f>
        <v>Estimated Value Of One Mill For 2012</v>
      </c>
      <c r="K22" s="699"/>
      <c r="L22" s="699"/>
      <c r="M22" s="700"/>
    </row>
    <row r="23" spans="1:13" ht="15.75">
      <c r="A23" s="92" t="str">
        <f>IF(inputPrYr!$B26&gt;"  ",inputPrYr!$B26,"  ")</f>
        <v>Library</v>
      </c>
      <c r="B23" s="92">
        <f>IF(Fire_Lib!$C$67&lt;&gt;0,Fire_Lib!$C$67,"  ")</f>
        <v>1977.89</v>
      </c>
      <c r="C23" s="95">
        <f>IF(inputPrYr!D54&gt;0,inputPrYr!D54,"  ")</f>
        <v>0.321</v>
      </c>
      <c r="D23" s="92">
        <f>IF(Fire_Lib!$D$67&lt;&gt;0,Fire_Lib!$D$67,"  ")</f>
        <v>2000</v>
      </c>
      <c r="E23" s="95">
        <f>IF(inputOth!D43&gt;0,inputOth!D43,"  ")</f>
        <v>0.343</v>
      </c>
      <c r="F23" s="92">
        <f>IF(Fire_Lib!$E$67&lt;&gt;0,Fire_Lib!$E$67,"  ")</f>
        <v>2000</v>
      </c>
      <c r="G23" s="92">
        <f>IF(Fire_Lib!$E$74&lt;&gt;0,Fire_Lib!$E$74,"  ")</f>
        <v>1711</v>
      </c>
      <c r="H23" s="95">
        <f>IF(Fire_Lib!E74&gt;0,ROUND(G23/F39*1000,3)," ")</f>
        <v>0.329</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759</v>
      </c>
      <c r="K24" s="73"/>
      <c r="L24" s="73"/>
      <c r="M24" s="583">
        <f>ROUND(F38/1000,0)</f>
        <v>16871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760</v>
      </c>
      <c r="K25" s="584"/>
      <c r="L25" s="584"/>
      <c r="M25" s="583">
        <f>ROUND(F39/1000,0)</f>
        <v>5201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23.745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-482.0599999999831</v>
      </c>
    </row>
    <row r="32" spans="1:13" ht="15.75">
      <c r="A32" s="92" t="str">
        <f>IF((inputPrYr!$B40&gt;"  "),(nonbud!$A3),"  ")</f>
        <v>  </v>
      </c>
      <c r="B32" s="267" t="str">
        <f>IF((nonbud!$K$28)&lt;&gt;0,(nonbud!$K$28),"  ")</f>
        <v>  </v>
      </c>
      <c r="C32" s="362"/>
      <c r="D32" s="92"/>
      <c r="E32" s="95"/>
      <c r="F32" s="92"/>
      <c r="G32" s="92"/>
      <c r="H32" s="95"/>
      <c r="J32" s="576" t="s">
        <v>767</v>
      </c>
      <c r="K32" s="564"/>
      <c r="L32" s="564"/>
      <c r="M32" s="575">
        <f>M44*-1</f>
        <v>383.7299999999959</v>
      </c>
    </row>
    <row r="33" spans="1:13" ht="16.5" thickBot="1">
      <c r="A33" s="108" t="s">
        <v>263</v>
      </c>
      <c r="B33" s="509" t="str">
        <f>IF(road!C62&lt;&gt;0,road!C62,"  ")</f>
        <v>  </v>
      </c>
      <c r="C33" s="510"/>
      <c r="D33" s="510"/>
      <c r="E33" s="510"/>
      <c r="F33" s="510"/>
      <c r="G33" s="510"/>
      <c r="H33" s="510"/>
      <c r="J33" s="574"/>
      <c r="K33" s="574"/>
      <c r="L33" s="574"/>
      <c r="M33" s="574"/>
    </row>
    <row r="34" spans="1:13" ht="15.75">
      <c r="A34" s="108" t="s">
        <v>264</v>
      </c>
      <c r="B34" s="507">
        <f aca="true" t="shared" si="0" ref="B34:H34">SUM(B17:B33)</f>
        <v>174231.18000000002</v>
      </c>
      <c r="C34" s="508">
        <f t="shared" si="0"/>
        <v>21.737000000000002</v>
      </c>
      <c r="D34" s="507">
        <f t="shared" si="0"/>
        <v>186665</v>
      </c>
      <c r="E34" s="508">
        <f t="shared" si="0"/>
        <v>23.745</v>
      </c>
      <c r="F34" s="507">
        <f t="shared" si="0"/>
        <v>194054.08000000002</v>
      </c>
      <c r="G34" s="507">
        <f t="shared" si="0"/>
        <v>139545.33</v>
      </c>
      <c r="H34" s="508">
        <f t="shared" si="0"/>
        <v>24.043</v>
      </c>
      <c r="J34" s="694" t="str">
        <f>CONCATENATE("Impact On Keeping The Same Mill Rate As For ",H1-1,"")</f>
        <v>Impact On Keeping The Same Mill Rate As For 2011</v>
      </c>
      <c r="K34" s="697"/>
      <c r="L34" s="697"/>
      <c r="M34" s="698"/>
    </row>
    <row r="35" spans="1:13" ht="15.75">
      <c r="A35" s="108" t="s">
        <v>313</v>
      </c>
      <c r="B35" s="92">
        <f>transfer!C29</f>
        <v>35273.5</v>
      </c>
      <c r="C35" s="66"/>
      <c r="D35" s="92">
        <f>transfer!D29</f>
        <v>0</v>
      </c>
      <c r="E35" s="213"/>
      <c r="F35" s="92">
        <f>transfer!E29</f>
        <v>0</v>
      </c>
      <c r="G35" s="66"/>
      <c r="H35" s="66"/>
      <c r="J35" s="582"/>
      <c r="K35" s="587"/>
      <c r="L35" s="587"/>
      <c r="M35" s="581"/>
    </row>
    <row r="36" spans="1:13" ht="16.5" thickBot="1">
      <c r="A36" s="108" t="s">
        <v>314</v>
      </c>
      <c r="B36" s="511">
        <f>B34-B35</f>
        <v>138957.68000000002</v>
      </c>
      <c r="C36" s="66"/>
      <c r="D36" s="511">
        <f>D34-D35</f>
        <v>186665</v>
      </c>
      <c r="E36" s="66"/>
      <c r="F36" s="511">
        <f>F34-F35</f>
        <v>194054.08000000002</v>
      </c>
      <c r="G36" s="66"/>
      <c r="H36" s="66"/>
      <c r="J36" s="582" t="str">
        <f>CONCATENATE("",H1," Ad Valorem Tax Rev(Township Only):")</f>
        <v>2012 Ad Valorem Tax Rev(Township Only):</v>
      </c>
      <c r="K36" s="587"/>
      <c r="L36" s="587"/>
      <c r="M36" s="586">
        <f>SUM(G19:G22)</f>
        <v>116866.05999999998</v>
      </c>
    </row>
    <row r="37" spans="1:13" ht="16.5" thickTop="1">
      <c r="A37" s="108" t="s">
        <v>0</v>
      </c>
      <c r="B37" s="236">
        <f>inputPrYr!E61</f>
        <v>122617</v>
      </c>
      <c r="C37" s="213"/>
      <c r="D37" s="236">
        <f>inputPrYr!E31</f>
        <v>132898</v>
      </c>
      <c r="E37" s="66"/>
      <c r="F37" s="512" t="s">
        <v>265</v>
      </c>
      <c r="G37" s="66"/>
      <c r="H37" s="66"/>
      <c r="J37" s="582" t="str">
        <f>CONCATENATE("",H1," Ad Valorem Tax Rev(Township Tot):")</f>
        <v>2012 Ad Valorem Tax Rev(Township Tot):</v>
      </c>
      <c r="K37" s="587"/>
      <c r="L37" s="587"/>
      <c r="M37" s="600">
        <f>SUM(G17,G18,G23,G24,G25,G26,G27)</f>
        <v>22679.270000000004</v>
      </c>
    </row>
    <row r="38" spans="1:13" ht="15.75">
      <c r="A38" s="108" t="s">
        <v>189</v>
      </c>
      <c r="B38" s="92">
        <f>inputPrYr!E62</f>
        <v>16358690</v>
      </c>
      <c r="C38" s="213"/>
      <c r="D38" s="92">
        <f>inputOth!E54</f>
        <v>16379831</v>
      </c>
      <c r="E38" s="213"/>
      <c r="F38" s="92">
        <f>inputOth!E11</f>
        <v>16871191</v>
      </c>
      <c r="G38" s="66"/>
      <c r="H38" s="66"/>
      <c r="J38" s="582" t="str">
        <f>CONCATENATE("Total ",H1," Ad Valorem Tax Revenue:")</f>
        <v>Total 2012 Ad Valorem Tax Revenue:</v>
      </c>
      <c r="K38" s="541"/>
      <c r="L38" s="541"/>
      <c r="M38" s="601">
        <f>M36+M37</f>
        <v>139545.33</v>
      </c>
    </row>
    <row r="39" spans="1:14" ht="15.75">
      <c r="A39" s="82" t="s">
        <v>245</v>
      </c>
      <c r="B39" s="214"/>
      <c r="C39" s="66"/>
      <c r="D39" s="182"/>
      <c r="E39" s="66"/>
      <c r="F39" s="92">
        <f>inputOth!E8</f>
        <v>5200803</v>
      </c>
      <c r="G39" s="66"/>
      <c r="H39" s="66"/>
      <c r="J39" s="582" t="str">
        <f>CONCATENATE("",H1-1," Ad Valorem Tax Rev(Township Only):")</f>
        <v>2011 Ad Valorem Tax Rev(Township Only):</v>
      </c>
      <c r="K39" s="587"/>
      <c r="L39" s="587"/>
      <c r="M39" s="602">
        <f>ROUND(SUM(E19:E22)*F39/1000,0)</f>
        <v>116384</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23063</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139447</v>
      </c>
      <c r="O41" s="594"/>
    </row>
    <row r="42" spans="1:13" ht="15.75">
      <c r="A42" s="74" t="s">
        <v>2</v>
      </c>
      <c r="B42" s="215">
        <f>H1-3</f>
        <v>2009</v>
      </c>
      <c r="C42" s="66"/>
      <c r="D42" s="215">
        <f>H1-2</f>
        <v>2010</v>
      </c>
      <c r="E42" s="66"/>
      <c r="F42" s="215">
        <f>H1-1</f>
        <v>2011</v>
      </c>
      <c r="G42" s="66"/>
      <c r="H42" s="66"/>
      <c r="J42" s="579" t="s">
        <v>757</v>
      </c>
      <c r="K42" s="578"/>
      <c r="L42" s="578"/>
      <c r="M42" s="577">
        <f>M38-M41</f>
        <v>98.3299999999872</v>
      </c>
    </row>
    <row r="43" spans="1:13" ht="15.75">
      <c r="A43" s="74" t="s">
        <v>3</v>
      </c>
      <c r="B43" s="85">
        <f>inputPrYr!D65</f>
        <v>0</v>
      </c>
      <c r="C43" s="71"/>
      <c r="D43" s="85">
        <f>inputPrYr!E65</f>
        <v>0</v>
      </c>
      <c r="E43" s="71"/>
      <c r="F43" s="85">
        <f>debt!E11</f>
        <v>125000</v>
      </c>
      <c r="G43" s="66"/>
      <c r="H43" s="66"/>
      <c r="J43" s="605" t="s">
        <v>762</v>
      </c>
      <c r="K43" s="606"/>
      <c r="L43" s="606"/>
      <c r="M43" s="601">
        <f>M36-M39</f>
        <v>482.0599999999831</v>
      </c>
    </row>
    <row r="44" spans="1:13" ht="15.75">
      <c r="A44" s="74" t="s">
        <v>291</v>
      </c>
      <c r="B44" s="85">
        <f>inputPrYr!D66</f>
        <v>0</v>
      </c>
      <c r="C44" s="71"/>
      <c r="D44" s="85">
        <f>inputPrYr!E66</f>
        <v>0</v>
      </c>
      <c r="E44" s="71"/>
      <c r="F44" s="85">
        <f>debt!E15</f>
        <v>0</v>
      </c>
      <c r="G44" s="66"/>
      <c r="H44" s="390"/>
      <c r="J44" s="576" t="s">
        <v>761</v>
      </c>
      <c r="K44" s="564"/>
      <c r="L44" s="564"/>
      <c r="M44" s="575">
        <f>M37-M40</f>
        <v>-383.7299999999959</v>
      </c>
    </row>
    <row r="45" spans="1:8" ht="15.75">
      <c r="A45" s="74" t="s">
        <v>753</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125000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Morton Township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Morton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inputPrYr!E27</f>
        <v>0</v>
      </c>
      <c r="E8" s="328" t="s">
        <v>265</v>
      </c>
    </row>
    <row r="9" spans="2:5" ht="15.75">
      <c r="B9" s="82" t="s">
        <v>287</v>
      </c>
      <c r="C9" s="326"/>
      <c r="D9" s="326"/>
      <c r="E9" s="175"/>
    </row>
    <row r="10" spans="2:5" ht="15.75">
      <c r="B10" s="82" t="s">
        <v>288</v>
      </c>
      <c r="C10" s="326"/>
      <c r="D10" s="326"/>
      <c r="E10" s="267">
        <f>mvalloc!G19</f>
        <v>0</v>
      </c>
    </row>
    <row r="11" spans="2:5" ht="15.75">
      <c r="B11" s="82" t="s">
        <v>289</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inputOth!$B90</f>
        <v>0</v>
      </c>
      <c r="D33" s="85">
        <f>inputPrYr!$D27</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inputPrYr!E28</f>
        <v>0</v>
      </c>
      <c r="E44" s="328" t="s">
        <v>265</v>
      </c>
    </row>
    <row r="45" spans="2:5" ht="15.75">
      <c r="B45" s="82" t="s">
        <v>287</v>
      </c>
      <c r="C45" s="326"/>
      <c r="D45" s="326"/>
      <c r="E45" s="175"/>
    </row>
    <row r="46" spans="2:5" ht="15.75">
      <c r="B46" s="82" t="s">
        <v>288</v>
      </c>
      <c r="C46" s="326"/>
      <c r="D46" s="326"/>
      <c r="E46" s="267">
        <f>mvalloc!G20</f>
        <v>0</v>
      </c>
    </row>
    <row r="47" spans="2:5" ht="15.75">
      <c r="B47" s="82" t="s">
        <v>289</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0</v>
      </c>
      <c r="D69" s="85">
        <f>inputPrYr!$D28</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0">
      <selection activeCell="D20" sqref="D20"/>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831</v>
      </c>
      <c r="E3" s="73"/>
    </row>
    <row r="4" spans="1:5" ht="15.75">
      <c r="A4" s="161" t="s">
        <v>233</v>
      </c>
      <c r="B4" s="66"/>
      <c r="C4" s="66"/>
      <c r="D4" s="162" t="s">
        <v>832</v>
      </c>
      <c r="E4" s="73"/>
    </row>
    <row r="5" spans="1:5" ht="15.75">
      <c r="A5" s="66"/>
      <c r="B5" s="66"/>
      <c r="C5" s="66"/>
      <c r="D5" s="66"/>
      <c r="E5" s="66"/>
    </row>
    <row r="6" spans="1:5" ht="15.75">
      <c r="A6" s="163" t="s">
        <v>151</v>
      </c>
      <c r="B6" s="66"/>
      <c r="C6" s="66"/>
      <c r="D6" s="391" t="s">
        <v>833</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19400</v>
      </c>
      <c r="E20" s="175">
        <v>16765</v>
      </c>
    </row>
    <row r="21" spans="1:5" ht="15.75">
      <c r="A21" s="66"/>
      <c r="B21" s="108" t="s">
        <v>319</v>
      </c>
      <c r="C21" s="85" t="s">
        <v>104</v>
      </c>
      <c r="D21" s="175">
        <v>0</v>
      </c>
      <c r="E21" s="175">
        <v>0</v>
      </c>
    </row>
    <row r="22" spans="1:5" ht="15.75">
      <c r="A22" s="66"/>
      <c r="B22" s="108" t="s">
        <v>250</v>
      </c>
      <c r="C22" s="176" t="s">
        <v>235</v>
      </c>
      <c r="D22" s="175">
        <v>155056</v>
      </c>
      <c r="E22" s="175">
        <v>105853</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v>10220</v>
      </c>
      <c r="E25" s="175">
        <v>8523</v>
      </c>
    </row>
    <row r="26" spans="1:5" ht="15.75">
      <c r="A26" s="66"/>
      <c r="B26" s="177" t="s">
        <v>834</v>
      </c>
      <c r="C26" s="515" t="s">
        <v>249</v>
      </c>
      <c r="D26" s="175">
        <v>2000</v>
      </c>
      <c r="E26" s="175">
        <v>1757</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132898</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186676</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1.024</v>
      </c>
      <c r="E48" s="66"/>
    </row>
    <row r="49" spans="1:5" ht="15.75">
      <c r="A49" s="66"/>
      <c r="B49" s="92" t="str">
        <f t="shared" si="0"/>
        <v>Debt Service</v>
      </c>
      <c r="C49" s="66"/>
      <c r="D49" s="189">
        <v>0</v>
      </c>
      <c r="E49" s="66"/>
    </row>
    <row r="50" spans="1:5" ht="15.75">
      <c r="A50" s="66"/>
      <c r="B50" s="92" t="str">
        <f t="shared" si="0"/>
        <v>Road</v>
      </c>
      <c r="C50" s="66"/>
      <c r="D50" s="189">
        <v>18.712</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1.68</v>
      </c>
      <c r="E53" s="66"/>
    </row>
    <row r="54" spans="1:5" ht="15.75">
      <c r="A54" s="66"/>
      <c r="B54" s="108" t="str">
        <f t="shared" si="0"/>
        <v>Library</v>
      </c>
      <c r="C54" s="66"/>
      <c r="D54" s="189">
        <v>0.321</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21.737000000000002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122617</v>
      </c>
    </row>
    <row r="62" spans="1:5" ht="15.75">
      <c r="A62" s="192" t="str">
        <f>CONCATENATE("Assessed Valuation (",D9-2," budget column):")</f>
        <v>Assessed Valuation (2010 budget column):</v>
      </c>
      <c r="B62" s="168"/>
      <c r="C62" s="66"/>
      <c r="D62" s="66"/>
      <c r="E62" s="193">
        <v>16358690</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v>0</v>
      </c>
      <c r="E65" s="185">
        <v>0</v>
      </c>
    </row>
    <row r="66" spans="1:5" ht="15.75">
      <c r="A66" s="199" t="s">
        <v>166</v>
      </c>
      <c r="B66" s="199"/>
      <c r="C66" s="200"/>
      <c r="D66" s="185">
        <v>0</v>
      </c>
      <c r="E66" s="185">
        <v>0</v>
      </c>
    </row>
    <row r="67" spans="1:5" ht="15.75">
      <c r="A67" s="199" t="s">
        <v>118</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Morton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Morton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Morton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Morton Township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Morton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Library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16871191</v>
      </c>
      <c r="E20" s="66"/>
      <c r="F20" s="196"/>
    </row>
    <row r="21" spans="1:6" ht="15.75">
      <c r="A21" s="66"/>
      <c r="B21" s="66"/>
      <c r="C21" s="66"/>
      <c r="D21" s="66"/>
      <c r="E21" s="66"/>
      <c r="F21" s="196"/>
    </row>
    <row r="22" spans="1:6" ht="15.75">
      <c r="A22" s="66"/>
      <c r="B22" s="711" t="s">
        <v>385</v>
      </c>
      <c r="C22" s="711"/>
      <c r="D22" s="372">
        <f>IF(D20&gt;0,(D20*0.001),"")</f>
        <v>16871.191</v>
      </c>
      <c r="E22" s="66"/>
      <c r="F22" s="196"/>
    </row>
    <row r="23" spans="1:6" ht="15.75">
      <c r="A23" s="66"/>
      <c r="B23" s="121"/>
      <c r="C23" s="121"/>
      <c r="D23" s="373"/>
      <c r="E23" s="66"/>
      <c r="F23" s="196"/>
    </row>
    <row r="24" spans="1:6" ht="15.75">
      <c r="A24" s="709" t="s">
        <v>386</v>
      </c>
      <c r="B24" s="668"/>
      <c r="C24" s="668"/>
      <c r="D24" s="374">
        <f>inputOth!E33</f>
        <v>0</v>
      </c>
      <c r="E24" s="183"/>
      <c r="F24" s="183"/>
    </row>
    <row r="25" spans="1:6" ht="15.75">
      <c r="A25" s="183"/>
      <c r="B25" s="183"/>
      <c r="C25" s="183"/>
      <c r="D25" s="375"/>
      <c r="E25" s="183"/>
      <c r="F25" s="183"/>
    </row>
    <row r="26" spans="1:6" ht="15.75">
      <c r="A26" s="183"/>
      <c r="B26" s="709" t="s">
        <v>387</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80</v>
      </c>
      <c r="B1" s="717"/>
      <c r="C1" s="717"/>
      <c r="D1" s="717"/>
      <c r="E1" s="717"/>
      <c r="F1" s="717"/>
      <c r="G1" s="717"/>
    </row>
    <row r="2" ht="15.75">
      <c r="A2" s="21"/>
    </row>
    <row r="3" spans="1:7" ht="15.75">
      <c r="A3" s="718" t="s">
        <v>81</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Morton Township </v>
      </c>
      <c r="I6">
        <f>CONCATENATE(I7)</f>
      </c>
    </row>
    <row r="7" spans="1:7" ht="15.75">
      <c r="A7" s="719" t="str">
        <f>CONCATENATE("   with respect to financing the ",inputPrYr!D9," annual budget for ",(inputPrYr!D3)," , ",(inputPrYr!D4)," , Kansas.")</f>
        <v>   with respect to financing the 2012 annual budget for Morton Township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Morton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Morton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87</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83</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Morton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Morton Township of Sedgwick County, Kansas that is our desire to notify the public of increased property taxes to finance the 2012 Morton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Morton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Morton Township Board</v>
      </c>
      <c r="E33" s="713"/>
      <c r="F33" s="713"/>
      <c r="G33" s="713"/>
    </row>
    <row r="35" spans="4:7" ht="15.75">
      <c r="D35" s="712" t="s">
        <v>85</v>
      </c>
      <c r="E35" s="712"/>
      <c r="F35" s="712"/>
      <c r="G35" s="712"/>
    </row>
    <row r="36" spans="1:7" ht="15.75">
      <c r="A36" s="25"/>
      <c r="D36" s="712" t="s">
        <v>89</v>
      </c>
      <c r="E36" s="712"/>
      <c r="F36" s="712"/>
      <c r="G36" s="712"/>
    </row>
    <row r="37" spans="4:7" ht="15.75">
      <c r="D37" s="712"/>
      <c r="E37" s="712"/>
      <c r="F37" s="712"/>
      <c r="G37" s="712"/>
    </row>
    <row r="38" spans="4:7" ht="15.75">
      <c r="D38" s="712" t="s">
        <v>85</v>
      </c>
      <c r="E38" s="712"/>
      <c r="F38" s="712"/>
      <c r="G38" s="712"/>
    </row>
    <row r="39" spans="1:7" ht="15.75">
      <c r="A39" s="24"/>
      <c r="D39" s="712" t="s">
        <v>90</v>
      </c>
      <c r="E39" s="712"/>
      <c r="F39" s="712"/>
      <c r="G39" s="712"/>
    </row>
    <row r="40" spans="4:7" ht="15.75">
      <c r="D40" s="712"/>
      <c r="E40" s="712"/>
      <c r="F40" s="712"/>
      <c r="G40" s="712"/>
    </row>
    <row r="41" spans="4:7" ht="15.75">
      <c r="D41" s="712" t="s">
        <v>88</v>
      </c>
      <c r="E41" s="712"/>
      <c r="F41" s="712"/>
      <c r="G41" s="712"/>
    </row>
    <row r="42" spans="1:7" ht="15.75">
      <c r="A42" s="24"/>
      <c r="D42" s="712" t="s">
        <v>91</v>
      </c>
      <c r="E42" s="712"/>
      <c r="F42" s="712"/>
      <c r="G42" s="712"/>
    </row>
    <row r="43" ht="15.75">
      <c r="A43" s="26"/>
    </row>
    <row r="44" ht="15.75">
      <c r="A44" s="26"/>
    </row>
    <row r="45" ht="15.75">
      <c r="A45" s="26" t="s">
        <v>86</v>
      </c>
    </row>
    <row r="50" spans="3:4" ht="15.75">
      <c r="C50" s="32" t="s">
        <v>279</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6">
      <selection activeCell="C41" sqref="C4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Morton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5200803</v>
      </c>
    </row>
    <row r="9" spans="1:5" ht="15.75">
      <c r="A9" s="15" t="str">
        <f>inputPrYr!$D$6</f>
        <v>City of Cheney</v>
      </c>
      <c r="B9" s="16"/>
      <c r="C9" s="16"/>
      <c r="D9" s="16"/>
      <c r="E9" s="35">
        <f>16871191-5200803</f>
        <v>11670388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16871191</v>
      </c>
    </row>
    <row r="12" spans="1:5" ht="15.75">
      <c r="A12" s="55" t="str">
        <f>CONCATENATE("New Improvements for ",E1-1,":")</f>
        <v>New Improvements for 2011:</v>
      </c>
      <c r="B12" s="10"/>
      <c r="C12" s="10"/>
      <c r="D12" s="10"/>
      <c r="E12" s="34"/>
    </row>
    <row r="13" spans="1:5" ht="15.75">
      <c r="A13" s="13" t="s">
        <v>161</v>
      </c>
      <c r="B13" s="14"/>
      <c r="C13" s="14"/>
      <c r="D13" s="14"/>
      <c r="E13" s="53">
        <f>228+362438</f>
        <v>362666</v>
      </c>
    </row>
    <row r="14" spans="1:5" ht="15.75">
      <c r="A14" s="15" t="str">
        <f>inputPrYr!$D$6</f>
        <v>City of Cheney</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362666</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344126</v>
      </c>
    </row>
    <row r="19" spans="1:5" ht="15.75">
      <c r="A19" s="15" t="str">
        <f>inputPrYr!$D$6</f>
        <v>City of Cheney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344126</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19575</v>
      </c>
    </row>
    <row r="24" spans="1:5" ht="15.75">
      <c r="A24" s="15" t="str">
        <f>inputPrYr!$D$6</f>
        <v>City of Cheney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19575</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329221</v>
      </c>
    </row>
    <row r="29" spans="1:5" ht="15.75">
      <c r="A29" s="15" t="str">
        <f>inputPrYr!$D$6</f>
        <v>City of Cheney</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329221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1.024</v>
      </c>
      <c r="E37" s="36"/>
    </row>
    <row r="38" spans="1:5" ht="15.75">
      <c r="A38" s="13" t="str">
        <f>inputPrYr!B21</f>
        <v>Debt Service</v>
      </c>
      <c r="B38" s="16"/>
      <c r="C38" s="10"/>
      <c r="D38" s="50">
        <v>0</v>
      </c>
      <c r="E38" s="36"/>
    </row>
    <row r="39" spans="1:5" ht="15.75">
      <c r="A39" s="13" t="str">
        <f>inputPrYr!B22</f>
        <v>Road</v>
      </c>
      <c r="B39" s="16"/>
      <c r="C39" s="10"/>
      <c r="D39" s="50">
        <v>20.71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1.668</v>
      </c>
      <c r="E42" s="36"/>
    </row>
    <row r="43" spans="1:5" ht="15.75">
      <c r="A43" s="13" t="str">
        <f>inputPrYr!B26</f>
        <v>Library</v>
      </c>
      <c r="B43" s="16"/>
      <c r="C43" s="10"/>
      <c r="D43" s="51">
        <v>0.343</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23.745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5111222</v>
      </c>
    </row>
    <row r="52" spans="1:5" ht="15.75">
      <c r="A52" s="16" t="str">
        <f>inputPrYr!D6</f>
        <v>City of Cheney</v>
      </c>
      <c r="B52" s="16"/>
      <c r="C52" s="16"/>
      <c r="D52" s="20"/>
      <c r="E52" s="4">
        <f>16379831-5111222</f>
        <v>11268609</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16379831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17076</v>
      </c>
    </row>
    <row r="59" spans="1:5" ht="15.75">
      <c r="A59" s="15" t="s">
        <v>252</v>
      </c>
      <c r="B59" s="16"/>
      <c r="C59" s="16"/>
      <c r="D59" s="40"/>
      <c r="E59" s="2">
        <v>610</v>
      </c>
    </row>
    <row r="60" spans="1:5" ht="15.75">
      <c r="A60" s="15" t="s">
        <v>112</v>
      </c>
      <c r="B60" s="16"/>
      <c r="C60" s="16"/>
      <c r="D60" s="40"/>
      <c r="E60" s="2">
        <v>492.82</v>
      </c>
    </row>
    <row r="61" spans="1:5" ht="15.75">
      <c r="A61" s="45" t="s">
        <v>157</v>
      </c>
      <c r="B61" s="46"/>
      <c r="C61" s="16"/>
      <c r="D61" s="40"/>
      <c r="E61" s="31"/>
    </row>
    <row r="62" spans="1:5" ht="15.75">
      <c r="A62" s="13" t="s">
        <v>154</v>
      </c>
      <c r="B62" s="16"/>
      <c r="C62" s="16"/>
      <c r="D62" s="40"/>
      <c r="E62" s="2">
        <v>1877</v>
      </c>
    </row>
    <row r="63" spans="1:5" ht="15.75">
      <c r="A63" s="15" t="s">
        <v>155</v>
      </c>
      <c r="B63" s="16"/>
      <c r="C63" s="16"/>
      <c r="D63" s="40"/>
      <c r="E63" s="2">
        <v>19</v>
      </c>
    </row>
    <row r="64" spans="1:5" ht="15.75">
      <c r="A64" s="15" t="s">
        <v>156</v>
      </c>
      <c r="B64" s="16"/>
      <c r="C64" s="16"/>
      <c r="D64" s="40"/>
      <c r="E64" s="2">
        <v>10</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v>0</v>
      </c>
    </row>
    <row r="71" spans="1:5" ht="15.75">
      <c r="A71" s="15" t="s">
        <v>114</v>
      </c>
      <c r="B71" s="16"/>
      <c r="C71" s="16"/>
      <c r="D71" s="40"/>
      <c r="E71" s="2">
        <v>0</v>
      </c>
    </row>
    <row r="72" spans="1:5" ht="15.75">
      <c r="A72" s="15" t="s">
        <v>55</v>
      </c>
      <c r="B72" s="14"/>
      <c r="C72" s="14"/>
      <c r="D72" s="39"/>
      <c r="E72" s="2">
        <v>33700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3.24</v>
      </c>
    </row>
    <row r="77" spans="1:5" ht="15.75">
      <c r="A77" s="17" t="s">
        <v>160</v>
      </c>
      <c r="B77" s="17"/>
      <c r="C77" s="10"/>
      <c r="D77" s="10"/>
      <c r="E77" s="516">
        <v>0</v>
      </c>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19389</v>
      </c>
      <c r="C83" s="60" t="s">
        <v>184</v>
      </c>
      <c r="D83" s="63"/>
      <c r="E83" s="63"/>
    </row>
    <row r="84" spans="1:5" ht="15.75">
      <c r="A84" s="62" t="str">
        <f>inputPrYr!B21</f>
        <v>Debt Service</v>
      </c>
      <c r="B84" s="4"/>
      <c r="C84" s="60"/>
      <c r="D84" s="63"/>
      <c r="E84" s="63"/>
    </row>
    <row r="85" spans="1:5" ht="15.75">
      <c r="A85" s="62" t="str">
        <f>inputPrYr!B22</f>
        <v>Road</v>
      </c>
      <c r="B85" s="4">
        <v>147104</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10217</v>
      </c>
      <c r="C88" s="33"/>
      <c r="D88" s="33"/>
      <c r="E88" s="33"/>
    </row>
    <row r="89" spans="1:5" ht="15.75">
      <c r="A89" s="62" t="str">
        <f>inputPrYr!B26</f>
        <v>Library</v>
      </c>
      <c r="B89" s="4">
        <v>2000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678</v>
      </c>
      <c r="C6" s="723"/>
      <c r="D6" s="723"/>
      <c r="E6" s="723"/>
      <c r="F6" s="723"/>
      <c r="G6" s="723"/>
      <c r="H6" s="723"/>
      <c r="I6" s="723"/>
      <c r="J6" s="723"/>
      <c r="K6" s="723"/>
      <c r="L6" s="429"/>
    </row>
    <row r="7" spans="1:12" ht="40.5" customHeight="1">
      <c r="A7" s="427"/>
      <c r="B7" s="724" t="s">
        <v>679</v>
      </c>
      <c r="C7" s="725"/>
      <c r="D7" s="725"/>
      <c r="E7" s="725"/>
      <c r="F7" s="725"/>
      <c r="G7" s="725"/>
      <c r="H7" s="725"/>
      <c r="I7" s="725"/>
      <c r="J7" s="725"/>
      <c r="K7" s="725"/>
      <c r="L7" s="427"/>
    </row>
    <row r="8" spans="1:12" ht="14.25">
      <c r="A8" s="427"/>
      <c r="B8" s="726" t="s">
        <v>680</v>
      </c>
      <c r="C8" s="726"/>
      <c r="D8" s="726"/>
      <c r="E8" s="726"/>
      <c r="F8" s="726"/>
      <c r="G8" s="726"/>
      <c r="H8" s="726"/>
      <c r="I8" s="726"/>
      <c r="J8" s="726"/>
      <c r="K8" s="726"/>
      <c r="L8" s="427"/>
    </row>
    <row r="9" spans="1:12" ht="14.25">
      <c r="A9" s="427"/>
      <c r="L9" s="427"/>
    </row>
    <row r="10" spans="1:12" ht="14.25">
      <c r="A10" s="427"/>
      <c r="B10" s="726" t="s">
        <v>681</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682</v>
      </c>
      <c r="C12" s="727"/>
      <c r="D12" s="727"/>
      <c r="E12" s="727"/>
      <c r="F12" s="727"/>
      <c r="G12" s="727"/>
      <c r="H12" s="727"/>
      <c r="I12" s="727"/>
      <c r="J12" s="727"/>
      <c r="K12" s="727"/>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21">
        <v>133685008</v>
      </c>
      <c r="G23" s="721"/>
      <c r="L23" s="427"/>
    </row>
    <row r="24" spans="1:12" ht="14.25">
      <c r="A24" s="427"/>
      <c r="L24" s="427"/>
    </row>
    <row r="25" spans="1:12" ht="14.25">
      <c r="A25" s="427"/>
      <c r="C25" s="728">
        <f>F23</f>
        <v>133685008</v>
      </c>
      <c r="D25" s="728"/>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679</v>
      </c>
      <c r="C30" s="729"/>
      <c r="D30" s="729"/>
      <c r="E30" s="729"/>
      <c r="F30" s="729"/>
      <c r="G30" s="729"/>
      <c r="H30" s="729"/>
      <c r="I30" s="729"/>
      <c r="J30" s="729"/>
      <c r="K30" s="729"/>
      <c r="L30" s="427"/>
    </row>
    <row r="31" spans="1:12" ht="14.25">
      <c r="A31" s="427"/>
      <c r="B31" s="726" t="s">
        <v>693</v>
      </c>
      <c r="C31" s="726"/>
      <c r="D31" s="726"/>
      <c r="E31" s="726"/>
      <c r="F31" s="726"/>
      <c r="G31" s="726"/>
      <c r="H31" s="726"/>
      <c r="I31" s="726"/>
      <c r="J31" s="726"/>
      <c r="K31" s="726"/>
      <c r="L31" s="427"/>
    </row>
    <row r="32" spans="1:12" ht="14.25">
      <c r="A32" s="427"/>
      <c r="L32" s="427"/>
    </row>
    <row r="33" spans="1:12" ht="14.25">
      <c r="A33" s="427"/>
      <c r="B33" s="726" t="s">
        <v>694</v>
      </c>
      <c r="C33" s="726"/>
      <c r="D33" s="726"/>
      <c r="E33" s="726"/>
      <c r="F33" s="726"/>
      <c r="G33" s="726"/>
      <c r="H33" s="726"/>
      <c r="I33" s="726"/>
      <c r="J33" s="726"/>
      <c r="K33" s="726"/>
      <c r="L33" s="427"/>
    </row>
    <row r="34" spans="1:12" ht="14.25">
      <c r="A34" s="427"/>
      <c r="L34" s="427"/>
    </row>
    <row r="35" spans="1:12" ht="89.25" customHeight="1">
      <c r="A35" s="427"/>
      <c r="B35" s="727" t="s">
        <v>695</v>
      </c>
      <c r="C35" s="730"/>
      <c r="D35" s="730"/>
      <c r="E35" s="730"/>
      <c r="F35" s="730"/>
      <c r="G35" s="730"/>
      <c r="H35" s="730"/>
      <c r="I35" s="730"/>
      <c r="J35" s="730"/>
      <c r="K35" s="730"/>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31">
        <v>3120000</v>
      </c>
      <c r="D41" s="731"/>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21">
        <v>133685008</v>
      </c>
      <c r="C48" s="721"/>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32" t="s">
        <v>703</v>
      </c>
      <c r="H50" s="733"/>
      <c r="I50" s="439" t="s">
        <v>689</v>
      </c>
      <c r="J50" s="449">
        <f>B50/F50</f>
        <v>52.8690023342034</v>
      </c>
      <c r="K50" s="441"/>
      <c r="L50" s="427"/>
    </row>
    <row r="51" spans="1:15" ht="15" thickBot="1">
      <c r="A51" s="427"/>
      <c r="B51" s="442"/>
      <c r="C51" s="443"/>
      <c r="D51" s="443"/>
      <c r="E51" s="443"/>
      <c r="F51" s="443"/>
      <c r="G51" s="443"/>
      <c r="H51" s="443"/>
      <c r="I51" s="734" t="s">
        <v>704</v>
      </c>
      <c r="J51" s="734"/>
      <c r="K51" s="735"/>
      <c r="L51" s="427"/>
      <c r="O51" s="450"/>
    </row>
    <row r="52" spans="1:12" ht="40.5" customHeight="1">
      <c r="A52" s="427"/>
      <c r="B52" s="729" t="s">
        <v>679</v>
      </c>
      <c r="C52" s="729"/>
      <c r="D52" s="729"/>
      <c r="E52" s="729"/>
      <c r="F52" s="729"/>
      <c r="G52" s="729"/>
      <c r="H52" s="729"/>
      <c r="I52" s="729"/>
      <c r="J52" s="729"/>
      <c r="K52" s="729"/>
      <c r="L52" s="427"/>
    </row>
    <row r="53" spans="1:12" ht="14.25">
      <c r="A53" s="427"/>
      <c r="B53" s="726" t="s">
        <v>705</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706</v>
      </c>
      <c r="C55" s="722"/>
      <c r="D55" s="722"/>
      <c r="E55" s="722"/>
      <c r="F55" s="722"/>
      <c r="G55" s="722"/>
      <c r="H55" s="722"/>
      <c r="I55" s="722"/>
      <c r="J55" s="722"/>
      <c r="K55" s="722"/>
      <c r="L55" s="427"/>
    </row>
    <row r="56" spans="1:12" ht="15" customHeight="1">
      <c r="A56" s="427"/>
      <c r="L56" s="427"/>
    </row>
    <row r="57" spans="1:24" ht="74.25" customHeight="1">
      <c r="A57" s="427"/>
      <c r="B57" s="727" t="s">
        <v>707</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21">
        <v>133685008</v>
      </c>
      <c r="D74" s="721"/>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21">
        <v>5000</v>
      </c>
      <c r="D77" s="721"/>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21">
        <v>100000</v>
      </c>
      <c r="D80" s="721"/>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679</v>
      </c>
      <c r="C85" s="729"/>
      <c r="D85" s="729"/>
      <c r="E85" s="729"/>
      <c r="F85" s="729"/>
      <c r="G85" s="729"/>
      <c r="H85" s="729"/>
      <c r="I85" s="729"/>
      <c r="J85" s="729"/>
      <c r="K85" s="729"/>
      <c r="L85" s="427"/>
    </row>
    <row r="86" spans="1:12" ht="14.25">
      <c r="A86" s="427"/>
      <c r="B86" s="722" t="s">
        <v>727</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728</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729</v>
      </c>
      <c r="C90" s="727"/>
      <c r="D90" s="727"/>
      <c r="E90" s="727"/>
      <c r="F90" s="727"/>
      <c r="G90" s="727"/>
      <c r="H90" s="727"/>
      <c r="I90" s="727"/>
      <c r="J90" s="727"/>
      <c r="K90" s="727"/>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21">
        <v>133685008</v>
      </c>
      <c r="D94" s="721"/>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21">
        <v>50000</v>
      </c>
      <c r="D97" s="721"/>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21">
        <v>2500000</v>
      </c>
      <c r="D100" s="721"/>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679</v>
      </c>
      <c r="C105" s="737"/>
      <c r="D105" s="737"/>
      <c r="E105" s="737"/>
      <c r="F105" s="737"/>
      <c r="G105" s="737"/>
      <c r="H105" s="737"/>
      <c r="I105" s="737"/>
      <c r="J105" s="737"/>
      <c r="K105" s="737"/>
      <c r="L105" s="427"/>
    </row>
    <row r="106" spans="1:12" ht="15" customHeight="1">
      <c r="A106" s="427"/>
      <c r="B106" s="738" t="s">
        <v>731</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732</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733</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21">
        <v>133685008</v>
      </c>
      <c r="D114" s="721"/>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21">
        <v>50000</v>
      </c>
      <c r="D117" s="721"/>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21">
        <v>2500000</v>
      </c>
      <c r="D120" s="721"/>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679</v>
      </c>
      <c r="C125" s="729"/>
      <c r="D125" s="729"/>
      <c r="E125" s="729"/>
      <c r="F125" s="729"/>
      <c r="G125" s="729"/>
      <c r="H125" s="729"/>
      <c r="I125" s="729"/>
      <c r="J125" s="729"/>
      <c r="K125" s="729"/>
      <c r="L125" s="481"/>
    </row>
    <row r="126" spans="1:12" ht="14.25">
      <c r="A126" s="427"/>
      <c r="B126" s="722" t="s">
        <v>734</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735</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736</v>
      </c>
      <c r="C130" s="727"/>
      <c r="D130" s="727"/>
      <c r="E130" s="727"/>
      <c r="F130" s="727"/>
      <c r="G130" s="727"/>
      <c r="H130" s="727"/>
      <c r="I130" s="727"/>
      <c r="J130" s="727"/>
      <c r="K130" s="727"/>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50" t="s">
        <v>737</v>
      </c>
      <c r="D133" s="750"/>
      <c r="E133" s="438"/>
      <c r="F133" s="439" t="s">
        <v>738</v>
      </c>
      <c r="G133" s="438"/>
      <c r="H133" s="750" t="s">
        <v>723</v>
      </c>
      <c r="I133" s="750"/>
      <c r="J133" s="438"/>
      <c r="K133" s="441"/>
      <c r="L133" s="427"/>
    </row>
    <row r="134" spans="1:12" ht="14.25">
      <c r="A134" s="427"/>
      <c r="B134" s="447" t="s">
        <v>716</v>
      </c>
      <c r="C134" s="721">
        <v>100000</v>
      </c>
      <c r="D134" s="721"/>
      <c r="E134" s="439" t="s">
        <v>265</v>
      </c>
      <c r="F134" s="439">
        <v>0.115</v>
      </c>
      <c r="G134" s="439" t="s">
        <v>689</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723</v>
      </c>
      <c r="D136" s="741"/>
      <c r="E136" s="458"/>
      <c r="F136" s="459" t="s">
        <v>739</v>
      </c>
      <c r="G136" s="459"/>
      <c r="H136" s="458"/>
      <c r="I136" s="458"/>
      <c r="J136" s="458" t="s">
        <v>740</v>
      </c>
      <c r="K136" s="460"/>
      <c r="L136" s="427"/>
    </row>
    <row r="137" spans="1:12" ht="14.25">
      <c r="A137" s="427"/>
      <c r="B137" s="447" t="s">
        <v>719</v>
      </c>
      <c r="C137" s="740">
        <f>H134</f>
        <v>11500</v>
      </c>
      <c r="D137" s="740"/>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743</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40" t="s">
        <v>744</v>
      </c>
      <c r="D147" s="740"/>
      <c r="E147" s="439"/>
      <c r="F147" s="499" t="s">
        <v>745</v>
      </c>
      <c r="G147" s="439"/>
      <c r="H147" s="439"/>
      <c r="I147" s="439"/>
      <c r="J147" s="746" t="s">
        <v>746</v>
      </c>
      <c r="K147" s="747"/>
      <c r="L147" s="427"/>
    </row>
    <row r="148" spans="1:12" ht="14.25">
      <c r="A148" s="427"/>
      <c r="B148" s="447"/>
      <c r="C148" s="748">
        <v>52.869</v>
      </c>
      <c r="D148" s="748"/>
      <c r="E148" s="439" t="s">
        <v>265</v>
      </c>
      <c r="F148" s="504">
        <v>133685008</v>
      </c>
      <c r="G148" s="505" t="s">
        <v>690</v>
      </c>
      <c r="H148" s="439">
        <v>1000</v>
      </c>
      <c r="I148" s="439" t="s">
        <v>689</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840</v>
      </c>
      <c r="C5" s="395"/>
      <c r="D5" s="220" t="s">
        <v>819</v>
      </c>
    </row>
    <row r="6" spans="1:4" ht="15.75">
      <c r="A6" s="220"/>
      <c r="B6" s="396"/>
      <c r="C6" s="397"/>
      <c r="D6" s="220" t="s">
        <v>818</v>
      </c>
    </row>
    <row r="7" spans="1:4" ht="15.75">
      <c r="A7" s="220" t="s">
        <v>396</v>
      </c>
      <c r="B7" s="394" t="s">
        <v>841</v>
      </c>
      <c r="C7" s="398"/>
      <c r="D7" s="220"/>
    </row>
    <row r="8" spans="1:4" ht="15.75">
      <c r="A8" s="220"/>
      <c r="B8" s="220"/>
      <c r="C8" s="220"/>
      <c r="D8" s="220"/>
    </row>
    <row r="9" spans="1:5" ht="15.75">
      <c r="A9" s="220" t="s">
        <v>397</v>
      </c>
      <c r="B9" s="399" t="s">
        <v>842</v>
      </c>
      <c r="C9" s="399"/>
      <c r="D9" s="399"/>
      <c r="E9" s="400"/>
    </row>
    <row r="10" spans="1:4" ht="15.75">
      <c r="A10" s="220"/>
      <c r="B10" s="220"/>
      <c r="C10" s="220"/>
      <c r="D10" s="220"/>
    </row>
    <row r="11" spans="1:4" ht="15.75">
      <c r="A11" s="220"/>
      <c r="B11" s="220"/>
      <c r="C11" s="220"/>
      <c r="D11" s="220"/>
    </row>
    <row r="12" spans="1:5" ht="15.75">
      <c r="A12" s="220" t="s">
        <v>398</v>
      </c>
      <c r="B12" s="399" t="s">
        <v>843</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C52" sqref="C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Sedgwick County, State of Kansas</v>
      </c>
      <c r="B3" s="655"/>
      <c r="C3" s="655"/>
      <c r="D3" s="655"/>
      <c r="E3" s="655"/>
      <c r="F3" s="655"/>
      <c r="G3" s="655"/>
    </row>
    <row r="4" spans="1:6" s="66" customFormat="1" ht="15.75">
      <c r="A4" s="70" t="s">
        <v>103</v>
      </c>
      <c r="B4" s="67"/>
      <c r="C4" s="67"/>
      <c r="D4" s="67"/>
      <c r="E4" s="67"/>
      <c r="F4" s="67"/>
    </row>
    <row r="5" s="66" customFormat="1" ht="15.75">
      <c r="C5" s="607" t="str">
        <f>inputPrYr!D3</f>
        <v>Morton Township</v>
      </c>
    </row>
    <row r="6" spans="1:6" s="66" customFormat="1" ht="15.75">
      <c r="A6" s="659" t="s">
        <v>101</v>
      </c>
      <c r="B6" s="655"/>
      <c r="C6" s="655"/>
      <c r="D6" s="655"/>
      <c r="E6" s="655"/>
      <c r="F6" s="655"/>
    </row>
    <row r="7" spans="1:6" s="66" customFormat="1" ht="15.75" customHeight="1">
      <c r="A7" s="654" t="s">
        <v>102</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253</v>
      </c>
      <c r="E12" s="651" t="str">
        <f>CONCATENATE("Amount of ",G1-1," Ad Valorem Tax")</f>
        <v>Amount of 2011 Ad Valorem Tax</v>
      </c>
      <c r="F12" s="76" t="s">
        <v>254</v>
      </c>
    </row>
    <row r="13" spans="3:6" s="66" customFormat="1" ht="15.75">
      <c r="C13" s="76" t="s">
        <v>255</v>
      </c>
      <c r="D13" s="529" t="s">
        <v>182</v>
      </c>
      <c r="E13" s="652"/>
      <c r="F13" s="78" t="s">
        <v>256</v>
      </c>
    </row>
    <row r="14" spans="1:6" s="66" customFormat="1" ht="15.75">
      <c r="A14" s="79" t="s">
        <v>257</v>
      </c>
      <c r="B14" s="80"/>
      <c r="C14" s="81" t="s">
        <v>258</v>
      </c>
      <c r="D14" s="530" t="s">
        <v>747</v>
      </c>
      <c r="E14" s="653"/>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12850</v>
      </c>
      <c r="E20" s="85">
        <f>IF(gen!$E$53&lt;&gt;0,gen!$E$53,0)</f>
        <v>10166.190000000006</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f>IF(DebtService!$E$51&lt;&gt;0,DebtService!$E$51,"  ")</f>
        <v>10802.08</v>
      </c>
      <c r="E21" s="85">
        <f>IF(DebtService!$E$58&lt;&gt;0,DebtService!$E$58,"  ")</f>
        <v>10802.08</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158000</v>
      </c>
      <c r="E22" s="85">
        <f>IF(road!$E$48&lt;&gt;0,road!$E$48,"  ")</f>
        <v>108223.57999999999</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IF(Fire_Lib!C75&gt;0,Fire_Lib!C75,"  ")</f>
        <v>  </v>
      </c>
      <c r="D25" s="85">
        <f>IF(Fire_Lib!$E$31&lt;&gt;0,Fire_Lib!$E$31,"  ")</f>
        <v>10402</v>
      </c>
      <c r="E25" s="85">
        <f>IF(Fire_Lib!$E$38&lt;&gt;0,Fire_Lib!$E$38,"  ")</f>
        <v>8642.48</v>
      </c>
      <c r="F25" s="95" t="str">
        <f>IF(AND(Fire_Lib!$E$38=0,$B$42&gt;=0)," ",IF(AND(E25&gt;0,$B$42=0)," ",IF(AND(E25&gt;0,$B$42&gt;0),ROUND(E25/$B$42*1000,3))))</f>
        <v> </v>
      </c>
    </row>
    <row r="26" spans="1:6" s="66" customFormat="1" ht="15.75">
      <c r="A26" s="92" t="str">
        <f>IF(inputPrYr!$B26&gt;"  ",inputPrYr!$B26,"  ")</f>
        <v>Library</v>
      </c>
      <c r="B26" s="93" t="str">
        <f>IF(inputPrYr!C26&gt;0,inputPrYr!C26,"  ")</f>
        <v>79-1962</v>
      </c>
      <c r="C26" s="94" t="str">
        <f>IF(Fire_Lib!C75&gt;0,Fire_Lib!C75,"  ")</f>
        <v>  </v>
      </c>
      <c r="D26" s="85">
        <f>IF(Fire_Lib!$E$67&lt;&gt;0,Fire_Lib!$E$67,"  ")</f>
        <v>2000</v>
      </c>
      <c r="E26" s="85">
        <f>IF(Fire_Lib!$E$74&lt;&gt;0,Fire_Lib!$E$74,"  ")</f>
        <v>1711</v>
      </c>
      <c r="F26" s="95" t="str">
        <f>IF(AND(Fire_Lib!$E$74=0,$B$45&gt;=0),"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194054.08000000002</v>
      </c>
      <c r="E37" s="102">
        <f>SUM(E20:E36)</f>
        <v>139545.33</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No</v>
      </c>
    </row>
    <row r="40" spans="1:5" s="66" customFormat="1" ht="15.75">
      <c r="A40" s="87" t="s">
        <v>108</v>
      </c>
      <c r="B40" s="83"/>
      <c r="C40" s="98">
        <f>IF(Resolution!D50&gt;0,Resolution!D50,"")</f>
      </c>
      <c r="D40" s="106"/>
      <c r="E40" s="107"/>
    </row>
    <row r="41" spans="1:6" s="66" customFormat="1" ht="15.75">
      <c r="A41" s="82" t="s">
        <v>53</v>
      </c>
      <c r="B41" s="661" t="s">
        <v>78</v>
      </c>
      <c r="C41" s="662"/>
      <c r="D41" s="109"/>
      <c r="F41" s="74" t="s">
        <v>266</v>
      </c>
    </row>
    <row r="42" spans="1:6" s="66" customFormat="1" ht="15.75">
      <c r="A42" s="82" t="str">
        <f>inputPrYr!D3</f>
        <v>Morton Township</v>
      </c>
      <c r="B42" s="663"/>
      <c r="C42" s="664"/>
      <c r="D42" s="110"/>
      <c r="F42" s="74"/>
    </row>
    <row r="43" spans="1:6" s="66" customFormat="1" ht="15.75">
      <c r="A43" s="82" t="str">
        <f>inputPrYr!D6</f>
        <v>City of Cheney</v>
      </c>
      <c r="B43" s="663"/>
      <c r="C43" s="671"/>
      <c r="D43" s="110"/>
      <c r="F43" s="74"/>
    </row>
    <row r="44" spans="1:6" s="66" customFormat="1" ht="15.75">
      <c r="A44" s="82">
        <f>inputPrYr!D7</f>
        <v>0</v>
      </c>
      <c r="B44" s="663"/>
      <c r="C44" s="671"/>
      <c r="D44" s="110"/>
      <c r="F44" s="74"/>
    </row>
    <row r="45" spans="1:6" s="66" customFormat="1" ht="15.75">
      <c r="A45" s="82" t="s">
        <v>189</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67" t="s">
        <v>268</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C52" sqref="C52"/>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Morton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132898</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132898</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362666</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344126</v>
      </c>
      <c r="F14" s="270"/>
      <c r="G14" s="194"/>
      <c r="H14" s="194"/>
      <c r="I14" s="274"/>
      <c r="J14" s="194"/>
    </row>
    <row r="15" spans="1:10" ht="15.75">
      <c r="A15" s="269"/>
      <c r="B15" s="66" t="s">
        <v>43</v>
      </c>
      <c r="C15" s="66" t="str">
        <f>CONCATENATE("Personal Property ",J1-2,"")</f>
        <v>Personal Property 2010</v>
      </c>
      <c r="D15" s="269" t="s">
        <v>38</v>
      </c>
      <c r="E15" s="273">
        <f>inputOth!E31</f>
        <v>329221</v>
      </c>
      <c r="F15" s="270"/>
      <c r="G15" s="274"/>
      <c r="H15" s="274"/>
      <c r="I15" s="194"/>
      <c r="J15" s="194"/>
    </row>
    <row r="16" spans="1:10" ht="15.75">
      <c r="A16" s="269"/>
      <c r="B16" s="66" t="s">
        <v>44</v>
      </c>
      <c r="C16" s="66" t="s">
        <v>62</v>
      </c>
      <c r="D16" s="66"/>
      <c r="E16" s="194"/>
      <c r="F16" s="194" t="s">
        <v>285</v>
      </c>
      <c r="G16" s="247">
        <f>IF(E14&gt;E15,E14-E15,0)</f>
        <v>14905</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19575</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397146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16871191</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16474045</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0.024107376178710206</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3204</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136102</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10802.08</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146904.08</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C52" sqref="C52"/>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Morton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16765</v>
      </c>
      <c r="E12" s="239">
        <f>IF(inputOth!D37&gt;0,inputOth!D37,"  ")</f>
        <v>1.024</v>
      </c>
      <c r="F12" s="240"/>
      <c r="G12" s="92">
        <f>IF(inputPrYr!E20=0,0,G25-SUM(G13:G22))</f>
        <v>2391</v>
      </c>
      <c r="H12" s="241"/>
      <c r="I12" s="92">
        <f>IF(inputPrYr!E20=0,0,I27-SUM(I13:I22))</f>
        <v>80</v>
      </c>
      <c r="J12" s="92">
        <f>IF(inputPrYr!E20=0,0,J29-SUM(J13:J22))</f>
        <v>63.81999999999999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105853</v>
      </c>
      <c r="E14" s="239">
        <f>IF(inputOth!D39&gt;0,inputOth!D39,"  ")</f>
        <v>20.71</v>
      </c>
      <c r="F14" s="240"/>
      <c r="G14" s="92">
        <f>IF(inputPrYr!E22=0,0,ROUND(D14*$G$33,0))</f>
        <v>15096</v>
      </c>
      <c r="H14" s="241"/>
      <c r="I14" s="92">
        <f>IF(inputPrYr!$E$22=0,0,ROUND($D$14*$I$35,0))</f>
        <v>501</v>
      </c>
      <c r="J14" s="92">
        <f>IF(inputPrYr!E22=0,0,ROUND($D14*$J$37,0))</f>
        <v>400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8523</v>
      </c>
      <c r="E17" s="239">
        <f>IF(inputOth!D42&gt;0,inputOth!D42,"  ")</f>
        <v>1.668</v>
      </c>
      <c r="F17" s="240"/>
      <c r="G17" s="92">
        <f>IF(inputPrYr!E25=0,0,ROUND(D17*$G$33,0))</f>
        <v>1215</v>
      </c>
      <c r="H17" s="241"/>
      <c r="I17" s="92">
        <f>IF(inputPrYr!$E$25=0,0,ROUND($D$17*$I$35,0))</f>
        <v>40</v>
      </c>
      <c r="J17" s="92">
        <f>IF(inputPrYr!E25=0,0,ROUND($D17*$J$37,0))</f>
        <v>32</v>
      </c>
      <c r="K17" s="92">
        <f>IF(inputPrYr!E25=0,0,ROUND($D17*$K$39,0))</f>
        <v>0</v>
      </c>
    </row>
    <row r="18" spans="1:11" ht="15.75">
      <c r="A18" s="66"/>
      <c r="B18" s="92" t="str">
        <f>IF(inputPrYr!$B26&gt;"  ",inputPrYr!$B26,"  ")</f>
        <v>Library</v>
      </c>
      <c r="C18" s="238"/>
      <c r="D18" s="92">
        <f>IF(inputPrYr!E26&gt;0,inputPrYr!E26,"  ")</f>
        <v>1757</v>
      </c>
      <c r="E18" s="239">
        <f>IF(inputOth!D43&gt;0,inputOth!D43,"  ")</f>
        <v>0.343</v>
      </c>
      <c r="F18" s="240"/>
      <c r="G18" s="92">
        <f>IF(inputPrYr!E26=0,0,ROUND(D18*$G$33,0))</f>
        <v>251</v>
      </c>
      <c r="H18" s="241"/>
      <c r="I18" s="92">
        <f>IF(inputPrYr!$E$26=0,0,ROUND($D$18*$I$35,0))</f>
        <v>8</v>
      </c>
      <c r="J18" s="92">
        <f>IF(inputPrYr!E26=0,0,ROUND($D18*$J$37,0))</f>
        <v>7</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132898</v>
      </c>
      <c r="E23" s="244">
        <f>SUM(E12:E22)</f>
        <v>23.745</v>
      </c>
      <c r="F23" s="245"/>
      <c r="G23" s="243">
        <f t="shared" si="0"/>
        <v>18953</v>
      </c>
      <c r="H23" s="243"/>
      <c r="I23" s="243">
        <f t="shared" si="0"/>
        <v>629</v>
      </c>
      <c r="J23" s="243">
        <f t="shared" si="0"/>
        <v>502.82</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18953</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629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502.82</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0.14261313187557376</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0.0047329530918448735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0.0037835031377447363</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2" sqref="C52"/>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Morton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120</v>
      </c>
      <c r="B5" s="650"/>
      <c r="C5" s="650"/>
      <c r="D5" s="650"/>
      <c r="E5" s="650"/>
      <c r="F5" s="650"/>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0</v>
      </c>
      <c r="D12" s="264">
        <f>gen!$D$41</f>
        <v>0</v>
      </c>
      <c r="E12" s="264">
        <f>gen!$E$41</f>
        <v>0</v>
      </c>
      <c r="F12" s="212">
        <f>IF(C12+D12+E12&gt;0,"80-122","")</f>
      </c>
    </row>
    <row r="13" spans="1:6" ht="15" customHeight="1">
      <c r="A13" s="212" t="s">
        <v>250</v>
      </c>
      <c r="B13" s="212" t="s">
        <v>263</v>
      </c>
      <c r="C13" s="264">
        <f>road!$C$36</f>
        <v>35273.5</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35273.5</v>
      </c>
      <c r="D27" s="267">
        <f>SUM(D10:D26)</f>
        <v>0</v>
      </c>
      <c r="E27" s="267">
        <f>SUM(E10:E26)</f>
        <v>0</v>
      </c>
      <c r="F27" s="196"/>
    </row>
    <row r="28" spans="1:6" ht="15.75">
      <c r="A28" s="196"/>
      <c r="B28" s="90" t="s">
        <v>645</v>
      </c>
      <c r="C28" s="66"/>
      <c r="D28" s="184"/>
      <c r="E28" s="184"/>
      <c r="F28" s="196"/>
    </row>
    <row r="29" spans="1:6" ht="15.75">
      <c r="A29" s="196"/>
      <c r="B29" s="90" t="s">
        <v>128</v>
      </c>
      <c r="C29" s="186">
        <f>C27</f>
        <v>35273.5</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2011-07-12T19:59:06Z</cp:lastPrinted>
  <dcterms:created xsi:type="dcterms:W3CDTF">1998-08-26T16:30:41Z</dcterms:created>
  <dcterms:modified xsi:type="dcterms:W3CDTF">2012-01-25T15:55:11Z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