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5" yWindow="3690" windowWidth="12975" windowHeight="8175" tabRatio="718" firstSheet="7"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state="hidden" r:id="rId15"/>
    <sheet name="levypage11" sheetId="16" state="hidden" r:id="rId16"/>
    <sheet name="levypage12" sheetId="17" state="hidden" r:id="rId17"/>
    <sheet name="nolevypage13" sheetId="18" state="hidden" r:id="rId18"/>
    <sheet name="nolevypage14" sheetId="19" state="hidden" r:id="rId19"/>
    <sheet name="nonbud" sheetId="20" state="hidden" r:id="rId20"/>
    <sheet name="NonBudFunds" sheetId="21" state="hidden"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<sst xmlns="http://schemas.openxmlformats.org/spreadsheetml/2006/main" count="1506" uniqueCount="845">
  <si>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</si>
  <si>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</si>
  <si>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</si>
  <si>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</si>
  <si>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</si>
  <si>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</si>
  <si>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</si>
  <si>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</si>
  <si>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</si>
  <si>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</si>
  <si>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</si>
  <si>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</si>
  <si>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</si>
  <si>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</si>
  <si>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</si>
  <si>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</si>
  <si>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</si>
  <si>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</si>
  <si>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</si>
  <si>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</si>
  <si>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</si>
  <si>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</si>
  <si>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</si>
  <si>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</si>
  <si>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</si>
  <si>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</si>
  <si>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</si>
  <si>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</si>
  <si>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</si>
  <si>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</si>
  <si>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</si>
  <si>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</si>
  <si>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</si>
  <si>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</si>
  <si>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</si>
  <si>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</si>
  <si>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</si>
  <si>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</si>
  <si>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</si>
  <si>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</si>
  <si>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</si>
  <si>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</si>
  <si>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</si>
  <si>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</si>
  <si>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</si>
  <si>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</si>
  <si>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</si>
  <si>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</si>
  <si>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</si>
  <si>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</si>
  <si>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</si>
  <si>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</si>
  <si>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</si>
  <si>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</si>
  <si>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</si>
  <si>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</si>
  <si>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</si>
  <si>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</si>
  <si>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</si>
  <si>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</si>
  <si>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</si>
  <si>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</si>
  <si>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</si>
  <si>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</si>
  <si>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</si>
  <si>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</si>
  <si>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</si>
  <si>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</si>
  <si>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</si>
  <si>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</si>
  <si>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</si>
  <si>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</si>
  <si>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</si>
  <si>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</si>
  <si>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</si>
  <si>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</si>
  <si>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</si>
  <si>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</si>
  <si>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</si>
  <si>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</si>
  <si>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</si>
  <si>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</si>
  <si>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</si>
  <si>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</si>
  <si>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</si>
  <si>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</si>
  <si>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</si>
  <si>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</si>
  <si>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</si>
  <si>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</si>
  <si>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</si>
  <si>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</si>
  <si>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</si>
  <si>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</si>
  <si>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</si>
  <si>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</si>
  <si>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</si>
  <si>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</si>
  <si>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</si>
  <si>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</si>
  <si>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</si>
  <si>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</si>
  <si>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</si>
  <si>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</si>
  <si>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</si>
  <si>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</si>
  <si>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</si>
  <si>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</si>
  <si>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</si>
  <si>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</si>
  <si>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</si>
  <si>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</si>
  <si>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</si>
  <si>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</si>
  <si>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</si>
  <si>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</si>
  <si>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</si>
  <si>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</si>
  <si>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</si>
  <si>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</si>
  <si>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</si>
  <si>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</si>
  <si>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</si>
  <si>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</si>
  <si>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</si>
  <si>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</si>
  <si>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</si>
  <si>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</si>
  <si>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</si>
  <si>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</si>
  <si>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</si>
  <si>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</si>
  <si>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</si>
  <si>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</si>
  <si>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</si>
  <si>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</si>
  <si>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</si>
  <si>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</si>
  <si>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</si>
  <si>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</si>
  <si>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</si>
  <si>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</si>
  <si>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</si>
  <si>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</si>
  <si>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</si>
  <si>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</si>
  <si>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</si>
  <si>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</si>
  <si>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</si>
  <si>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</si>
  <si>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</si>
  <si>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</si>
  <si>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</si>
  <si>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</si>
  <si>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</si>
  <si>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</si>
  <si>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</si>
  <si>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</si>
  <si>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</si>
  <si>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</si>
  <si>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</si>
  <si>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</si>
  <si>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</si>
  <si>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</si>
  <si>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</si>
  <si>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</si>
  <si>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</si>
  <si>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</si>
  <si>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</si>
  <si>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</si>
  <si>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</si>
  <si>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</si>
  <si>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</si>
  <si>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</si>
  <si>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</si>
  <si>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</si>
  <si>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</si>
  <si>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</si>
  <si>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</si>
  <si>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</si>
  <si>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</si>
  <si>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</si>
  <si>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</si>
  <si>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</si>
  <si>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</si>
  <si>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</si>
  <si>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</si>
  <si>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</si>
  <si>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</si>
  <si>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</si>
  <si>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</si>
  <si>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</si>
  <si>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</si>
  <si>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</si>
  <si>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</si>
  <si>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</si>
  <si>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</si>
  <si>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</si>
  <si>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</si>
  <si>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</si>
  <si>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</si>
  <si>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</si>
  <si>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</si>
  <si>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</si>
  <si>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</si>
  <si>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</si>
  <si>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</si>
  <si>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</si>
  <si>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</si>
  <si>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</si>
  <si>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</si>
  <si>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</si>
  <si>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</si>
  <si>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</si>
  <si>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</si>
  <si>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</si>
  <si>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</si>
  <si>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</si>
  <si>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</si>
  <si>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</si>
  <si>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</si>
  <si>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</si>
  <si>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</si>
  <si>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</si>
  <si>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</si>
  <si>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</si>
  <si>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</si>
  <si>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</si>
  <si>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</si>
  <si>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</si>
  <si>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</si>
  <si>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</si>
  <si>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</si>
  <si>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</si>
  <si>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</si>
  <si>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</si>
  <si>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</si>
  <si>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</si>
  <si>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</si>
  <si>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</si>
  <si>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</si>
  <si>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</si>
  <si>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</si>
  <si>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</si>
  <si>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</si>
  <si>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</si>
  <si>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</si>
  <si>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</si>
  <si>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</si>
  <si>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</si>
  <si>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</si>
  <si>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</si>
  <si>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</si>
  <si>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</si>
  <si>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</si>
  <si>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</si>
  <si>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</si>
  <si>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</si>
  <si>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</si>
  <si>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</si>
  <si>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</si>
  <si>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</si>
  <si>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</si>
  <si>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</si>
  <si>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</si>
  <si>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</si>
  <si>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</si>
  <si>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</si>
  <si>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</si>
  <si>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</si>
  <si>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</si>
  <si>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</si>
  <si>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</si>
  <si>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</si>
  <si>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</si>
  <si>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</si>
  <si>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</si>
  <si>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</si>
  <si>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</si>
  <si>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</si>
  <si>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</si>
  <si>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</si>
  <si>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</si>
  <si>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</si>
  <si>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</si>
  <si>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</si>
  <si>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</si>
  <si>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</si>
  <si>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</si>
  <si>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</si>
  <si>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</si>
  <si>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</si>
  <si>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</si>
  <si>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</si>
  <si>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</si>
  <si>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</si>
  <si>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</si>
  <si>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</si>
  <si>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</si>
  <si>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</si>
  <si>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</si>
  <si>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</si>
  <si>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</si>
  <si>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</si>
  <si>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</si>
  <si>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</si>
  <si>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</si>
  <si>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</si>
  <si>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</si>
  <si>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</si>
  <si>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</si>
  <si>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</si>
  <si>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</si>
  <si>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</si>
  <si>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</si>
  <si>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</si>
  <si>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</si>
  <si>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</si>
  <si>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</si>
  <si>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</si>
  <si>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</si>
  <si>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</si>
  <si>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</si>
  <si>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</si>
  <si>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</si>
  <si>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</si>
  <si>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</si>
  <si>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</si>
  <si>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</si>
  <si>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</si>
  <si>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</si>
  <si>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</si>
  <si>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</si>
  <si>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</si>
  <si>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</si>
  <si>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</si>
  <si>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</si>
  <si>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</si>
  <si>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</si>
  <si>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</si>
  <si>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</si>
  <si>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</si>
  <si>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</si>
  <si>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</si>
  <si>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</si>
  <si>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</si>
  <si>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</si>
  <si>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</si>
  <si>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</si>
  <si>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</si>
  <si>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</si>
  <si>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</si>
  <si>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</si>
  <si>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</si>
  <si>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</si>
  <si>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</si>
  <si>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</si>
  <si>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</si>
  <si>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</si>
  <si>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</si>
  <si>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</si>
  <si>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</si>
  <si>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</si>
  <si>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</si>
  <si>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</si>
  <si>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</si>
  <si>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</si>
  <si>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</si>
  <si>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</si>
  <si>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</si>
  <si>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</si>
  <si>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</si>
  <si>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</si>
  <si>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</si>
  <si>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</si>
  <si>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</si>
  <si>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</si>
  <si>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</si>
  <si>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</si>
  <si>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</si>
  <si>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</si>
  <si>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</si>
  <si>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</si>
  <si>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</si>
  <si>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</si>
  <si>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</si>
  <si>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</si>
  <si>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</si>
  <si>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</si>
  <si>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</si>
  <si>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</si>
  <si>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</si>
  <si>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</si>
  <si>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</si>
  <si>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</si>
  <si>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</si>
  <si>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</si>
  <si>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</si>
  <si>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</si>
  <si>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</si>
  <si>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</si>
  <si>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</si>
  <si>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</si>
  <si>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</si>
  <si>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</si>
  <si>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</si>
  <si>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</si>
  <si>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</si>
  <si>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</si>
  <si>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</si>
  <si>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</si>
  <si>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</si>
  <si>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</si>
  <si>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</si>
  <si>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</si>
  <si>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</si>
  <si>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</si>
  <si>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</si>
  <si>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</si>
  <si>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</si>
  <si>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</si>
  <si>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</si>
  <si>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</si>
  <si>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</si>
  <si>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</si>
  <si>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</si>
  <si>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</si>
  <si>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</si>
  <si>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</si>
  <si>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</si>
  <si>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</si>
  <si>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</si>
  <si>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</si>
  <si>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</si>
  <si>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</si>
  <si>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</si>
  <si>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</si>
  <si>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</si>
  <si>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</si>
  <si>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</si>
  <si>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</si>
  <si>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</si>
  <si>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</si>
  <si>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</si>
  <si>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</si>
  <si>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</si>
  <si>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</si>
  <si>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</si>
  <si>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</si>
  <si>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</si>
  <si>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</si>
  <si>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</si>
  <si>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</si>
  <si>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</si>
  <si>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</si>
  <si>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</si>
  <si>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</si>
  <si>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</si>
  <si>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</si>
  <si>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</si>
  <si>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</si>
  <si>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</si>
  <si>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</si>
  <si>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</si>
  <si>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</si>
  <si>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</si>
  <si>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</si>
  <si>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</si>
  <si>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</si>
  <si>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</si>
  <si>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</si>
  <si>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</si>
  <si>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</si>
  <si>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</si>
  <si>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</si>
  <si>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</si>
  <si>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</si>
  <si>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</si>
  <si>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</si>
  <si>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</si>
  <si>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</si>
  <si>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</si>
  <si>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</si>
  <si>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</si>
  <si>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</si>
  <si>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</si>
  <si>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</si>
  <si>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</si>
  <si>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</si>
  <si>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</si>
  <si>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</si>
  <si>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</si>
  <si>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</si>
  <si>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</si>
  <si>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</si>
  <si>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</si>
  <si>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</si>
  <si>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</si>
  <si>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</si>
  <si>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</si>
  <si>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</si>
  <si>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</si>
  <si>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</si>
  <si>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</si>
  <si>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</si>
  <si>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</si>
  <si>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</si>
  <si>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</si>
  <si>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</si>
  <si>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</si>
  <si>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</si>
  <si>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</si>
  <si>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</si>
  <si>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</si>
  <si>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</si>
  <si>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</si>
  <si>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</si>
  <si>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</si>
  <si>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</si>
  <si>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</si>
  <si>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</si>
  <si>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</si>
  <si>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</si>
  <si>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</si>
  <si>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</si>
  <si>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</si>
  <si>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</si>
  <si>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</si>
  <si>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</si>
  <si>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</si>
  <si>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</si>
  <si>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</si>
  <si>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</si>
  <si>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</si>
  <si>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</si>
  <si>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</si>
  <si>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</si>
  <si>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</si>
  <si>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</si>
  <si>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</si>
  <si>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</si>
  <si>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</si>
  <si>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</si>
  <si>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</si>
  <si>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</si>
  <si>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</si>
  <si>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</si>
  <si>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</si>
  <si>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</si>
  <si>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</si>
  <si>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</si>
  <si>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</si>
  <si>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</si>
  <si>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</si>
  <si>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</si>
  <si>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</si>
  <si>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</si>
  <si>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</si>
  <si>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</si>
  <si>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</si>
  <si>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</si>
  <si>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</si>
  <si>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</si>
  <si>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</si>
  <si>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</si>
  <si>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</si>
  <si>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</si>
  <si>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</si>
  <si>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</si>
  <si>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</si>
  <si>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</si>
  <si>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</si>
  <si>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</si>
  <si>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</si>
  <si>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</si>
  <si>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</si>
  <si>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</si>
  <si>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</si>
  <si>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</si>
  <si>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</si>
  <si>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</si>
  <si>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</si>
  <si>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</si>
  <si>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</si>
  <si>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</si>
  <si>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</si>
  <si>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</si>
  <si>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</si>
  <si>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</si>
  <si>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</si>
  <si>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</si>
  <si>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</si>
  <si>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</si>
  <si>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</si>
  <si>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</si>
  <si>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</si>
  <si>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</si>
  <si>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</si>
  <si>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</si>
  <si>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</si>
  <si>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</si>
  <si>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</si>
  <si>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</si>
  <si>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</si>
  <si>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</si>
  <si>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</si>
  <si>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</si>
  <si>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</si>
  <si>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</si>
  <si>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</si>
  <si>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</si>
  <si>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</si>
  <si>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</si>
  <si>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</si>
  <si>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</si>
  <si>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</si>
  <si>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</si>
  <si>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</si>
  <si>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</si>
  <si>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</si>
  <si>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</si>
  <si>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</si>
  <si>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</si>
  <si>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</si>
  <si>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</si>
  <si>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</si>
  <si>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</si>
  <si>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</si>
  <si>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</si>
  <si>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</si>
  <si>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</si>
  <si>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</si>
  <si>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</si>
  <si>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</si>
  <si>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</si>
  <si>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</si>
  <si>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</si>
  <si>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</si>
  <si>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</si>
  <si>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</si>
  <si>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</si>
  <si>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</si>
  <si>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</si>
  <si>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</si>
  <si>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</si>
  <si>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</si>
  <si>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</si>
  <si>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</si>
  <si>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</si>
  <si>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</si>
  <si>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</si>
  <si>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</si>
  <si>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</si>
  <si>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</si>
  <si>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</si>
  <si>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</si>
  <si>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</si>
  <si>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</si>
  <si>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</si>
  <si>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</si>
  <si>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</si>
  <si>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</si>
  <si>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</si>
  <si>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</si>
  <si>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</si>
  <si>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</si>
  <si>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</si>
  <si>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</si>
  <si>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</si>
  <si>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</si>
  <si>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</si>
  <si>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</si>
  <si>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</si>
  <si>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</si>
  <si>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</si>
  <si>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</si>
  <si>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</si>
  <si>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</si>
  <si>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</si>
  <si>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</si>
  <si>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</si>
  <si>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</si>
  <si>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</si>
  <si>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</si>
  <si>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</si>
  <si>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</si>
  <si>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</si>
  <si>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</si>
  <si>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</si>
  <si>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</si>
  <si>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</si>
  <si>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</si>
  <si>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</si>
  <si>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</si>
  <si>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</si>
  <si>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</si>
  <si>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</si>
  <si>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</si>
  <si>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</si>
  <si>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</si>
  <si>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</si>
  <si>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</si>
  <si>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</si>
  <si>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</si>
  <si>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</si>
  <si>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</si>
  <si>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</si>
  <si>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</si>
  <si>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</si>
  <si>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</si>
  <si>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</si>
  <si>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</si>
  <si>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</si>
  <si>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</si>
  <si>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</si>
  <si>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</si>
  <si>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</si>
  <si>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</si>
  <si>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</si>
  <si>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</si>
  <si>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</si>
  <si>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</si>
  <si>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</si>
  <si>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</si>
  <si>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</si>
  <si>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</si>
  <si>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</si>
  <si>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</si>
  <si>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</si>
  <si>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</si>
  <si>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</si>
  <si>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</si>
  <si>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</si>
  <si>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</si>
  <si>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</si>
  <si>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</si>
  <si>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</si>
  <si>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</si>
  <si>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</si>
  <si>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</si>
  <si>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</si>
  <si>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</si>
  <si>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</si>
  <si>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</si>
  <si>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</si>
  <si>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</si>
  <si>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</si>
  <si>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</si>
  <si>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</si>
  <si>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</si>
  <si>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</si>
  <si>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</si>
  <si>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</si>
  <si>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</si>
  <si>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</si>
  <si>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</si>
  <si>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</si>
  <si>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</si>
  <si>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</si>
  <si>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</si>
  <si>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</si>
  <si>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</si>
  <si>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</si>
  <si>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</si>
  <si>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</si>
  <si>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</si>
  <si>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</si>
  <si>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</si>
  <si>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</si>
  <si>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</si>
  <si>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</si>
  <si>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</si>
  <si>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</si>
  <si>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</si>
  <si>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</si>
  <si>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</si>
  <si>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</si>
  <si>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</si>
  <si>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</si>
  <si>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</si>
  <si>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</si>
  <si>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</si>
  <si>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</si>
  <si>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</si>
  <si>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</si>
  <si>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</si>
  <si>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</si>
  <si>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</si>
  <si>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</si>
  <si>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</si>
  <si>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</si>
  <si>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</si>
  <si>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</si>
  <si>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</si>
  <si>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</si>
  <si>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</si>
  <si>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</si>
  <si>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</si>
  <si>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</si>
  <si>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</si>
  <si>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</si>
  <si>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</si>
  <si>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</si>
  <si>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</si>
  <si>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</si>
  <si>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</si>
  <si>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</si>
  <si>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</si>
  <si>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</si>
  <si>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</si>
  <si>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</si>
  <si>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</si>
  <si>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</si>
  <si>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</si>
  <si>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</si>
  <si>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</si>
  <si>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</si>
  <si>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</si>
  <si>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</si>
  <si>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</si>
  <si>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</si>
  <si>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</si>
  <si>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</si>
  <si>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</si>
  <si>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</si>
  <si>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</si>
  <si>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</si>
  <si>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</si>
  <si>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</si>
  <si>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</si>
  <si>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</si>
  <si>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</si>
  <si>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Valley Township</t>
  </si>
  <si>
    <t>Rice County</t>
  </si>
  <si>
    <t>Alden</t>
  </si>
  <si>
    <t>City of Alden-reimbursement</t>
  </si>
  <si>
    <t>Hall Rent</t>
  </si>
  <si>
    <t>Contractural Services</t>
  </si>
  <si>
    <t>Office Supplies/Expense</t>
  </si>
  <si>
    <t>None</t>
  </si>
  <si>
    <t>John Deere Grader</t>
  </si>
  <si>
    <t>the County Clerk's Office</t>
  </si>
  <si>
    <t>August 8, 2011</t>
  </si>
  <si>
    <t>7:00 p.m.</t>
  </si>
  <si>
    <t>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</si>
</sst>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H25" sqref="H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Valley Township</v>
      </c>
      <c r="B1" s="281"/>
      <c r="C1" s="281"/>
      <c r="D1" s="281"/>
      <c r="E1" s="281"/>
      <c r="F1" s="281"/>
      <c r="G1" s="281"/>
      <c r="H1" s="281"/>
      <c r="I1" s="66"/>
      <c r="J1" s="66"/>
      <c r="K1" s="231">
        <f>inputPrYr!D9</f>
        <v>2012</v>
      </c>
    </row>
    <row r="2" spans="1:11" ht="15.75">
      <c r="A2" s="280" t="str">
        <f>inputPrYr!$D$4</f>
        <v>Rice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839</v>
      </c>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t="s">
        <v>839</v>
      </c>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t="s">
        <v>840</v>
      </c>
      <c r="B24" s="296">
        <v>40330</v>
      </c>
      <c r="C24" s="319">
        <v>60</v>
      </c>
      <c r="D24" s="297">
        <v>4</v>
      </c>
      <c r="E24" s="175">
        <v>82150</v>
      </c>
      <c r="F24" s="175">
        <v>82150</v>
      </c>
      <c r="G24" s="175">
        <v>18500</v>
      </c>
      <c r="H24" s="175">
        <v>18500</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82150</v>
      </c>
      <c r="G36" s="308">
        <f>SUM(G24:G35)</f>
        <v>18500</v>
      </c>
      <c r="H36" s="308">
        <f>SUM(H24:H35)</f>
        <v>18500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1" sqref="B1"/>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Valley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9259.81</v>
      </c>
      <c r="D6" s="418">
        <f>C47</f>
        <v>5900.08</v>
      </c>
      <c r="E6" s="267">
        <f>D47</f>
        <v>3585.08</v>
      </c>
    </row>
    <row r="7" spans="2:5" ht="15.75">
      <c r="B7" s="82" t="s">
        <v>75</v>
      </c>
      <c r="C7" s="418"/>
      <c r="D7" s="418"/>
      <c r="E7" s="328"/>
    </row>
    <row r="8" spans="2:5" ht="15.75">
      <c r="B8" s="82" t="s">
        <v>290</v>
      </c>
      <c r="C8" s="326">
        <f>1572.8+26.13+36.88+526.16</f>
        <v>2161.9700000000003</v>
      </c>
      <c r="D8" s="418">
        <f>inputPrYr!E20</f>
        <v>9619</v>
      </c>
      <c r="E8" s="328" t="s">
        <v>269</v>
      </c>
    </row>
    <row r="9" spans="2:5" ht="15.75">
      <c r="B9" s="82" t="s">
        <v>291</v>
      </c>
      <c r="C9" s="326">
        <f>29.24+2.12+0.26+0.22+2.91</f>
        <v>34.75</v>
      </c>
      <c r="D9" s="326"/>
      <c r="E9" s="175"/>
    </row>
    <row r="10" spans="2:5" ht="15.75">
      <c r="B10" s="82" t="s">
        <v>292</v>
      </c>
      <c r="C10" s="326">
        <v>332.95</v>
      </c>
      <c r="D10" s="326">
        <v>70</v>
      </c>
      <c r="E10" s="267">
        <f>mvalloc!G12</f>
        <v>340.0799999999999</v>
      </c>
    </row>
    <row r="11" spans="2:5" ht="15.75">
      <c r="B11" s="82" t="s">
        <v>293</v>
      </c>
      <c r="C11" s="326">
        <v>10.79</v>
      </c>
      <c r="D11" s="326">
        <v>2</v>
      </c>
      <c r="E11" s="267">
        <f>mvalloc!I12</f>
        <v>8.299999999999997</v>
      </c>
    </row>
    <row r="12" spans="2:5" ht="15.75">
      <c r="B12" s="329" t="s">
        <v>24</v>
      </c>
      <c r="C12" s="326">
        <v>30.12</v>
      </c>
      <c r="D12" s="326">
        <v>12</v>
      </c>
      <c r="E12" s="267">
        <f>mvalloc!J12</f>
        <v>2.490000000000002</v>
      </c>
    </row>
    <row r="13" spans="2:5" ht="15.75">
      <c r="B13" s="329" t="s">
        <v>117</v>
      </c>
      <c r="C13" s="326"/>
      <c r="D13" s="326"/>
      <c r="E13" s="267">
        <f>inputOth!E70</f>
        <v>0</v>
      </c>
    </row>
    <row r="14" spans="2:5" ht="15.75">
      <c r="B14" s="329" t="s">
        <v>118</v>
      </c>
      <c r="C14" s="326"/>
      <c r="D14" s="326"/>
      <c r="E14" s="267">
        <f>mvalloc!K12</f>
        <v>0</v>
      </c>
    </row>
    <row r="15" spans="2:5" ht="15.75">
      <c r="B15" s="82" t="s">
        <v>294</v>
      </c>
      <c r="C15" s="326">
        <v>2785.12</v>
      </c>
      <c r="D15" s="326">
        <v>132</v>
      </c>
      <c r="E15" s="267">
        <f>inputOth!E32</f>
        <v>139</v>
      </c>
    </row>
    <row r="16" spans="2:5" ht="15.75">
      <c r="B16" s="330" t="s">
        <v>835</v>
      </c>
      <c r="C16" s="326">
        <v>971.1</v>
      </c>
      <c r="D16" s="326"/>
      <c r="E16" s="175"/>
    </row>
    <row r="17" spans="2:5" ht="15.75">
      <c r="B17" s="330" t="s">
        <v>836</v>
      </c>
      <c r="C17" s="326">
        <f>105+35+35+35+35+55+110+35</f>
        <v>445</v>
      </c>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f>275.47+0.8</f>
        <v>276.27000000000004</v>
      </c>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7048.070000000001</v>
      </c>
      <c r="D25" s="421">
        <f>SUM(D8:D23)</f>
        <v>9835</v>
      </c>
      <c r="E25" s="335">
        <f>SUM(E8:E23)</f>
        <v>489.86999999999995</v>
      </c>
    </row>
    <row r="26" spans="2:5" ht="15.75">
      <c r="B26" s="100" t="s">
        <v>298</v>
      </c>
      <c r="C26" s="421">
        <f>C25+C6</f>
        <v>16307.880000000001</v>
      </c>
      <c r="D26" s="421">
        <f>D25+D6</f>
        <v>15735.08</v>
      </c>
      <c r="E26" s="335">
        <f>E25+E6</f>
        <v>4074.95</v>
      </c>
    </row>
    <row r="27" spans="2:5" ht="15.75">
      <c r="B27" s="82" t="s">
        <v>299</v>
      </c>
      <c r="C27" s="418"/>
      <c r="D27" s="418"/>
      <c r="E27" s="267"/>
    </row>
    <row r="28" spans="2:5" ht="15.75">
      <c r="B28" s="330"/>
      <c r="C28" s="326"/>
      <c r="D28" s="326"/>
      <c r="E28" s="175"/>
    </row>
    <row r="29" spans="2:5" ht="15.75">
      <c r="B29" s="331" t="s">
        <v>56</v>
      </c>
      <c r="C29" s="326">
        <v>609.48</v>
      </c>
      <c r="D29" s="326">
        <v>900</v>
      </c>
      <c r="E29" s="175">
        <v>900</v>
      </c>
    </row>
    <row r="30" spans="2:5" ht="15.75">
      <c r="B30" s="331" t="s">
        <v>80</v>
      </c>
      <c r="C30" s="326">
        <v>240</v>
      </c>
      <c r="D30" s="326"/>
      <c r="E30" s="175"/>
    </row>
    <row r="31" spans="2:5" ht="15.75">
      <c r="B31" s="331" t="s">
        <v>57</v>
      </c>
      <c r="C31" s="326">
        <v>2200.29</v>
      </c>
      <c r="D31" s="326"/>
      <c r="E31" s="175"/>
    </row>
    <row r="32" spans="2:5" ht="15.75">
      <c r="B32" s="331" t="s">
        <v>310</v>
      </c>
      <c r="C32" s="326"/>
      <c r="D32" s="326">
        <v>500</v>
      </c>
      <c r="E32" s="175">
        <v>500</v>
      </c>
    </row>
    <row r="33" spans="2:5" ht="15.75">
      <c r="B33" s="330" t="s">
        <v>58</v>
      </c>
      <c r="C33" s="326"/>
      <c r="D33" s="326">
        <v>3000</v>
      </c>
      <c r="E33" s="175">
        <v>3000</v>
      </c>
    </row>
    <row r="34" spans="2:5" ht="15.75">
      <c r="B34" s="330" t="s">
        <v>81</v>
      </c>
      <c r="C34" s="326"/>
      <c r="D34" s="326"/>
      <c r="E34" s="175">
        <v>3000</v>
      </c>
    </row>
    <row r="35" spans="2:5" ht="15.75">
      <c r="B35" s="331" t="s">
        <v>83</v>
      </c>
      <c r="C35" s="326">
        <v>4177</v>
      </c>
      <c r="D35" s="326">
        <v>6000</v>
      </c>
      <c r="E35" s="175">
        <v>6000</v>
      </c>
    </row>
    <row r="36" spans="2:5" ht="15.75">
      <c r="B36" s="331" t="s">
        <v>837</v>
      </c>
      <c r="C36" s="326">
        <f>108+112.45+2155.48+520.5</f>
        <v>2896.43</v>
      </c>
      <c r="D36" s="326">
        <v>1750</v>
      </c>
      <c r="E36" s="175">
        <v>1750</v>
      </c>
    </row>
    <row r="37" spans="2:5" ht="15.75">
      <c r="B37" s="330" t="s">
        <v>838</v>
      </c>
      <c r="C37" s="326">
        <v>284.6</v>
      </c>
      <c r="D37" s="326"/>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3585.08</v>
      </c>
      <c r="H42" s="615" t="str">
        <f>CONCATENATE("",E1-1," Ending Cash Balance (est.)")</f>
        <v>2011 Ending Cash Balance (est.)</v>
      </c>
      <c r="I42" s="616"/>
      <c r="J42" s="613"/>
    </row>
    <row r="43" spans="2:10" ht="15.75">
      <c r="B43" s="329" t="s">
        <v>244</v>
      </c>
      <c r="C43" s="326"/>
      <c r="D43" s="326"/>
      <c r="E43" s="186">
        <f>nhood!E6</f>
      </c>
      <c r="G43" s="614">
        <f>E25</f>
        <v>489.86999999999995</v>
      </c>
      <c r="H43" s="617" t="str">
        <f>CONCATENATE("",E1," Non-AV Receipts (est.)")</f>
        <v>2012 Non-AV Receipts (est.)</v>
      </c>
      <c r="I43" s="617"/>
      <c r="J43" s="613"/>
    </row>
    <row r="44" spans="2:10" ht="15.75">
      <c r="B44" s="329" t="s">
        <v>242</v>
      </c>
      <c r="C44" s="326"/>
      <c r="D44" s="326"/>
      <c r="E44" s="175"/>
      <c r="G44" s="618">
        <f>E53</f>
        <v>11075.05</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15150</v>
      </c>
      <c r="H45" s="617" t="str">
        <f>CONCATENATE("Total ",E1," Resources Available")</f>
        <v>Total 2012 Resources Available</v>
      </c>
      <c r="I45" s="616"/>
      <c r="J45" s="613"/>
    </row>
    <row r="46" spans="2:10" ht="15.75">
      <c r="B46" s="100" t="s">
        <v>300</v>
      </c>
      <c r="C46" s="421">
        <f>SUM(C28:C39,C41,C43:C44)</f>
        <v>10407.800000000001</v>
      </c>
      <c r="D46" s="421">
        <f>SUM(D28:D39,D41,D43:D44)</f>
        <v>12150</v>
      </c>
      <c r="E46" s="335">
        <f>SUM(E28:E39,E43:E44,E41)</f>
        <v>15150</v>
      </c>
      <c r="G46" s="619"/>
      <c r="H46" s="617"/>
      <c r="I46" s="617"/>
      <c r="J46" s="613"/>
    </row>
    <row r="47" spans="2:10" ht="15.75">
      <c r="B47" s="82" t="s">
        <v>74</v>
      </c>
      <c r="C47" s="422">
        <f>C26-C46</f>
        <v>5900.08</v>
      </c>
      <c r="D47" s="422">
        <f>D26-D46</f>
        <v>3585.08</v>
      </c>
      <c r="E47" s="328" t="s">
        <v>269</v>
      </c>
      <c r="G47" s="618">
        <f>C46*0.05+C46</f>
        <v>10928.19</v>
      </c>
      <c r="H47" s="617" t="str">
        <f>CONCATENATE("Less ",E1-2," Expenditures + 5%")</f>
        <v>Less 2010 Expenditures + 5%</v>
      </c>
      <c r="I47" s="616"/>
      <c r="J47" s="613"/>
    </row>
    <row r="48" spans="2:10" ht="15.75">
      <c r="B48" s="121" t="str">
        <f>CONCATENATE("",E1-2,"/",E1-1," Budget Authority Amount:")</f>
        <v>2010/2011 Budget Authority Amount:</v>
      </c>
      <c r="C48" s="362">
        <f>inputOth!B83</f>
        <v>12150</v>
      </c>
      <c r="D48" s="69">
        <f>inputPrYr!D20</f>
        <v>12150</v>
      </c>
      <c r="E48" s="328" t="s">
        <v>269</v>
      </c>
      <c r="F48" s="337"/>
      <c r="G48" s="620">
        <f>G45-G47</f>
        <v>4221.8099999999995</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15150</v>
      </c>
      <c r="G50" s="553">
        <f>IF(inputOth!E11=0,"",ROUND(gen!E53/inputOth!E11*1000,3))</f>
        <v>1.752</v>
      </c>
      <c r="H50" s="554" t="str">
        <f>CONCATENATE("Projected ",E1-1," Mill Rate (est.)")</f>
        <v>Projected 2011 Mill Rate (est.)</v>
      </c>
      <c r="I50" s="555"/>
      <c r="J50" s="556"/>
    </row>
    <row r="51" spans="2:10" ht="15.75">
      <c r="B51" s="532" t="str">
        <f>CONCATENATE(C71,"       ",D71)</f>
        <v>       </v>
      </c>
      <c r="C51" s="535"/>
      <c r="D51" s="534" t="s">
        <v>302</v>
      </c>
      <c r="E51" s="186">
        <f>IF(E50-E26&gt;0,E50-E26,0)</f>
        <v>11075.05</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11075.05</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Valley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E34" sqref="E3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Valley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40188.84</v>
      </c>
      <c r="D6" s="418">
        <f>C42</f>
        <v>38610.02999999999</v>
      </c>
      <c r="E6" s="267">
        <f>D42</f>
        <v>21864.03</v>
      </c>
    </row>
    <row r="7" spans="2:5" ht="15.75">
      <c r="B7" s="82" t="s">
        <v>75</v>
      </c>
      <c r="C7" s="418"/>
      <c r="D7" s="418"/>
      <c r="E7" s="328"/>
    </row>
    <row r="8" spans="2:5" ht="15.75">
      <c r="B8" s="82" t="s">
        <v>290</v>
      </c>
      <c r="C8" s="326">
        <f>38469.49+343.32+1021.19+14575.49</f>
        <v>54409.49</v>
      </c>
      <c r="D8" s="418">
        <f>inputPrYr!E22</f>
        <v>53724</v>
      </c>
      <c r="E8" s="328" t="s">
        <v>269</v>
      </c>
    </row>
    <row r="9" spans="2:5" ht="15.75">
      <c r="B9" s="82" t="s">
        <v>291</v>
      </c>
      <c r="C9" s="326">
        <f>216.62+41.09+4.79+6.02+9.14</f>
        <v>277.66</v>
      </c>
      <c r="D9" s="326"/>
      <c r="E9" s="175"/>
    </row>
    <row r="10" spans="2:5" ht="15.75">
      <c r="B10" s="82" t="s">
        <v>292</v>
      </c>
      <c r="C10" s="326">
        <v>1779.62</v>
      </c>
      <c r="D10" s="326">
        <v>1778</v>
      </c>
      <c r="E10" s="267">
        <f>mvalloc!G14</f>
        <v>1900</v>
      </c>
    </row>
    <row r="11" spans="2:5" ht="15.75">
      <c r="B11" s="82" t="s">
        <v>293</v>
      </c>
      <c r="C11" s="326">
        <v>31.95</v>
      </c>
      <c r="D11" s="326">
        <v>39</v>
      </c>
      <c r="E11" s="267">
        <f>mvalloc!I14</f>
        <v>45</v>
      </c>
    </row>
    <row r="12" spans="2:5" ht="15.75">
      <c r="B12" s="82" t="s">
        <v>54</v>
      </c>
      <c r="C12" s="326">
        <v>210.47</v>
      </c>
      <c r="D12" s="326">
        <v>308</v>
      </c>
      <c r="E12" s="267">
        <f>mvalloc!J14</f>
        <v>17</v>
      </c>
    </row>
    <row r="13" spans="2:5" ht="15.75">
      <c r="B13" s="82" t="s">
        <v>118</v>
      </c>
      <c r="C13" s="326"/>
      <c r="D13" s="326"/>
      <c r="E13" s="267">
        <f>mvalloc!K14</f>
        <v>0</v>
      </c>
    </row>
    <row r="14" spans="2:5" ht="15.75">
      <c r="B14" s="82" t="s">
        <v>55</v>
      </c>
      <c r="C14" s="326">
        <v>2629.28</v>
      </c>
      <c r="D14" s="326">
        <v>2145</v>
      </c>
      <c r="E14" s="267">
        <f>inputOth!E72</f>
        <v>2471.05</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59338.47</v>
      </c>
      <c r="D23" s="421">
        <f>SUM(D8:D21)</f>
        <v>57994</v>
      </c>
      <c r="E23" s="335">
        <f>SUM(E8:E21)</f>
        <v>4433.05</v>
      </c>
    </row>
    <row r="24" spans="2:5" ht="15.75">
      <c r="B24" s="100" t="s">
        <v>298</v>
      </c>
      <c r="C24" s="421">
        <f>C23+C6</f>
        <v>99527.31</v>
      </c>
      <c r="D24" s="421">
        <f>D23+D6</f>
        <v>96604.03</v>
      </c>
      <c r="E24" s="335">
        <f>E23+E6</f>
        <v>26297.079999999998</v>
      </c>
    </row>
    <row r="25" spans="2:5" ht="15.75">
      <c r="B25" s="82" t="s">
        <v>299</v>
      </c>
      <c r="C25" s="418"/>
      <c r="D25" s="418"/>
      <c r="E25" s="267"/>
    </row>
    <row r="26" spans="2:5" ht="15.75">
      <c r="B26" s="331"/>
      <c r="C26" s="326"/>
      <c r="D26" s="326"/>
      <c r="E26" s="175"/>
    </row>
    <row r="27" spans="2:5" ht="15.75">
      <c r="B27" s="331" t="s">
        <v>56</v>
      </c>
      <c r="C27" s="326">
        <v>1828.44</v>
      </c>
      <c r="D27" s="326">
        <v>1740</v>
      </c>
      <c r="E27" s="175">
        <v>1740</v>
      </c>
    </row>
    <row r="28" spans="2:5" ht="15.75">
      <c r="B28" s="331" t="s">
        <v>80</v>
      </c>
      <c r="C28" s="326">
        <v>10075.35</v>
      </c>
      <c r="D28" s="326">
        <v>13000</v>
      </c>
      <c r="E28" s="175">
        <v>13000</v>
      </c>
    </row>
    <row r="29" spans="2:5" ht="15.75">
      <c r="B29" s="330" t="s">
        <v>57</v>
      </c>
      <c r="C29" s="326"/>
      <c r="D29" s="326">
        <v>2000</v>
      </c>
      <c r="E29" s="175">
        <v>2000</v>
      </c>
    </row>
    <row r="30" spans="2:5" ht="15.75">
      <c r="B30" s="331" t="s">
        <v>82</v>
      </c>
      <c r="C30" s="326">
        <f>9260.18+2646.01</f>
        <v>11906.19</v>
      </c>
      <c r="D30" s="326">
        <v>5000</v>
      </c>
      <c r="E30" s="175">
        <v>5000</v>
      </c>
    </row>
    <row r="31" spans="2:5" ht="15.75">
      <c r="B31" s="331" t="s">
        <v>60</v>
      </c>
      <c r="C31" s="326">
        <v>7485.69</v>
      </c>
      <c r="D31" s="326">
        <v>25000</v>
      </c>
      <c r="E31" s="175">
        <v>25000</v>
      </c>
    </row>
    <row r="32" spans="2:5" ht="15.75">
      <c r="B32" s="331" t="s">
        <v>58</v>
      </c>
      <c r="C32" s="326">
        <v>8786.93</v>
      </c>
      <c r="D32" s="326">
        <v>6000</v>
      </c>
      <c r="E32" s="175">
        <v>6000</v>
      </c>
    </row>
    <row r="33" spans="2:5" ht="15.75">
      <c r="B33" s="331" t="s">
        <v>837</v>
      </c>
      <c r="C33" s="326">
        <f>3780.16+154.52</f>
        <v>3934.68</v>
      </c>
      <c r="D33" s="326">
        <v>6000</v>
      </c>
      <c r="E33" s="175">
        <v>11500</v>
      </c>
    </row>
    <row r="34" spans="2:5" ht="15.75">
      <c r="B34" s="330" t="s">
        <v>310</v>
      </c>
      <c r="C34" s="326"/>
      <c r="D34" s="326">
        <v>15000</v>
      </c>
      <c r="E34" s="175">
        <v>20000</v>
      </c>
    </row>
    <row r="35" spans="2:5" ht="15.75">
      <c r="B35" s="330" t="s">
        <v>83</v>
      </c>
      <c r="C35" s="326"/>
      <c r="D35" s="326">
        <v>1000</v>
      </c>
      <c r="E35" s="175">
        <v>1000</v>
      </c>
    </row>
    <row r="36" spans="2:5" ht="15.75">
      <c r="B36" s="82" t="s">
        <v>59</v>
      </c>
      <c r="C36" s="326">
        <v>16900</v>
      </c>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244</v>
      </c>
      <c r="C38" s="326"/>
      <c r="D38" s="326"/>
      <c r="E38" s="186">
        <f>nhood!E8</f>
      </c>
      <c r="G38" s="540"/>
      <c r="H38" s="541"/>
      <c r="I38" s="541"/>
      <c r="J38" s="542"/>
    </row>
    <row r="39" spans="2:10" ht="15.75">
      <c r="B39" s="329" t="s">
        <v>242</v>
      </c>
      <c r="C39" s="326"/>
      <c r="D39" s="326"/>
      <c r="E39" s="175"/>
      <c r="G39" s="543">
        <f>D42</f>
        <v>21864.03</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4433.05</v>
      </c>
      <c r="H40" s="546" t="str">
        <f>CONCATENATE("",E1," Non-AV Receipts (est.)")</f>
        <v>2012 Non-AV Receipts (est.)</v>
      </c>
      <c r="I40" s="545"/>
      <c r="J40" s="542"/>
    </row>
    <row r="41" spans="2:10" ht="15.75">
      <c r="B41" s="100" t="s">
        <v>300</v>
      </c>
      <c r="C41" s="421">
        <f>SUM(C26:C39)</f>
        <v>60917.280000000006</v>
      </c>
      <c r="D41" s="421">
        <f>SUM(D26:D39)</f>
        <v>74740</v>
      </c>
      <c r="E41" s="335">
        <f>SUM(E26:E36,E39)</f>
        <v>85240</v>
      </c>
      <c r="G41" s="547">
        <f>E48</f>
        <v>58942.92</v>
      </c>
      <c r="H41" s="546" t="str">
        <f>CONCATENATE("",E1," Ad Valorem Tax (est.)")</f>
        <v>2012 Ad Valorem Tax (est.)</v>
      </c>
      <c r="I41" s="545"/>
      <c r="J41" s="542"/>
    </row>
    <row r="42" spans="2:10" ht="15.75">
      <c r="B42" s="82" t="s">
        <v>74</v>
      </c>
      <c r="C42" s="422">
        <f>C24-C41</f>
        <v>38610.02999999999</v>
      </c>
      <c r="D42" s="422">
        <f>D24-D41</f>
        <v>21864.03</v>
      </c>
      <c r="E42" s="328" t="s">
        <v>269</v>
      </c>
      <c r="G42" s="543">
        <f>SUM(G39:G41)</f>
        <v>85240</v>
      </c>
      <c r="H42" s="546" t="str">
        <f>CONCATENATE("Total ",E1," Resources Available")</f>
        <v>Total 2012 Resources Available</v>
      </c>
      <c r="I42" s="545"/>
      <c r="J42" s="542"/>
    </row>
    <row r="43" spans="2:10" ht="15.75">
      <c r="B43" s="121" t="str">
        <f>CONCATENATE("",$E$1-2,"/",$E$1-1," Budget Authority Amount:")</f>
        <v>2010/2011 Budget Authority Amount:</v>
      </c>
      <c r="C43" s="362">
        <f>inputOth!B85</f>
        <v>81740</v>
      </c>
      <c r="D43" s="85">
        <f>inputPrYr!D22</f>
        <v>74740</v>
      </c>
      <c r="E43" s="328" t="s">
        <v>269</v>
      </c>
      <c r="F43" s="337"/>
      <c r="G43" s="548"/>
      <c r="H43" s="546"/>
      <c r="I43" s="546"/>
      <c r="J43" s="542"/>
    </row>
    <row r="44" spans="2:10" ht="15.75">
      <c r="B44" s="121"/>
      <c r="C44" s="680" t="s">
        <v>753</v>
      </c>
      <c r="D44" s="681"/>
      <c r="E44" s="175"/>
      <c r="F44" s="337">
        <f>IF(E41/0.95-E41&lt;E44,"Exceeds 5%","")</f>
      </c>
      <c r="G44" s="547">
        <f>C41*0.05+C41</f>
        <v>63963.14400000001</v>
      </c>
      <c r="H44" s="546" t="str">
        <f>CONCATENATE("Less ",E1-2," Expenditures + 5%")</f>
        <v>Less 2010 Expenditures + 5%</v>
      </c>
      <c r="I44" s="545"/>
      <c r="J44" s="542"/>
    </row>
    <row r="45" spans="2:10" ht="15.75">
      <c r="B45" s="532" t="str">
        <f>CONCATENATE(C70,"     ",D70)</f>
        <v>     </v>
      </c>
      <c r="C45" s="682" t="s">
        <v>754</v>
      </c>
      <c r="D45" s="683"/>
      <c r="E45" s="267">
        <f>E41+E44</f>
        <v>85240</v>
      </c>
      <c r="G45" s="549">
        <f>G42-G44</f>
        <v>21276.855999999992</v>
      </c>
      <c r="H45" s="550" t="str">
        <f>CONCATENATE("Projected ",E1+1," Carryover (est.)")</f>
        <v>Projected 2013 Carryover (est.)</v>
      </c>
      <c r="I45" s="551"/>
      <c r="J45" s="552"/>
    </row>
    <row r="46" spans="2:5" ht="15.75">
      <c r="B46" s="532" t="str">
        <f>CONCATENATE(C71,"     ",D71)</f>
        <v>     </v>
      </c>
      <c r="C46" s="535"/>
      <c r="D46" s="534" t="s">
        <v>302</v>
      </c>
      <c r="E46" s="186">
        <f>IF(E45-E24&gt;0,E45-E24,0)</f>
        <v>58942.92</v>
      </c>
    </row>
    <row r="47" spans="2:10" ht="15.75">
      <c r="B47" s="216"/>
      <c r="C47" s="533" t="s">
        <v>755</v>
      </c>
      <c r="D47" s="537">
        <f>inputOth!$E$77</f>
        <v>0</v>
      </c>
      <c r="E47" s="267">
        <f>ROUND(IF(D47&gt;0,(E46*D47),0),0)</f>
        <v>0</v>
      </c>
      <c r="G47" s="553">
        <f>IF(inputOth!E8=0,"",ROUND(E48/inputOth!E8*1000,3))</f>
        <v>10.199</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58942.92</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v>23385.68</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16900</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f>171.81+180.83+175.32+183.86</f>
        <v>711.82</v>
      </c>
      <c r="D59" s="66"/>
      <c r="E59" s="66"/>
    </row>
    <row r="60" spans="2:5" ht="15.75">
      <c r="B60" s="177" t="s">
        <v>295</v>
      </c>
      <c r="C60" s="531"/>
      <c r="D60" s="66"/>
      <c r="E60" s="66"/>
    </row>
    <row r="61" spans="2:5" ht="15.75">
      <c r="B61" s="354" t="s">
        <v>298</v>
      </c>
      <c r="C61" s="524">
        <f>SUM(C53,C55:C60)</f>
        <v>40997.5</v>
      </c>
      <c r="D61" s="66"/>
      <c r="E61" s="66"/>
    </row>
    <row r="62" spans="2:5" ht="15.75">
      <c r="B62" s="354" t="s">
        <v>300</v>
      </c>
      <c r="C62" s="531">
        <v>0</v>
      </c>
      <c r="D62" s="66"/>
      <c r="E62" s="66"/>
    </row>
    <row r="63" spans="2:5" ht="15.75">
      <c r="B63" s="354" t="s">
        <v>301</v>
      </c>
      <c r="C63" s="524">
        <f>C61-C62</f>
        <v>40997.5</v>
      </c>
      <c r="D63" s="66"/>
      <c r="E63" s="66"/>
    </row>
    <row r="64" spans="2:5" ht="15.75">
      <c r="B64" s="66"/>
      <c r="C64" s="66"/>
      <c r="D64" s="66"/>
      <c r="E64" s="66"/>
    </row>
    <row r="65" spans="2:5" ht="15.75">
      <c r="B65" s="216" t="s">
        <v>283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Valley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Valley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Valley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C19" sqref="C19"/>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12150</v>
      </c>
      <c r="E20" s="175">
        <v>9619</v>
      </c>
    </row>
    <row r="21" spans="1:5" ht="15.75">
      <c r="A21" s="66"/>
      <c r="B21" s="108" t="s">
        <v>324</v>
      </c>
      <c r="C21" s="85" t="s">
        <v>108</v>
      </c>
      <c r="D21" s="175"/>
      <c r="E21" s="175"/>
    </row>
    <row r="22" spans="1:5" ht="15.75">
      <c r="A22" s="66"/>
      <c r="B22" s="108" t="s">
        <v>254</v>
      </c>
      <c r="C22" s="176" t="s">
        <v>239</v>
      </c>
      <c r="D22" s="175">
        <v>74740</v>
      </c>
      <c r="E22" s="175">
        <v>53724</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63343</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86890</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0.339</v>
      </c>
      <c r="E48" s="66"/>
    </row>
    <row r="49" spans="1:5" ht="15.75">
      <c r="A49" s="66"/>
      <c r="B49" s="92" t="str">
        <f t="shared" si="0"/>
        <v>Debt Service</v>
      </c>
      <c r="C49" s="66"/>
      <c r="D49" s="189"/>
      <c r="E49" s="66"/>
    </row>
    <row r="50" spans="1:5" ht="15.75">
      <c r="A50" s="66"/>
      <c r="B50" s="92" t="str">
        <f t="shared" si="0"/>
        <v>Road</v>
      </c>
      <c r="C50" s="66"/>
      <c r="D50" s="189">
        <v>9.391</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9.73</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66000</v>
      </c>
    </row>
    <row r="62" spans="1:5" ht="15.75">
      <c r="A62" s="192" t="str">
        <f>CONCATENATE("Assessed Valuation (",D9-2," budget column):")</f>
        <v>Assessed Valuation (2010 budget column):</v>
      </c>
      <c r="B62" s="168"/>
      <c r="C62" s="66"/>
      <c r="D62" s="66"/>
      <c r="E62" s="193">
        <v>6347373</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v>0</v>
      </c>
      <c r="E67" s="185">
        <v>90906</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Valley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PageLayoutView="0" workbookViewId="0" topLeftCell="A1">
      <selection activeCell="A1" sqref="A1"/>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54" t="s">
        <v>313</v>
      </c>
      <c r="B3" s="654"/>
      <c r="C3" s="654"/>
      <c r="D3" s="654"/>
      <c r="E3" s="654"/>
      <c r="F3" s="654"/>
      <c r="G3" s="654"/>
      <c r="H3" s="654"/>
    </row>
    <row r="4" spans="1:8" ht="15.75">
      <c r="A4" s="708" t="str">
        <f>inputPrYr!D3</f>
        <v>Valley Township</v>
      </c>
      <c r="B4" s="708"/>
      <c r="C4" s="708"/>
      <c r="D4" s="708"/>
      <c r="E4" s="708"/>
      <c r="F4" s="708"/>
      <c r="G4" s="708"/>
      <c r="H4" s="708"/>
    </row>
    <row r="5" spans="1:8" ht="15.75">
      <c r="A5" s="708" t="str">
        <f>inputPrYr!D4</f>
        <v>Rice County</v>
      </c>
      <c r="B5" s="708"/>
      <c r="C5" s="708"/>
      <c r="D5" s="708"/>
      <c r="E5" s="708"/>
      <c r="F5" s="708"/>
      <c r="G5" s="708"/>
      <c r="H5" s="708"/>
    </row>
    <row r="6" spans="1:8" ht="15.75">
      <c r="A6" s="707" t="str">
        <f>CONCATENATE("will meet on ",inputBudSum!B5," at ",inputBudSum!B7," at ",inputBudSum!B9," for the purpose of hearing and")</f>
        <v>will meet on August 8, 2011 at 7:00 p.m. at Township Hall for the purpose of hearing and</v>
      </c>
      <c r="B6" s="707"/>
      <c r="C6" s="707"/>
      <c r="D6" s="707"/>
      <c r="E6" s="707"/>
      <c r="F6" s="707"/>
      <c r="G6" s="707"/>
      <c r="H6" s="707"/>
    </row>
    <row r="7" spans="1:8" ht="15.75">
      <c r="A7" s="70" t="s">
        <v>432</v>
      </c>
      <c r="B7" s="67"/>
      <c r="C7" s="67"/>
      <c r="D7" s="67"/>
      <c r="E7" s="67"/>
      <c r="F7" s="67"/>
      <c r="G7" s="67"/>
      <c r="H7" s="67"/>
    </row>
    <row r="8" spans="1:8" ht="15.75">
      <c r="A8" s="659" t="str">
        <f>CONCATENATE("Detailed budget information is available at ",inputBudSum!B12," and will be available at this hearing.")</f>
        <v>Detailed budget information is available at the County Clerk's Office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75">
      <c r="A15" s="66"/>
      <c r="B15" s="78"/>
      <c r="C15" s="78" t="s">
        <v>315</v>
      </c>
      <c r="D15" s="78"/>
      <c r="E15" s="78" t="s">
        <v>315</v>
      </c>
      <c r="F15" s="528" t="s">
        <v>186</v>
      </c>
      <c r="G15" s="705"/>
      <c r="H15" s="78" t="s">
        <v>315</v>
      </c>
      <c r="I15" s="203"/>
    </row>
    <row r="16" spans="1:10" ht="15.75">
      <c r="A16" s="211" t="s">
        <v>265</v>
      </c>
      <c r="B16" s="81" t="s">
        <v>316</v>
      </c>
      <c r="C16" s="81" t="s">
        <v>317</v>
      </c>
      <c r="D16" s="81" t="s">
        <v>316</v>
      </c>
      <c r="E16" s="81" t="s">
        <v>317</v>
      </c>
      <c r="F16" s="527" t="s">
        <v>752</v>
      </c>
      <c r="G16" s="706"/>
      <c r="H16" s="81" t="s">
        <v>317</v>
      </c>
      <c r="I16" s="203"/>
      <c r="J16" s="589"/>
    </row>
    <row r="17" spans="1:10" ht="15.75">
      <c r="A17" s="92" t="str">
        <f>inputPrYr!B20</f>
        <v>General</v>
      </c>
      <c r="B17" s="92">
        <f>IF(gen!$C$46&lt;&gt;0,gen!$C$46,"  ")</f>
        <v>10407.800000000001</v>
      </c>
      <c r="C17" s="95">
        <f>IF(inputPrYr!D48&gt;0,inputPrYr!D48,"  ")</f>
        <v>0.339</v>
      </c>
      <c r="D17" s="92">
        <f>IF(gen!$D$46&lt;&gt;0,gen!$D$46,"  ")</f>
        <v>12150</v>
      </c>
      <c r="E17" s="95">
        <f>IF(inputOth!D37&gt;0,inputOth!D37,"  ")</f>
        <v>1.775</v>
      </c>
      <c r="F17" s="92">
        <f>IF(gen!$E$46&lt;&gt;0,gen!$E$46,"  ")</f>
        <v>15150</v>
      </c>
      <c r="G17" s="92">
        <f>IF(gen!$E$53&lt;&gt;0,gen!$E$53,"")</f>
        <v>11075.05</v>
      </c>
      <c r="H17" s="95">
        <f>IF(gen!E53&gt;0,ROUND(G17/F38*1000,3)," ")</f>
        <v>1.752</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60917.280000000006</v>
      </c>
      <c r="C19" s="95">
        <f>IF(inputPrYr!D50&gt;0,inputPrYr!D50,"  ")</f>
        <v>9.391</v>
      </c>
      <c r="D19" s="92">
        <f>IF(road!$D$41&lt;&gt;0,road!$D$41,"  ")</f>
        <v>74740</v>
      </c>
      <c r="E19" s="95">
        <f>IF(inputOth!D39&gt;0,inputOth!D39,"  ")</f>
        <v>11.175</v>
      </c>
      <c r="F19" s="92">
        <f>IF(road!$E$41&lt;&gt;0,road!$E$41,"  ")</f>
        <v>85240</v>
      </c>
      <c r="G19" s="92">
        <f>IF(road!$E$48&lt;&gt;0,road!$E$48,"  ")</f>
        <v>58942.92</v>
      </c>
      <c r="H19" s="95">
        <f>IF(road!E48&gt;0,ROUND(G19/F39*1000,3)," ")</f>
        <v>10.199</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6321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5779</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12.950000000000001</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5642.080000000002</v>
      </c>
    </row>
    <row r="32" spans="1:13" ht="15.75">
      <c r="A32" s="92" t="str">
        <f>IF((inputPrYr!$B40&gt;"  "),(nonbud!$A3),"  ")</f>
        <v>  </v>
      </c>
      <c r="B32" s="267" t="str">
        <f>IF((nonbud!$K$28)&lt;&gt;0,(nonbud!$K$28),"  ")</f>
        <v>  </v>
      </c>
      <c r="C32" s="362"/>
      <c r="D32" s="92"/>
      <c r="E32" s="95"/>
      <c r="F32" s="92"/>
      <c r="G32" s="92"/>
      <c r="H32" s="95"/>
      <c r="J32" s="576" t="s">
        <v>772</v>
      </c>
      <c r="K32" s="564"/>
      <c r="L32" s="564"/>
      <c r="M32" s="575">
        <f>M44*-1</f>
        <v>144.95000000000073</v>
      </c>
    </row>
    <row r="33" spans="1:13" ht="16.5" thickBot="1">
      <c r="A33" s="108" t="s">
        <v>267</v>
      </c>
      <c r="B33" s="509" t="str">
        <f>IF(road!C62&lt;&gt;0,road!C62,"  ")</f>
        <v>  </v>
      </c>
      <c r="C33" s="510"/>
      <c r="D33" s="510"/>
      <c r="E33" s="510"/>
      <c r="F33" s="510"/>
      <c r="G33" s="510"/>
      <c r="H33" s="510"/>
      <c r="J33" s="574"/>
      <c r="K33" s="574"/>
      <c r="L33" s="574"/>
      <c r="M33" s="574"/>
    </row>
    <row r="34" spans="1:13" ht="15.75">
      <c r="A34" s="108" t="s">
        <v>268</v>
      </c>
      <c r="B34" s="507">
        <f aca="true" t="shared" si="0" ref="B34:H34">SUM(B17:B33)</f>
        <v>71325.08</v>
      </c>
      <c r="C34" s="508">
        <f t="shared" si="0"/>
        <v>9.73</v>
      </c>
      <c r="D34" s="507">
        <f t="shared" si="0"/>
        <v>86890</v>
      </c>
      <c r="E34" s="508">
        <f t="shared" si="0"/>
        <v>12.950000000000001</v>
      </c>
      <c r="F34" s="507">
        <f t="shared" si="0"/>
        <v>100390</v>
      </c>
      <c r="G34" s="507">
        <f t="shared" si="0"/>
        <v>70017.97</v>
      </c>
      <c r="H34" s="508">
        <f t="shared" si="0"/>
        <v>11.951</v>
      </c>
      <c r="J34" s="697" t="str">
        <f>CONCATENATE("Impact On Keeping The Same Mill Rate As For ",H1-1,"")</f>
        <v>Impact On Keeping The Same Mill Rate As For 2011</v>
      </c>
      <c r="K34" s="700"/>
      <c r="L34" s="700"/>
      <c r="M34" s="701"/>
    </row>
    <row r="35" spans="1:13" ht="15.75">
      <c r="A35" s="108" t="s">
        <v>318</v>
      </c>
      <c r="B35" s="92">
        <f>transfer!C29</f>
        <v>16900</v>
      </c>
      <c r="C35" s="66"/>
      <c r="D35" s="92">
        <f>transfer!D29</f>
        <v>0</v>
      </c>
      <c r="E35" s="213"/>
      <c r="F35" s="92">
        <f>transfer!E29</f>
        <v>0</v>
      </c>
      <c r="G35" s="66"/>
      <c r="H35" s="66"/>
      <c r="J35" s="582"/>
      <c r="K35" s="587"/>
      <c r="L35" s="587"/>
      <c r="M35" s="581"/>
    </row>
    <row r="36" spans="1:13" ht="16.5" thickBot="1">
      <c r="A36" s="108" t="s">
        <v>319</v>
      </c>
      <c r="B36" s="511">
        <f>B34-B35</f>
        <v>54425.08</v>
      </c>
      <c r="C36" s="66"/>
      <c r="D36" s="511">
        <f>D34-D35</f>
        <v>86890</v>
      </c>
      <c r="E36" s="66"/>
      <c r="F36" s="511">
        <f>F34-F35</f>
        <v>100390</v>
      </c>
      <c r="G36" s="66"/>
      <c r="H36" s="66"/>
      <c r="J36" s="582" t="str">
        <f>CONCATENATE("",H1," Ad Valorem Tax Rev(Township Only):")</f>
        <v>2012 Ad Valorem Tax Rev(Township Only):</v>
      </c>
      <c r="K36" s="587"/>
      <c r="L36" s="587"/>
      <c r="M36" s="586">
        <f>SUM(G19:G22)</f>
        <v>58942.92</v>
      </c>
    </row>
    <row r="37" spans="1:13" ht="16.5" thickTop="1">
      <c r="A37" s="108" t="s">
        <v>0</v>
      </c>
      <c r="B37" s="236">
        <f>inputPrYr!E61</f>
        <v>66000</v>
      </c>
      <c r="C37" s="213"/>
      <c r="D37" s="236">
        <f>inputPrYr!E31</f>
        <v>63343</v>
      </c>
      <c r="E37" s="66"/>
      <c r="F37" s="512" t="s">
        <v>269</v>
      </c>
      <c r="G37" s="66"/>
      <c r="H37" s="66"/>
      <c r="J37" s="582" t="str">
        <f>CONCATENATE("",H1," Ad Valorem Tax Rev(Township Tot):")</f>
        <v>2012 Ad Valorem Tax Rev(Township Tot):</v>
      </c>
      <c r="K37" s="587"/>
      <c r="L37" s="587"/>
      <c r="M37" s="600">
        <f>SUM(G17,G18,G23,G24,G25,G26,G27)</f>
        <v>11075.05</v>
      </c>
    </row>
    <row r="38" spans="1:13" ht="15.75">
      <c r="A38" s="108" t="s">
        <v>193</v>
      </c>
      <c r="B38" s="92">
        <f>inputPrYr!E62</f>
        <v>6347373</v>
      </c>
      <c r="C38" s="213"/>
      <c r="D38" s="92">
        <f>inputOth!E54</f>
        <v>5341089</v>
      </c>
      <c r="E38" s="213"/>
      <c r="F38" s="92">
        <f>inputOth!E11</f>
        <v>6321361</v>
      </c>
      <c r="G38" s="66"/>
      <c r="H38" s="66"/>
      <c r="J38" s="582" t="str">
        <f>CONCATENATE("Total ",H1," Ad Valorem Tax Revenue:")</f>
        <v>Total 2012 Ad Valorem Tax Revenue:</v>
      </c>
      <c r="K38" s="541"/>
      <c r="L38" s="541"/>
      <c r="M38" s="601">
        <f>M36+M37</f>
        <v>70017.97</v>
      </c>
    </row>
    <row r="39" spans="1:14" ht="15.75">
      <c r="A39" s="82" t="s">
        <v>249</v>
      </c>
      <c r="B39" s="214"/>
      <c r="C39" s="66"/>
      <c r="D39" s="182"/>
      <c r="E39" s="66"/>
      <c r="F39" s="92">
        <f>inputOth!E8</f>
        <v>5779438</v>
      </c>
      <c r="G39" s="66"/>
      <c r="H39" s="66"/>
      <c r="J39" s="582" t="str">
        <f>CONCATENATE("",H1-1," Ad Valorem Tax Rev(Township Only):")</f>
        <v>2011 Ad Valorem Tax Rev(Township Only):</v>
      </c>
      <c r="K39" s="587"/>
      <c r="L39" s="587"/>
      <c r="M39" s="602">
        <f>ROUND(SUM(E19:E22)*F39/1000,0)</f>
        <v>64585</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11220</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75805</v>
      </c>
      <c r="O41" s="594"/>
    </row>
    <row r="42" spans="1:13" ht="15.75">
      <c r="A42" s="74" t="s">
        <v>2</v>
      </c>
      <c r="B42" s="215">
        <f>H1-3</f>
        <v>2009</v>
      </c>
      <c r="C42" s="66"/>
      <c r="D42" s="215">
        <f>H1-2</f>
        <v>2010</v>
      </c>
      <c r="E42" s="66"/>
      <c r="F42" s="215">
        <f>H1-1</f>
        <v>2011</v>
      </c>
      <c r="G42" s="66"/>
      <c r="H42" s="66"/>
      <c r="J42" s="579" t="s">
        <v>762</v>
      </c>
      <c r="K42" s="578"/>
      <c r="L42" s="578"/>
      <c r="M42" s="577">
        <f>M38-M41</f>
        <v>-5787.029999999999</v>
      </c>
    </row>
    <row r="43" spans="1:13" ht="15.75">
      <c r="A43" s="74" t="s">
        <v>3</v>
      </c>
      <c r="B43" s="85">
        <f>inputPrYr!D65</f>
        <v>0</v>
      </c>
      <c r="C43" s="71"/>
      <c r="D43" s="85">
        <f>inputPrYr!E65</f>
        <v>0</v>
      </c>
      <c r="E43" s="71"/>
      <c r="F43" s="85">
        <f>debt!E11</f>
        <v>0</v>
      </c>
      <c r="G43" s="66"/>
      <c r="H43" s="66"/>
      <c r="J43" s="605" t="s">
        <v>767</v>
      </c>
      <c r="K43" s="606"/>
      <c r="L43" s="606"/>
      <c r="M43" s="601">
        <f>M36-M39</f>
        <v>-5642.080000000002</v>
      </c>
    </row>
    <row r="44" spans="1:13" ht="15.75">
      <c r="A44" s="74" t="s">
        <v>295</v>
      </c>
      <c r="B44" s="85">
        <f>inputPrYr!D66</f>
        <v>0</v>
      </c>
      <c r="C44" s="71"/>
      <c r="D44" s="85">
        <f>inputPrYr!E66</f>
        <v>0</v>
      </c>
      <c r="E44" s="71"/>
      <c r="F44" s="85">
        <f>debt!E15</f>
        <v>0</v>
      </c>
      <c r="G44" s="66"/>
      <c r="H44" s="390"/>
      <c r="J44" s="576" t="s">
        <v>766</v>
      </c>
      <c r="K44" s="564"/>
      <c r="L44" s="564"/>
      <c r="M44" s="575">
        <f>M37-M40</f>
        <v>-144.95000000000073</v>
      </c>
    </row>
    <row r="45" spans="1:8" ht="15.75">
      <c r="A45" s="74" t="s">
        <v>758</v>
      </c>
      <c r="B45" s="85">
        <f>inputPrYr!D67</f>
        <v>0</v>
      </c>
      <c r="C45" s="71"/>
      <c r="D45" s="85">
        <f>inputPrYr!E67</f>
        <v>90906</v>
      </c>
      <c r="E45" s="71"/>
      <c r="F45" s="85">
        <f>debt!F36</f>
        <v>82150</v>
      </c>
      <c r="G45" s="66"/>
      <c r="H45" s="66"/>
    </row>
    <row r="46" spans="1:13" ht="16.5" thickBot="1">
      <c r="A46" s="74" t="s">
        <v>4</v>
      </c>
      <c r="B46" s="102">
        <f>SUM(B43:B45)</f>
        <v>0</v>
      </c>
      <c r="C46" s="71"/>
      <c r="D46" s="102">
        <f>SUM(D43:D45)</f>
        <v>90906</v>
      </c>
      <c r="E46" s="71"/>
      <c r="F46" s="102">
        <f>SUM(F43:F45)</f>
        <v>82150</v>
      </c>
      <c r="G46" s="66"/>
      <c r="H46" s="66"/>
      <c r="J46" s="697" t="s">
        <v>763</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Valley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6321361</v>
      </c>
      <c r="E20" s="66"/>
      <c r="F20" s="196"/>
    </row>
    <row r="21" spans="1:6" ht="15.75">
      <c r="A21" s="66"/>
      <c r="B21" s="66"/>
      <c r="C21" s="66"/>
      <c r="D21" s="66"/>
      <c r="E21" s="66"/>
      <c r="F21" s="196"/>
    </row>
    <row r="22" spans="1:6" ht="15.75">
      <c r="A22" s="66"/>
      <c r="B22" s="711" t="s">
        <v>390</v>
      </c>
      <c r="C22" s="711"/>
      <c r="D22" s="372">
        <f>IF(D20&gt;0,(D20*0.001),"")</f>
        <v>6321.361</v>
      </c>
      <c r="E22" s="66"/>
      <c r="F22" s="196"/>
    </row>
    <row r="23" spans="1:6" ht="15.75">
      <c r="A23" s="66"/>
      <c r="B23" s="121"/>
      <c r="C23" s="121"/>
      <c r="D23" s="373"/>
      <c r="E23" s="66"/>
      <c r="F23" s="196"/>
    </row>
    <row r="24" spans="1:6" ht="15.75">
      <c r="A24" s="709" t="s">
        <v>391</v>
      </c>
      <c r="B24" s="668"/>
      <c r="C24" s="668"/>
      <c r="D24" s="374">
        <f>inputOth!E33</f>
        <v>0</v>
      </c>
      <c r="E24" s="183"/>
      <c r="F24" s="183"/>
    </row>
    <row r="25" spans="1:6" ht="15.75">
      <c r="A25" s="183"/>
      <c r="B25" s="183"/>
      <c r="C25" s="183"/>
      <c r="D25" s="375"/>
      <c r="E25" s="183"/>
      <c r="F25" s="183"/>
    </row>
    <row r="26" spans="1:6" ht="15.75">
      <c r="A26" s="183"/>
      <c r="B26" s="709" t="s">
        <v>392</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84</v>
      </c>
      <c r="B1" s="717"/>
      <c r="C1" s="717"/>
      <c r="D1" s="717"/>
      <c r="E1" s="717"/>
      <c r="F1" s="717"/>
      <c r="G1" s="717"/>
    </row>
    <row r="2" ht="15.75">
      <c r="A2" s="21"/>
    </row>
    <row r="3" spans="1:7" ht="15.75">
      <c r="A3" s="718" t="s">
        <v>85</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Valley Township </v>
      </c>
      <c r="I6">
        <f>CONCATENATE(I7)</f>
      </c>
    </row>
    <row r="7" spans="1:7" ht="15.75">
      <c r="A7" s="719" t="str">
        <f>CONCATENATE("   with respect to financing the ",inputPrYr!D9," annual budget for ",(inputPrYr!D3)," , ",(inputPrYr!D4)," , Kansas.")</f>
        <v>   with respect to financing the 2012 annual budget for Valley Township , Rice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Valley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91</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87</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Valley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Valley Township of Rice County, Kansas that is our desire to notify the public of increased property taxes to finance the 2012 Valley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Valley Township Board, Rice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Valley Township Board</v>
      </c>
      <c r="E33" s="713"/>
      <c r="F33" s="713"/>
      <c r="G33" s="713"/>
    </row>
    <row r="35" spans="4:7" ht="15.75">
      <c r="D35" s="712" t="s">
        <v>89</v>
      </c>
      <c r="E35" s="712"/>
      <c r="F35" s="712"/>
      <c r="G35" s="712"/>
    </row>
    <row r="36" spans="1:7" ht="15.75">
      <c r="A36" s="25"/>
      <c r="D36" s="712" t="s">
        <v>93</v>
      </c>
      <c r="E36" s="712"/>
      <c r="F36" s="712"/>
      <c r="G36" s="712"/>
    </row>
    <row r="37" spans="4:7" ht="15.75">
      <c r="D37" s="712"/>
      <c r="E37" s="712"/>
      <c r="F37" s="712"/>
      <c r="G37" s="712"/>
    </row>
    <row r="38" spans="4:7" ht="15.75">
      <c r="D38" s="712" t="s">
        <v>89</v>
      </c>
      <c r="E38" s="712"/>
      <c r="F38" s="712"/>
      <c r="G38" s="712"/>
    </row>
    <row r="39" spans="1:7" ht="15.75">
      <c r="A39" s="24"/>
      <c r="D39" s="712" t="s">
        <v>94</v>
      </c>
      <c r="E39" s="712"/>
      <c r="F39" s="712"/>
      <c r="G39" s="712"/>
    </row>
    <row r="40" spans="4:7" ht="15.75">
      <c r="D40" s="712"/>
      <c r="E40" s="712"/>
      <c r="F40" s="712"/>
      <c r="G40" s="712"/>
    </row>
    <row r="41" spans="4:7" ht="15.75">
      <c r="D41" s="712" t="s">
        <v>92</v>
      </c>
      <c r="E41" s="712"/>
      <c r="F41" s="712"/>
      <c r="G41" s="712"/>
    </row>
    <row r="42" spans="1:7" ht="15.75">
      <c r="A42" s="24"/>
      <c r="D42" s="712" t="s">
        <v>95</v>
      </c>
      <c r="E42" s="712"/>
      <c r="F42" s="712"/>
      <c r="G42" s="712"/>
    </row>
    <row r="43" ht="15.75">
      <c r="A43" s="26"/>
    </row>
    <row r="44" ht="15.75">
      <c r="A44" s="26"/>
    </row>
    <row r="45" ht="15.75">
      <c r="A45" s="26" t="s">
        <v>90</v>
      </c>
    </row>
    <row r="50" spans="3:4" ht="15.7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Valley Township</v>
      </c>
      <c r="B1" s="30"/>
      <c r="C1" s="30"/>
      <c r="D1" s="30"/>
      <c r="E1" s="30">
        <f>inputPrYr!D9</f>
        <v>2012</v>
      </c>
    </row>
    <row r="2" spans="1:5" ht="15.75">
      <c r="A2" s="42" t="str">
        <f>inputPrYr!D4</f>
        <v>Rice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5779438</v>
      </c>
    </row>
    <row r="9" spans="1:5" ht="15.75">
      <c r="A9" s="15" t="str">
        <f>inputPrYr!$D$6</f>
        <v>Alden</v>
      </c>
      <c r="B9" s="16"/>
      <c r="C9" s="16"/>
      <c r="D9" s="16"/>
      <c r="E9" s="35">
        <v>541923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6321361</v>
      </c>
    </row>
    <row r="12" spans="1:5" ht="15.75">
      <c r="A12" s="55" t="str">
        <f>CONCATENATE("New Improvements for ",E1-1,":")</f>
        <v>New Improvements for 2011:</v>
      </c>
      <c r="B12" s="10"/>
      <c r="C12" s="10"/>
      <c r="D12" s="10"/>
      <c r="E12" s="34"/>
    </row>
    <row r="13" spans="1:5" ht="15.75">
      <c r="A13" s="13" t="s">
        <v>165</v>
      </c>
      <c r="B13" s="14"/>
      <c r="C13" s="14"/>
      <c r="D13" s="14"/>
      <c r="E13" s="53">
        <v>0</v>
      </c>
    </row>
    <row r="14" spans="1:5" ht="15.75">
      <c r="A14" s="15" t="str">
        <f>inputPrYr!$D$6</f>
        <v>Alden</v>
      </c>
      <c r="B14" s="14"/>
      <c r="C14" s="14"/>
      <c r="D14" s="14"/>
      <c r="E14" s="3">
        <v>11526</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11526</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43257</v>
      </c>
    </row>
    <row r="19" spans="1:5" ht="15.75">
      <c r="A19" s="15" t="str">
        <f>inputPrYr!$D$6</f>
        <v>Alden</v>
      </c>
      <c r="B19" s="16"/>
      <c r="C19" s="16"/>
      <c r="D19" s="16"/>
      <c r="E19" s="3">
        <v>34308</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77565</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744</v>
      </c>
    </row>
    <row r="24" spans="1:5" ht="15.75">
      <c r="A24" s="15" t="str">
        <f>inputPrYr!$D$6</f>
        <v>Alden</v>
      </c>
      <c r="B24" s="16"/>
      <c r="C24" s="16"/>
      <c r="D24" s="16"/>
      <c r="E24" s="3">
        <v>10575</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11319</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46198</v>
      </c>
    </row>
    <row r="29" spans="1:5" ht="15.75">
      <c r="A29" s="15" t="str">
        <f>inputPrYr!$D$6</f>
        <v>Alden</v>
      </c>
      <c r="B29" s="16"/>
      <c r="C29" s="16"/>
      <c r="D29" s="16"/>
      <c r="E29" s="3">
        <v>39538</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85736</v>
      </c>
    </row>
    <row r="32" spans="1:5" ht="15.75">
      <c r="A32" s="15" t="str">
        <f>CONCATENATE("Gross earnings (intangible) tax estimate for ",E1,"")</f>
        <v>Gross earnings (intangible) tax estimate for 2012</v>
      </c>
      <c r="B32" s="16"/>
      <c r="C32" s="16"/>
      <c r="D32" s="16"/>
      <c r="E32" s="3">
        <v>139</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1.775</v>
      </c>
      <c r="E37" s="36"/>
    </row>
    <row r="38" spans="1:5" ht="15.75">
      <c r="A38" s="13" t="str">
        <f>inputPrYr!B21</f>
        <v>Debt Service</v>
      </c>
      <c r="B38" s="16"/>
      <c r="C38" s="10"/>
      <c r="D38" s="50"/>
      <c r="E38" s="36"/>
    </row>
    <row r="39" spans="1:5" ht="15.75">
      <c r="A39" s="13" t="str">
        <f>inputPrYr!B22</f>
        <v>Road</v>
      </c>
      <c r="B39" s="16"/>
      <c r="C39" s="10"/>
      <c r="D39" s="50">
        <v>11.175</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12.950000000000001</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4720186</v>
      </c>
    </row>
    <row r="52" spans="1:5" ht="15.75">
      <c r="A52" s="16" t="str">
        <f>inputPrYr!D6</f>
        <v>Alden</v>
      </c>
      <c r="B52" s="16"/>
      <c r="C52" s="16"/>
      <c r="D52" s="20"/>
      <c r="E52" s="4">
        <v>620903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5341089</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1780.47</v>
      </c>
    </row>
    <row r="59" spans="1:5" ht="15.75">
      <c r="A59" s="15" t="s">
        <v>256</v>
      </c>
      <c r="B59" s="16"/>
      <c r="C59" s="16"/>
      <c r="D59" s="40"/>
      <c r="E59" s="2">
        <v>33.32</v>
      </c>
    </row>
    <row r="60" spans="1:5" ht="15.75">
      <c r="A60" s="15" t="s">
        <v>116</v>
      </c>
      <c r="B60" s="16"/>
      <c r="C60" s="16"/>
      <c r="D60" s="40"/>
      <c r="E60" s="2">
        <v>19.44</v>
      </c>
    </row>
    <row r="61" spans="1:5" ht="15.75">
      <c r="A61" s="45" t="s">
        <v>161</v>
      </c>
      <c r="B61" s="46"/>
      <c r="C61" s="16"/>
      <c r="D61" s="40"/>
      <c r="E61" s="31"/>
    </row>
    <row r="62" spans="1:5" ht="15.75">
      <c r="A62" s="13" t="s">
        <v>158</v>
      </c>
      <c r="B62" s="16"/>
      <c r="C62" s="16"/>
      <c r="D62" s="40"/>
      <c r="E62" s="2">
        <v>459.61</v>
      </c>
    </row>
    <row r="63" spans="1:5" ht="15.75">
      <c r="A63" s="15" t="s">
        <v>159</v>
      </c>
      <c r="B63" s="16"/>
      <c r="C63" s="16"/>
      <c r="D63" s="40"/>
      <c r="E63" s="2">
        <v>19.98</v>
      </c>
    </row>
    <row r="64" spans="1:5" ht="15.75">
      <c r="A64" s="15" t="s">
        <v>160</v>
      </c>
      <c r="B64" s="16"/>
      <c r="C64" s="16"/>
      <c r="D64" s="40"/>
      <c r="E64" s="2">
        <v>0.05</v>
      </c>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2471.05</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12150</v>
      </c>
      <c r="C83" s="60" t="s">
        <v>188</v>
      </c>
      <c r="D83" s="63"/>
      <c r="E83" s="63"/>
    </row>
    <row r="84" spans="1:5" ht="15.75">
      <c r="A84" s="62" t="str">
        <f>inputPrYr!B21</f>
        <v>Debt Service</v>
      </c>
      <c r="B84" s="4"/>
      <c r="C84" s="60"/>
      <c r="D84" s="63"/>
      <c r="E84" s="63"/>
    </row>
    <row r="85" spans="1:5" ht="15.75">
      <c r="A85" s="62" t="str">
        <f>inputPrYr!B22</f>
        <v>Road</v>
      </c>
      <c r="B85" s="4">
        <v>81740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4.25">
      <c r="A8" s="427"/>
      <c r="B8" s="726" t="s">
        <v>685</v>
      </c>
      <c r="C8" s="726"/>
      <c r="D8" s="726"/>
      <c r="E8" s="726"/>
      <c r="F8" s="726"/>
      <c r="G8" s="726"/>
      <c r="H8" s="726"/>
      <c r="I8" s="726"/>
      <c r="J8" s="726"/>
      <c r="K8" s="726"/>
      <c r="L8" s="427"/>
    </row>
    <row r="9" spans="1:12" ht="14.25">
      <c r="A9" s="427"/>
      <c r="L9" s="427"/>
    </row>
    <row r="10" spans="1:12" ht="14.25">
      <c r="A10" s="427"/>
      <c r="B10" s="726" t="s">
        <v>686</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21">
        <v>133685008</v>
      </c>
      <c r="G23" s="721"/>
      <c r="L23" s="427"/>
    </row>
    <row r="24" spans="1:12" ht="14.25">
      <c r="A24" s="427"/>
      <c r="L24" s="427"/>
    </row>
    <row r="25" spans="1:12" ht="14.25">
      <c r="A25" s="427"/>
      <c r="C25" s="728">
        <f>F23</f>
        <v>133685008</v>
      </c>
      <c r="D25" s="728"/>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4.25">
      <c r="A31" s="427"/>
      <c r="B31" s="726" t="s">
        <v>698</v>
      </c>
      <c r="C31" s="726"/>
      <c r="D31" s="726"/>
      <c r="E31" s="726"/>
      <c r="F31" s="726"/>
      <c r="G31" s="726"/>
      <c r="H31" s="726"/>
      <c r="I31" s="726"/>
      <c r="J31" s="726"/>
      <c r="K31" s="726"/>
      <c r="L31" s="427"/>
    </row>
    <row r="32" spans="1:12" ht="14.25">
      <c r="A32" s="427"/>
      <c r="L32" s="427"/>
    </row>
    <row r="33" spans="1:12" ht="14.25">
      <c r="A33" s="427"/>
      <c r="B33" s="726" t="s">
        <v>699</v>
      </c>
      <c r="C33" s="726"/>
      <c r="D33" s="726"/>
      <c r="E33" s="726"/>
      <c r="F33" s="726"/>
      <c r="G33" s="726"/>
      <c r="H33" s="726"/>
      <c r="I33" s="726"/>
      <c r="J33" s="726"/>
      <c r="K33" s="726"/>
      <c r="L33" s="427"/>
    </row>
    <row r="34" spans="1:12" ht="14.25">
      <c r="A34" s="427"/>
      <c r="L34" s="427"/>
    </row>
    <row r="35" spans="1:12" ht="89.25" customHeight="1">
      <c r="A35" s="427"/>
      <c r="B35" s="727" t="s">
        <v>700</v>
      </c>
      <c r="C35" s="730"/>
      <c r="D35" s="730"/>
      <c r="E35" s="730"/>
      <c r="F35" s="730"/>
      <c r="G35" s="730"/>
      <c r="H35" s="730"/>
      <c r="I35" s="730"/>
      <c r="J35" s="730"/>
      <c r="K35" s="730"/>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31">
        <v>3120000</v>
      </c>
      <c r="D41" s="731"/>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21">
        <v>133685008</v>
      </c>
      <c r="C48" s="721"/>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32" t="s">
        <v>708</v>
      </c>
      <c r="H50" s="733"/>
      <c r="I50" s="439" t="s">
        <v>694</v>
      </c>
      <c r="J50" s="449">
        <f>B50/F50</f>
        <v>52.8690023342034</v>
      </c>
      <c r="K50" s="441"/>
      <c r="L50" s="427"/>
    </row>
    <row r="51" spans="1:15" ht="1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4.25">
      <c r="A53" s="427"/>
      <c r="B53" s="726" t="s">
        <v>710</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21">
        <v>133685008</v>
      </c>
      <c r="D74" s="721"/>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21">
        <v>5000</v>
      </c>
      <c r="D77" s="721"/>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21">
        <v>100000</v>
      </c>
      <c r="D80" s="721"/>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4.25">
      <c r="A86" s="427"/>
      <c r="B86" s="722" t="s">
        <v>732</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733</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21">
        <v>133685008</v>
      </c>
      <c r="D114" s="721"/>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21">
        <v>2500000</v>
      </c>
      <c r="D120" s="721"/>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4.25">
      <c r="A126" s="427"/>
      <c r="B126" s="722" t="s">
        <v>739</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740</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50" t="s">
        <v>742</v>
      </c>
      <c r="D133" s="750"/>
      <c r="E133" s="438"/>
      <c r="F133" s="439" t="s">
        <v>743</v>
      </c>
      <c r="G133" s="438"/>
      <c r="H133" s="750" t="s">
        <v>728</v>
      </c>
      <c r="I133" s="750"/>
      <c r="J133" s="438"/>
      <c r="K133" s="441"/>
      <c r="L133" s="427"/>
    </row>
    <row r="134" spans="1:12" ht="14.25">
      <c r="A134" s="427"/>
      <c r="B134" s="447" t="s">
        <v>721</v>
      </c>
      <c r="C134" s="721">
        <v>100000</v>
      </c>
      <c r="D134" s="721"/>
      <c r="E134" s="439" t="s">
        <v>269</v>
      </c>
      <c r="F134" s="439">
        <v>0.115</v>
      </c>
      <c r="G134" s="439" t="s">
        <v>694</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728</v>
      </c>
      <c r="D136" s="741"/>
      <c r="E136" s="458"/>
      <c r="F136" s="459" t="s">
        <v>744</v>
      </c>
      <c r="G136" s="459"/>
      <c r="H136" s="458"/>
      <c r="I136" s="458"/>
      <c r="J136" s="458" t="s">
        <v>745</v>
      </c>
      <c r="K136" s="460"/>
      <c r="L136" s="427"/>
    </row>
    <row r="137" spans="1:12" ht="14.2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40" t="s">
        <v>749</v>
      </c>
      <c r="D147" s="740"/>
      <c r="E147" s="439"/>
      <c r="F147" s="499" t="s">
        <v>750</v>
      </c>
      <c r="G147" s="439"/>
      <c r="H147" s="439"/>
      <c r="I147" s="439"/>
      <c r="J147" s="746" t="s">
        <v>751</v>
      </c>
      <c r="K147" s="747"/>
      <c r="L147" s="427"/>
    </row>
    <row r="148" spans="1:12" ht="14.2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9" sqref="C9"/>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842</v>
      </c>
      <c r="C5" s="395"/>
      <c r="D5" s="220" t="s">
        <v>824</v>
      </c>
    </row>
    <row r="6" spans="1:4" ht="15.75">
      <c r="A6" s="220"/>
      <c r="B6" s="396"/>
      <c r="C6" s="397"/>
      <c r="D6" s="220" t="s">
        <v>823</v>
      </c>
    </row>
    <row r="7" spans="1:4" ht="15.75">
      <c r="A7" s="220" t="s">
        <v>401</v>
      </c>
      <c r="B7" s="394" t="s">
        <v>843</v>
      </c>
      <c r="C7" s="398"/>
      <c r="D7" s="220"/>
    </row>
    <row r="8" spans="1:4" ht="15.75">
      <c r="A8" s="220"/>
      <c r="B8" s="220"/>
      <c r="C8" s="220"/>
      <c r="D8" s="220"/>
    </row>
    <row r="9" spans="1:5" ht="15.75">
      <c r="A9" s="220" t="s">
        <v>402</v>
      </c>
      <c r="B9" s="399" t="s">
        <v>844</v>
      </c>
      <c r="C9" s="399"/>
      <c r="D9" s="399"/>
      <c r="E9" s="400"/>
    </row>
    <row r="10" spans="1:4" ht="15.75">
      <c r="A10" s="220"/>
      <c r="B10" s="220"/>
      <c r="C10" s="220"/>
      <c r="D10" s="220"/>
    </row>
    <row r="11" spans="1:4" ht="15.75">
      <c r="A11" s="220"/>
      <c r="B11" s="220"/>
      <c r="C11" s="220"/>
      <c r="D11" s="220"/>
    </row>
    <row r="12" spans="1:5" ht="15.75">
      <c r="A12" s="220" t="s">
        <v>403</v>
      </c>
      <c r="B12" s="399" t="s">
        <v>841</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Rice County, State of Kansas</v>
      </c>
      <c r="B3" s="655"/>
      <c r="C3" s="655"/>
      <c r="D3" s="655"/>
      <c r="E3" s="655"/>
      <c r="F3" s="655"/>
      <c r="G3" s="655"/>
    </row>
    <row r="4" spans="1:6" s="66" customFormat="1" ht="15.75">
      <c r="A4" s="70" t="s">
        <v>107</v>
      </c>
      <c r="B4" s="67"/>
      <c r="C4" s="67"/>
      <c r="D4" s="67"/>
      <c r="E4" s="67"/>
      <c r="F4" s="67"/>
    </row>
    <row r="5" s="66" customFormat="1" ht="15.75">
      <c r="C5" s="607" t="str">
        <f>inputPrYr!D3</f>
        <v>Valley Township</v>
      </c>
    </row>
    <row r="6" spans="1:6" s="66" customFormat="1" ht="15.75">
      <c r="A6" s="659" t="s">
        <v>105</v>
      </c>
      <c r="B6" s="655"/>
      <c r="C6" s="655"/>
      <c r="D6" s="655"/>
      <c r="E6" s="655"/>
      <c r="F6" s="655"/>
    </row>
    <row r="7" spans="1:6" s="66" customFormat="1" ht="15.75" customHeight="1">
      <c r="A7" s="654" t="s">
        <v>106</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257</v>
      </c>
      <c r="E12" s="651" t="str">
        <f>CONCATENATE("Amount of ",G1-1," Ad Valorem Tax")</f>
        <v>Amount of 2011 Ad Valorem Tax</v>
      </c>
      <c r="F12" s="76" t="s">
        <v>258</v>
      </c>
    </row>
    <row r="13" spans="3:6" s="66" customFormat="1" ht="15.75">
      <c r="C13" s="76" t="s">
        <v>259</v>
      </c>
      <c r="D13" s="529" t="s">
        <v>186</v>
      </c>
      <c r="E13" s="652"/>
      <c r="F13" s="78" t="s">
        <v>260</v>
      </c>
    </row>
    <row r="14" spans="1:6" s="66" customFormat="1" ht="15.75">
      <c r="A14" s="79" t="s">
        <v>261</v>
      </c>
      <c r="B14" s="80"/>
      <c r="C14" s="81" t="s">
        <v>262</v>
      </c>
      <c r="D14" s="530" t="s">
        <v>752</v>
      </c>
      <c r="E14" s="653"/>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15150</v>
      </c>
      <c r="E20" s="85">
        <f>IF(gen!$E$53&lt;&gt;0,gen!$E$53,0)</f>
        <v>11075.05</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85240</v>
      </c>
      <c r="E22" s="85">
        <f>IF(road!$E$48&lt;&gt;0,road!$E$48,"  ")</f>
        <v>58942.92</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100390</v>
      </c>
      <c r="E37" s="102">
        <f>SUM(E20:E36)</f>
        <v>70017.97</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Yes</v>
      </c>
    </row>
    <row r="40" spans="1:5" s="66" customFormat="1" ht="15.75">
      <c r="A40" s="87" t="s">
        <v>112</v>
      </c>
      <c r="B40" s="83"/>
      <c r="C40" s="98">
        <f>IF(Resolution!D50&gt;0,Resolution!D50,"")</f>
      </c>
      <c r="D40" s="106"/>
      <c r="E40" s="107"/>
    </row>
    <row r="41" spans="1:6" s="66" customFormat="1" ht="15.75">
      <c r="A41" s="82" t="s">
        <v>53</v>
      </c>
      <c r="B41" s="661" t="s">
        <v>79</v>
      </c>
      <c r="C41" s="662"/>
      <c r="D41" s="109"/>
      <c r="F41" s="74" t="s">
        <v>270</v>
      </c>
    </row>
    <row r="42" spans="1:6" s="66" customFormat="1" ht="15.75">
      <c r="A42" s="82" t="str">
        <f>inputPrYr!D3</f>
        <v>Valley Township</v>
      </c>
      <c r="B42" s="663"/>
      <c r="C42" s="664"/>
      <c r="D42" s="110"/>
      <c r="F42" s="74"/>
    </row>
    <row r="43" spans="1:6" s="66" customFormat="1" ht="15.75">
      <c r="A43" s="82" t="str">
        <f>inputPrYr!D6</f>
        <v>Alden</v>
      </c>
      <c r="B43" s="663"/>
      <c r="C43" s="671"/>
      <c r="D43" s="110"/>
      <c r="F43" s="74"/>
    </row>
    <row r="44" spans="1:6" s="66" customFormat="1" ht="15.75">
      <c r="A44" s="82">
        <f>inputPrYr!D7</f>
        <v>0</v>
      </c>
      <c r="B44" s="663"/>
      <c r="C44" s="671"/>
      <c r="D44" s="110"/>
      <c r="F44" s="74"/>
    </row>
    <row r="45" spans="1:6" s="66" customFormat="1" ht="15.75">
      <c r="A45" s="82" t="s">
        <v>193</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67" t="s">
        <v>272</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Valley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63343</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63343</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11526</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77565</v>
      </c>
      <c r="F14" s="270"/>
      <c r="G14" s="194"/>
      <c r="H14" s="194"/>
      <c r="I14" s="274"/>
      <c r="J14" s="194"/>
    </row>
    <row r="15" spans="1:10" ht="15.75">
      <c r="A15" s="269"/>
      <c r="B15" s="66" t="s">
        <v>43</v>
      </c>
      <c r="C15" s="66" t="str">
        <f>CONCATENATE("Personal Property ",J1-2,"")</f>
        <v>Personal Property 2010</v>
      </c>
      <c r="D15" s="269" t="s">
        <v>38</v>
      </c>
      <c r="E15" s="273">
        <f>inputOth!E31</f>
        <v>85736</v>
      </c>
      <c r="F15" s="270"/>
      <c r="G15" s="274"/>
      <c r="H15" s="274"/>
      <c r="I15" s="194"/>
      <c r="J15" s="194"/>
    </row>
    <row r="16" spans="1:10" ht="15.75">
      <c r="A16" s="269"/>
      <c r="B16" s="66" t="s">
        <v>44</v>
      </c>
      <c r="C16" s="66" t="s">
        <v>63</v>
      </c>
      <c r="D16" s="66"/>
      <c r="E16" s="194"/>
      <c r="F16" s="194" t="s">
        <v>289</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11319</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22845</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6321361</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6298516</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0.0036270448467543783</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230</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63573</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63573</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Valley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9619</v>
      </c>
      <c r="E12" s="239">
        <f>IF(inputOth!D37&gt;0,inputOth!D37,"  ")</f>
        <v>1.775</v>
      </c>
      <c r="F12" s="240"/>
      <c r="G12" s="92">
        <f>IF(inputPrYr!E20=0,0,G25-SUM(G13:G22))</f>
        <v>340.0799999999999</v>
      </c>
      <c r="H12" s="241"/>
      <c r="I12" s="92">
        <f>IF(inputPrYr!E20=0,0,I27-SUM(I13:I22))</f>
        <v>8.299999999999997</v>
      </c>
      <c r="J12" s="92">
        <f>IF(inputPrYr!E20=0,0,J29-SUM(J13:J22))</f>
        <v>2.490000000000002</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53724</v>
      </c>
      <c r="E14" s="239">
        <f>IF(inputOth!D39&gt;0,inputOth!D39,"  ")</f>
        <v>11.175</v>
      </c>
      <c r="F14" s="240"/>
      <c r="G14" s="92">
        <f>IF(inputPrYr!E22=0,0,ROUND(D14*$G$33,0))</f>
        <v>1900</v>
      </c>
      <c r="H14" s="241"/>
      <c r="I14" s="92">
        <f>IF(inputPrYr!$E$22=0,0,ROUND($D$14*$I$35,0))</f>
        <v>45</v>
      </c>
      <c r="J14" s="92">
        <f>IF(inputPrYr!E22=0,0,ROUND($D14*$J$37,0))</f>
        <v>17</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63343</v>
      </c>
      <c r="E23" s="244">
        <f>SUM(E12:E22)</f>
        <v>12.950000000000001</v>
      </c>
      <c r="F23" s="245"/>
      <c r="G23" s="243">
        <f t="shared" si="0"/>
        <v>2240.08</v>
      </c>
      <c r="H23" s="243"/>
      <c r="I23" s="243">
        <f t="shared" si="0"/>
        <v>53.3</v>
      </c>
      <c r="J23" s="243">
        <f t="shared" si="0"/>
        <v>19.490000000000002</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2240.08</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53.3</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19.490000000000002</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0.03536428650363892</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0.0008414505154476421</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0.00030768987891321856</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Valley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124</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16900</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16900</v>
      </c>
      <c r="D27" s="267">
        <f>SUM(D10:D26)</f>
        <v>0</v>
      </c>
      <c r="E27" s="267">
        <f>SUM(E10:E26)</f>
        <v>0</v>
      </c>
      <c r="F27" s="196"/>
    </row>
    <row r="28" spans="1:6" ht="15.75">
      <c r="A28" s="196"/>
      <c r="B28" s="90" t="s">
        <v>650</v>
      </c>
      <c r="C28" s="66"/>
      <c r="D28" s="184"/>
      <c r="E28" s="184"/>
      <c r="F28" s="196"/>
    </row>
    <row r="29" spans="1:6" ht="15.75">
      <c r="A29" s="196"/>
      <c r="B29" s="90" t="s">
        <v>132</v>
      </c>
      <c r="C29" s="186">
        <f>C27</f>
        <v>16900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2011-07-15T18:41:03Z</cp:lastPrinted>
  <dcterms:created xsi:type="dcterms:W3CDTF">1998-08-26T16:30:41Z</dcterms:created>
  <dcterms:modified xsi:type="dcterms:W3CDTF">2011-07-15T18:42:46Z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