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<sst xmlns="http://schemas.openxmlformats.org/spreadsheetml/2006/main" count="1380" uniqueCount="826">
  <si>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</si>
  <si>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</si>
  <si>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</si>
  <si>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</si>
  <si>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</si>
  <si>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</si>
  <si>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</si>
  <si>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</si>
  <si>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</si>
  <si>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</si>
  <si>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</si>
  <si>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</si>
  <si>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</si>
  <si>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</si>
  <si>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</si>
  <si>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</si>
  <si>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</si>
  <si>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</si>
  <si>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</si>
  <si>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</si>
  <si>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</si>
  <si>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</si>
  <si>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</si>
  <si>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</si>
  <si>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</si>
  <si>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</si>
  <si>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</si>
  <si>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</si>
  <si>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</si>
  <si>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</si>
  <si>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</si>
  <si>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</si>
  <si>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</si>
  <si>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</si>
  <si>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</si>
  <si>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</si>
  <si>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</si>
  <si>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</si>
  <si>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</si>
  <si>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</si>
  <si>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</si>
  <si>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</si>
  <si>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</si>
  <si>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</si>
  <si>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</si>
  <si>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</si>
  <si>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</si>
  <si>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</si>
  <si>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</si>
  <si>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</si>
  <si>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</si>
  <si>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</si>
  <si>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</si>
  <si>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</si>
  <si>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</si>
  <si>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</si>
  <si>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</si>
  <si>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</si>
  <si>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</si>
  <si>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</si>
  <si>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</si>
  <si>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</si>
  <si>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</si>
  <si>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</si>
  <si>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</si>
  <si>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</si>
  <si>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</si>
  <si>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</si>
  <si>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</si>
  <si>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</si>
  <si>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</si>
  <si>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</si>
  <si>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</si>
  <si>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</si>
  <si>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</si>
  <si>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</si>
  <si>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</si>
  <si>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</si>
  <si>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</si>
  <si>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</si>
  <si>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</si>
  <si>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</si>
  <si>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</si>
  <si>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</si>
  <si>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</si>
  <si>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</si>
  <si>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</si>
  <si>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</si>
  <si>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</si>
  <si>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</si>
  <si>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</si>
  <si>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</si>
  <si>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</si>
  <si>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</si>
  <si>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</si>
  <si>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</si>
  <si>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</si>
  <si>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</si>
  <si>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</si>
  <si>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</si>
  <si>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</si>
  <si>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</si>
  <si>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</si>
  <si>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</si>
  <si>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</si>
  <si>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</si>
  <si>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</si>
  <si>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</si>
  <si>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</si>
  <si>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</si>
  <si>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</si>
  <si>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</si>
  <si>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</si>
  <si>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</si>
  <si>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</si>
  <si>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</si>
  <si>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</si>
  <si>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</si>
  <si>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</si>
  <si>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</si>
  <si>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</si>
  <si>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</si>
  <si>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</si>
  <si>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</si>
  <si>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</si>
  <si>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</si>
  <si>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</si>
  <si>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</si>
  <si>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</si>
  <si>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</si>
  <si>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</si>
  <si>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</si>
  <si>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</si>
  <si>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</si>
  <si>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</si>
  <si>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</si>
  <si>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</si>
  <si>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</si>
  <si>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</si>
  <si>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</si>
  <si>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</si>
  <si>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</si>
  <si>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</si>
  <si>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</si>
  <si>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</si>
  <si>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</si>
  <si>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</si>
  <si>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</si>
  <si>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</si>
  <si>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</si>
  <si>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</si>
  <si>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</si>
  <si>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</si>
  <si>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</si>
  <si>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</si>
  <si>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</si>
  <si>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</si>
  <si>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</si>
  <si>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</si>
  <si>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</si>
  <si>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</si>
  <si>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</si>
  <si>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</si>
  <si>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</si>
  <si>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</si>
  <si>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</si>
  <si>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</si>
  <si>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</si>
  <si>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</si>
  <si>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</si>
  <si>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</si>
  <si>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</si>
  <si>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</si>
  <si>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</si>
  <si>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</si>
  <si>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</si>
  <si>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</si>
  <si>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</si>
  <si>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</si>
  <si>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</si>
  <si>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</si>
  <si>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</si>
  <si>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</si>
  <si>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</si>
  <si>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</si>
  <si>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</si>
  <si>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</si>
  <si>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</si>
  <si>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</si>
  <si>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</si>
  <si>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</si>
  <si>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</si>
  <si>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</si>
  <si>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</si>
  <si>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</si>
  <si>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</si>
  <si>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</si>
  <si>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</si>
  <si>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</si>
  <si>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</si>
  <si>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</si>
  <si>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</si>
  <si>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</si>
  <si>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</si>
  <si>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</si>
  <si>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</si>
  <si>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</si>
  <si>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</si>
  <si>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</si>
  <si>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</si>
  <si>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</si>
  <si>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</si>
  <si>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</si>
  <si>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</si>
  <si>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</si>
  <si>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</si>
  <si>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</si>
  <si>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</si>
  <si>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</si>
  <si>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</si>
  <si>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</si>
  <si>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</si>
  <si>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</si>
  <si>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</si>
  <si>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</si>
  <si>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</si>
  <si>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</si>
  <si>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</si>
  <si>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</si>
  <si>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</si>
  <si>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</si>
  <si>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</si>
  <si>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</si>
  <si>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</si>
  <si>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</si>
  <si>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</si>
  <si>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</si>
  <si>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</si>
  <si>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</si>
  <si>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</si>
  <si>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</si>
  <si>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</si>
  <si>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</si>
  <si>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</si>
  <si>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</si>
  <si>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</si>
  <si>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</si>
  <si>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</si>
  <si>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</si>
  <si>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</si>
  <si>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</si>
  <si>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</si>
  <si>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</si>
  <si>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</si>
  <si>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</si>
  <si>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</si>
  <si>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</si>
  <si>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</si>
  <si>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</si>
  <si>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</si>
  <si>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</si>
  <si>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</si>
  <si>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</si>
  <si>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</si>
  <si>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</si>
  <si>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</si>
  <si>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</si>
  <si>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</si>
  <si>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</si>
  <si>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</si>
  <si>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</si>
  <si>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</si>
  <si>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</si>
  <si>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</si>
  <si>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</si>
  <si>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</si>
  <si>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</si>
  <si>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</si>
  <si>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</si>
  <si>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</si>
  <si>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</si>
  <si>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</si>
  <si>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</si>
  <si>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</si>
  <si>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</si>
  <si>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</si>
  <si>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</si>
  <si>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</si>
  <si>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</si>
  <si>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</si>
  <si>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</si>
  <si>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</si>
  <si>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</si>
  <si>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</si>
  <si>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</si>
  <si>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</si>
  <si>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</si>
  <si>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</si>
  <si>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</si>
  <si>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</si>
  <si>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</si>
  <si>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</si>
  <si>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</si>
  <si>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</si>
  <si>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</si>
  <si>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</si>
  <si>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</si>
  <si>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</si>
  <si>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</si>
  <si>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</si>
  <si>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</si>
  <si>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</si>
  <si>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</si>
  <si>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</si>
  <si>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</si>
  <si>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</si>
  <si>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</si>
  <si>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</si>
  <si>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</si>
  <si>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</si>
  <si>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</si>
  <si>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</si>
  <si>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</si>
  <si>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</si>
  <si>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</si>
  <si>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</si>
  <si>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</si>
  <si>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</si>
  <si>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</si>
  <si>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</si>
  <si>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</si>
  <si>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</si>
  <si>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</si>
  <si>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</si>
  <si>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</si>
  <si>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</si>
  <si>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</si>
  <si>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</si>
  <si>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</si>
  <si>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</si>
  <si>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</si>
  <si>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</si>
  <si>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</si>
  <si>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</si>
  <si>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</si>
  <si>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</si>
  <si>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</si>
  <si>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</si>
  <si>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</si>
  <si>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</si>
  <si>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</si>
  <si>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</si>
  <si>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</si>
  <si>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</si>
  <si>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</si>
  <si>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</si>
  <si>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</si>
  <si>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</si>
  <si>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</si>
  <si>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</si>
  <si>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</si>
  <si>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</si>
  <si>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</si>
  <si>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</si>
  <si>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</si>
  <si>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</si>
  <si>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</si>
  <si>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</si>
  <si>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</si>
  <si>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</si>
  <si>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</si>
  <si>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</si>
  <si>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</si>
  <si>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</si>
  <si>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</si>
  <si>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</si>
  <si>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</si>
  <si>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</si>
  <si>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</si>
  <si>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</si>
  <si>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</si>
  <si>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</si>
  <si>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</si>
  <si>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</si>
  <si>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</si>
  <si>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</si>
  <si>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</si>
  <si>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</si>
  <si>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</si>
  <si>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</si>
  <si>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</si>
  <si>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</si>
  <si>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</si>
  <si>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</si>
  <si>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</si>
  <si>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</si>
  <si>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</si>
  <si>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</si>
  <si>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</si>
  <si>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</si>
  <si>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</si>
  <si>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</si>
  <si>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</si>
  <si>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</si>
  <si>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</si>
  <si>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</si>
  <si>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</si>
  <si>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</si>
  <si>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</si>
  <si>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</si>
  <si>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</si>
  <si>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</si>
  <si>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</si>
  <si>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</si>
  <si>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</si>
  <si>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</si>
  <si>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</si>
  <si>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</si>
  <si>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</si>
  <si>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</si>
  <si>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</si>
  <si>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</si>
  <si>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</si>
  <si>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</si>
  <si>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</si>
  <si>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</si>
  <si>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</si>
  <si>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</si>
  <si>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</si>
  <si>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</si>
  <si>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</si>
  <si>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</si>
  <si>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</si>
  <si>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</si>
  <si>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</si>
  <si>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</si>
  <si>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</si>
  <si>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</si>
  <si>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</si>
  <si>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</si>
  <si>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</si>
  <si>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</si>
  <si>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</si>
  <si>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</si>
  <si>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</si>
  <si>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</si>
  <si>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</si>
  <si>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</si>
  <si>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</si>
  <si>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</si>
  <si>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</si>
  <si>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</si>
  <si>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</si>
  <si>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</si>
  <si>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</si>
  <si>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</si>
  <si>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</si>
  <si>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</si>
  <si>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</si>
  <si>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</si>
  <si>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</si>
  <si>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</si>
  <si>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</si>
  <si>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</si>
  <si>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</si>
  <si>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</si>
  <si>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</si>
  <si>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</si>
  <si>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</si>
  <si>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</si>
  <si>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</si>
  <si>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</si>
  <si>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</si>
  <si>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</si>
  <si>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</si>
  <si>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</si>
  <si>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</si>
  <si>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</si>
  <si>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</si>
  <si>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</si>
  <si>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</si>
  <si>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</si>
  <si>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</si>
  <si>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</si>
  <si>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</si>
  <si>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</si>
  <si>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</si>
  <si>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</si>
  <si>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</si>
  <si>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</si>
  <si>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</si>
  <si>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</si>
  <si>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</si>
  <si>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</si>
  <si>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</si>
  <si>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</si>
  <si>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</si>
  <si>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</si>
  <si>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</si>
  <si>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</si>
  <si>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</si>
  <si>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</si>
  <si>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</si>
  <si>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</si>
  <si>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</si>
  <si>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</si>
  <si>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</si>
  <si>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</si>
  <si>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</si>
  <si>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</si>
  <si>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</si>
  <si>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</si>
  <si>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</si>
  <si>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</si>
  <si>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</si>
  <si>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</si>
  <si>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</si>
  <si>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</si>
  <si>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</si>
  <si>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</si>
  <si>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</si>
  <si>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</si>
  <si>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</si>
  <si>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</si>
  <si>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</si>
  <si>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</si>
  <si>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</si>
  <si>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</si>
  <si>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</si>
  <si>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</si>
  <si>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</si>
  <si>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</si>
  <si>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</si>
  <si>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</si>
  <si>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</si>
  <si>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</si>
  <si>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</si>
  <si>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</si>
  <si>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</si>
  <si>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</si>
  <si>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</si>
  <si>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</si>
  <si>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</si>
  <si>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</si>
  <si>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</si>
  <si>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</si>
  <si>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</si>
  <si>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</si>
  <si>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</si>
  <si>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</si>
  <si>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</si>
  <si>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</si>
  <si>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</si>
  <si>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</si>
  <si>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</si>
  <si>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</si>
  <si>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</si>
  <si>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</si>
  <si>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</si>
  <si>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</si>
  <si>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</si>
  <si>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</si>
  <si>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</si>
  <si>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</si>
  <si>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</si>
  <si>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</si>
  <si>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</si>
  <si>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</si>
  <si>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</si>
  <si>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</si>
  <si>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</si>
  <si>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</si>
  <si>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</si>
  <si>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</si>
  <si>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</si>
  <si>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</si>
  <si>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</si>
  <si>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</si>
  <si>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</si>
  <si>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</si>
  <si>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</si>
  <si>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</si>
  <si>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</si>
  <si>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</si>
  <si>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</si>
  <si>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</si>
  <si>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</si>
  <si>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</si>
  <si>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</si>
  <si>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</si>
  <si>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</si>
  <si>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</si>
  <si>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</si>
  <si>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</si>
  <si>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</si>
  <si>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</si>
  <si>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</si>
  <si>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</si>
  <si>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</si>
  <si>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</si>
  <si>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</si>
  <si>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</si>
  <si>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</si>
  <si>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</si>
  <si>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</si>
  <si>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</si>
  <si>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</si>
  <si>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</si>
  <si>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</si>
  <si>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</si>
  <si>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</si>
  <si>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</si>
  <si>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</si>
  <si>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</si>
  <si>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</si>
  <si>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</si>
  <si>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</si>
  <si>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</si>
  <si>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</si>
  <si>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</si>
  <si>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</si>
  <si>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</si>
  <si>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</si>
  <si>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</si>
  <si>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</si>
  <si>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</si>
  <si>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</si>
  <si>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</si>
  <si>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</si>
  <si>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</si>
  <si>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</si>
  <si>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</si>
  <si>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</si>
  <si>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</si>
  <si>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</si>
  <si>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</si>
  <si>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</si>
  <si>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</si>
  <si>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</si>
  <si>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</si>
  <si>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</si>
  <si>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</si>
  <si>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</si>
  <si>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</si>
  <si>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</si>
  <si>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</si>
  <si>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</si>
  <si>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</si>
  <si>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</si>
  <si>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</si>
  <si>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</si>
  <si>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</si>
  <si>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</si>
  <si>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</si>
  <si>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</si>
  <si>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</si>
  <si>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</si>
  <si>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</si>
  <si>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</si>
  <si>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</si>
  <si>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</si>
  <si>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</si>
  <si>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</si>
  <si>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</si>
  <si>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</si>
  <si>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</si>
  <si>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</si>
  <si>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</si>
  <si>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</si>
  <si>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</si>
  <si>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</si>
  <si>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</si>
  <si>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</si>
  <si>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</si>
  <si>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</si>
  <si>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</si>
  <si>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</si>
  <si>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</si>
  <si>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</si>
  <si>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</si>
  <si>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</si>
  <si>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</si>
  <si>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</si>
  <si>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</si>
  <si>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</si>
  <si>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</si>
  <si>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</si>
  <si>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</si>
  <si>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</si>
  <si>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</si>
  <si>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</si>
  <si>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</si>
  <si>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</si>
  <si>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</si>
  <si>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</si>
  <si>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</si>
  <si>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</si>
  <si>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</si>
  <si>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</si>
  <si>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</si>
  <si>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</si>
  <si>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</si>
  <si>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</si>
  <si>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</si>
  <si>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</si>
  <si>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</si>
  <si>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</si>
  <si>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</si>
  <si>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</si>
  <si>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</si>
  <si>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</si>
  <si>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</si>
  <si>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</si>
  <si>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</si>
  <si>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</si>
  <si>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</si>
  <si>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</si>
  <si>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</si>
  <si>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</si>
  <si>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</si>
  <si>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</si>
  <si>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</si>
  <si>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</si>
  <si>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</si>
  <si>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</si>
  <si>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</si>
  <si>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</si>
  <si>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</si>
  <si>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</si>
  <si>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</si>
  <si>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</si>
  <si>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</si>
  <si>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</si>
  <si>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</si>
  <si>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</si>
  <si>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</si>
  <si>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</si>
  <si>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</si>
  <si>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</si>
  <si>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</si>
  <si>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</si>
  <si>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</si>
  <si>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</si>
  <si>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</si>
  <si>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</si>
  <si>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</si>
  <si>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</si>
  <si>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</si>
  <si>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</si>
  <si>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</si>
  <si>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</si>
  <si>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</si>
  <si>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</si>
  <si>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</si>
  <si>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</si>
  <si>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</si>
  <si>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</si>
  <si>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</si>
  <si>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</si>
  <si>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</si>
  <si>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</si>
  <si>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</si>
  <si>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</si>
  <si>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</si>
  <si>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</si>
  <si>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</si>
  <si>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</si>
  <si>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</si>
  <si>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</si>
  <si>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</si>
  <si>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</si>
  <si>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</si>
  <si>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</si>
  <si>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</si>
  <si>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</si>
  <si>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</si>
  <si>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</si>
  <si>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</si>
  <si>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</si>
  <si>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</si>
  <si>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</si>
  <si>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</si>
  <si>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</si>
  <si>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</si>
  <si>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</si>
  <si>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</si>
  <si>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</si>
  <si>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</si>
  <si>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</si>
  <si>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</si>
  <si>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</si>
  <si>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</si>
  <si>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</si>
  <si>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</si>
  <si>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</si>
  <si>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</si>
  <si>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</si>
  <si>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</si>
  <si>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</si>
  <si>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</si>
  <si>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</si>
  <si>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</si>
  <si>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</si>
  <si>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</si>
  <si>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</si>
  <si>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</si>
  <si>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</si>
  <si>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</si>
  <si>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</si>
  <si>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</si>
  <si>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</si>
  <si>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</si>
  <si>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</si>
  <si>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</si>
  <si>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Bigelow Township</t>
  </si>
  <si>
    <t xml:space="preserve">Marshall County </t>
  </si>
  <si>
    <t>Land Management</t>
  </si>
  <si>
    <t>Per Diem</t>
  </si>
  <si>
    <t>Reimbursement</t>
  </si>
  <si>
    <t xml:space="preserve">Other </t>
  </si>
  <si>
    <t>Machine Hire</t>
  </si>
  <si>
    <t>Expenses</t>
  </si>
  <si>
    <t>September 7, 2011</t>
  </si>
  <si>
    <t>7:30 p.m.</t>
  </si>
  <si>
    <t xml:space="preserve">2885 17th Rd., Frankfort, KS  </t>
  </si>
  <si>
    <t>Dennis Ahlvers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</si>
</sst>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624</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Bigelow Township</v>
      </c>
      <c r="B1" s="179"/>
      <c r="C1" s="179"/>
      <c r="D1" s="179"/>
      <c r="E1" s="179"/>
      <c r="F1" s="179"/>
      <c r="G1" s="179"/>
      <c r="H1" s="179"/>
      <c r="I1" s="14"/>
      <c r="J1" s="14"/>
      <c r="K1" s="15">
        <f>inputPrYr!D5</f>
        <v>2012</v>
      </c>
    </row>
    <row r="2" spans="1:11" ht="15.75">
      <c r="A2" s="178" t="str">
        <f>inputPrYr!$D$3</f>
        <v>Marshall County </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6">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Bigelow Township</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58.54</v>
      </c>
      <c r="D6" s="418">
        <f>C51</f>
        <v>82.75</v>
      </c>
      <c r="E6" s="32">
        <f>D51</f>
        <v>25.75</v>
      </c>
    </row>
    <row r="7" spans="2:5" ht="15.75">
      <c r="B7" s="27" t="s">
        <v>124</v>
      </c>
      <c r="C7" s="418"/>
      <c r="D7" s="418"/>
      <c r="E7" s="33"/>
    </row>
    <row r="8" spans="2:5" ht="15.75">
      <c r="B8" s="27" t="s">
        <v>16</v>
      </c>
      <c r="C8" s="29"/>
      <c r="D8" s="418">
        <f>inputPrYr!E16</f>
        <v>0</v>
      </c>
      <c r="E8" s="33" t="s">
        <v>302</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72</v>
      </c>
      <c r="C12" s="29"/>
      <c r="D12" s="29"/>
      <c r="E12" s="32">
        <f>mvalloc!J11</f>
        <v>0</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v>978.21</v>
      </c>
      <c r="D16" s="29">
        <v>326</v>
      </c>
      <c r="E16" s="32">
        <f>inputOth!E12</f>
        <v>1450.09</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978.21</v>
      </c>
      <c r="D26" s="420">
        <f>SUM(D8:D24)</f>
        <v>326</v>
      </c>
      <c r="E26" s="42">
        <f>SUM(E8:E24)</f>
        <v>1450.09</v>
      </c>
    </row>
    <row r="27" spans="2:5" ht="15.75">
      <c r="B27" s="43" t="s">
        <v>24</v>
      </c>
      <c r="C27" s="420">
        <f>C26+C6</f>
        <v>1036.75</v>
      </c>
      <c r="D27" s="420">
        <f>D26+D6</f>
        <v>408.75</v>
      </c>
      <c r="E27" s="42">
        <f>E26+E6</f>
        <v>1475.84</v>
      </c>
    </row>
    <row r="28" spans="2:5" ht="15.75">
      <c r="B28" s="27" t="s">
        <v>25</v>
      </c>
      <c r="C28" s="418"/>
      <c r="D28" s="418"/>
      <c r="E28" s="32"/>
    </row>
    <row r="29" spans="2:5" ht="15.75">
      <c r="B29" s="37" t="s">
        <v>817</v>
      </c>
      <c r="C29" s="29">
        <v>300</v>
      </c>
      <c r="D29" s="29">
        <v>383</v>
      </c>
      <c r="E29" s="34">
        <v>1200</v>
      </c>
    </row>
    <row r="30" spans="2:5" ht="15.75">
      <c r="B30" s="38" t="s">
        <v>105</v>
      </c>
      <c r="C30" s="29"/>
      <c r="D30" s="29"/>
      <c r="E30" s="34"/>
    </row>
    <row r="31" spans="2:5" ht="15.75">
      <c r="B31" s="38" t="s">
        <v>129</v>
      </c>
      <c r="C31" s="29"/>
      <c r="D31" s="29"/>
      <c r="E31" s="34"/>
    </row>
    <row r="32" spans="2:5" ht="15.75">
      <c r="B32" s="38" t="s">
        <v>106</v>
      </c>
      <c r="C32" s="29">
        <v>629</v>
      </c>
      <c r="D32" s="29"/>
      <c r="E32" s="34"/>
    </row>
    <row r="33" spans="2:5" ht="15.75">
      <c r="B33" s="38" t="s">
        <v>36</v>
      </c>
      <c r="C33" s="29">
        <v>25</v>
      </c>
      <c r="D33" s="29"/>
      <c r="E33" s="34"/>
    </row>
    <row r="34" spans="2:5" ht="15.75">
      <c r="B34" s="37" t="s">
        <v>107</v>
      </c>
      <c r="C34" s="29"/>
      <c r="D34" s="29"/>
      <c r="E34" s="34"/>
    </row>
    <row r="35" spans="2:5" ht="15.75">
      <c r="B35" s="37" t="s">
        <v>130</v>
      </c>
      <c r="C35" s="29"/>
      <c r="D35" s="29"/>
      <c r="E35" s="34"/>
    </row>
    <row r="36" spans="2:5" ht="15.75">
      <c r="B36" s="38" t="s">
        <v>132</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809</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954</v>
      </c>
      <c r="D50" s="412">
        <f>SUM(D29:D48)</f>
        <v>383</v>
      </c>
      <c r="E50" s="47">
        <f>SUM(E29:E43,E45,E47:E48)</f>
        <v>1200</v>
      </c>
      <c r="G50" s="534"/>
      <c r="H50" s="535"/>
      <c r="I50" s="535"/>
      <c r="J50" s="536"/>
    </row>
    <row r="51" spans="2:10" ht="15.75">
      <c r="B51" s="27" t="s">
        <v>123</v>
      </c>
      <c r="C51" s="413">
        <f>C27-C50</f>
        <v>82.75</v>
      </c>
      <c r="D51" s="413">
        <f>SUM(D27-D50)</f>
        <v>25.75</v>
      </c>
      <c r="E51" s="33" t="s">
        <v>302</v>
      </c>
      <c r="G51" s="537">
        <f>D51</f>
        <v>25.75</v>
      </c>
      <c r="H51" s="538" t="str">
        <f>CONCATENATE("",E1-1," Ending Cash Balance (est.)")</f>
        <v>2011 Ending Cash Balance (est.)</v>
      </c>
      <c r="I51" s="539"/>
      <c r="J51" s="536"/>
    </row>
    <row r="52" spans="2:10" ht="15.75">
      <c r="B52" s="48" t="str">
        <f>CONCATENATE("",E1-2,"/",E1-1," Budget Authority Amount:")</f>
        <v>2010/2011 Budget Authority Amount:</v>
      </c>
      <c r="C52" s="143">
        <f>inputOth!B46</f>
        <v>979</v>
      </c>
      <c r="D52" s="172">
        <f>inputPrYr!D16</f>
        <v>383</v>
      </c>
      <c r="E52" s="33" t="s">
        <v>302</v>
      </c>
      <c r="F52" s="50"/>
      <c r="G52" s="537">
        <f>E26</f>
        <v>1450.09</v>
      </c>
      <c r="H52" s="540" t="str">
        <f>CONCATENATE("",E1," Non-AV Receipts (est.)")</f>
        <v>2012 Non-AV Receipts (est.)</v>
      </c>
      <c r="I52" s="540"/>
      <c r="J52" s="536"/>
    </row>
    <row r="53" spans="2:10" ht="15.75">
      <c r="B53" s="48"/>
      <c r="C53" s="652" t="s">
        <v>646</v>
      </c>
      <c r="D53" s="653"/>
      <c r="E53" s="34"/>
      <c r="F53" s="533">
        <f>IF(E50/0.95-E50&lt;E53,"Exceeds 5%","")</f>
      </c>
      <c r="G53" s="541">
        <f>E57</f>
        <v>0</v>
      </c>
      <c r="H53" s="540" t="str">
        <f>CONCATENATE("",E1," Ad Valorem Tax (est.)")</f>
        <v>2012 Ad Valorem Tax (est.)</v>
      </c>
      <c r="I53" s="540"/>
      <c r="J53" s="536"/>
    </row>
    <row r="54" spans="2:10" ht="15.75">
      <c r="B54" s="436" t="str">
        <f>CONCATENATE(C72,"     ",D72)</f>
        <v>     </v>
      </c>
      <c r="C54" s="654" t="s">
        <v>647</v>
      </c>
      <c r="D54" s="655"/>
      <c r="E54" s="32">
        <f>E50+E53</f>
        <v>1200</v>
      </c>
      <c r="G54" s="537">
        <f>SUM(G51:G53)</f>
        <v>1475.84</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648</v>
      </c>
      <c r="D56" s="432">
        <f>inputOth!$E$40</f>
        <v>0</v>
      </c>
      <c r="E56" s="32">
        <f>ROUND(IF(D56&gt;0,(E55*D56),0),0)</f>
        <v>0</v>
      </c>
      <c r="G56" s="541">
        <f>C50*0.05+C50</f>
        <v>1001.7</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474.1399999999999</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Bigelow Township</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3">
      <selection activeCell="C68" sqref="C6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Bigelow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965.5</v>
      </c>
      <c r="D6" s="418">
        <f>C44</f>
        <v>2587.8600000000006</v>
      </c>
      <c r="E6" s="32">
        <f>D44</f>
        <v>2413.8600000000006</v>
      </c>
    </row>
    <row r="7" spans="2:5" ht="15.75">
      <c r="B7" s="27" t="s">
        <v>124</v>
      </c>
      <c r="C7" s="418"/>
      <c r="D7" s="418"/>
      <c r="E7" s="33"/>
    </row>
    <row r="8" spans="2:5" ht="15.75">
      <c r="B8" s="27" t="s">
        <v>16</v>
      </c>
      <c r="C8" s="29">
        <v>17023.21</v>
      </c>
      <c r="D8" s="418">
        <f>inputPrYr!E18</f>
        <v>17849</v>
      </c>
      <c r="E8" s="33" t="s">
        <v>302</v>
      </c>
    </row>
    <row r="9" spans="2:5" ht="15.75">
      <c r="B9" s="27" t="s">
        <v>17</v>
      </c>
      <c r="C9" s="29">
        <v>202.99</v>
      </c>
      <c r="D9" s="29"/>
      <c r="E9" s="34"/>
    </row>
    <row r="10" spans="2:5" ht="15.75">
      <c r="B10" s="27" t="s">
        <v>18</v>
      </c>
      <c r="C10" s="29">
        <v>708.88</v>
      </c>
      <c r="D10" s="29">
        <v>767</v>
      </c>
      <c r="E10" s="32">
        <f>mvalloc!G13</f>
        <v>849</v>
      </c>
    </row>
    <row r="11" spans="2:5" ht="15.75">
      <c r="B11" s="27" t="s">
        <v>19</v>
      </c>
      <c r="C11" s="29">
        <v>10.12</v>
      </c>
      <c r="D11" s="29">
        <v>39</v>
      </c>
      <c r="E11" s="32">
        <f>mvalloc!I13</f>
        <v>37</v>
      </c>
    </row>
    <row r="12" spans="2:5" ht="15.75">
      <c r="B12" s="27" t="s">
        <v>103</v>
      </c>
      <c r="C12" s="29">
        <v>139.2</v>
      </c>
      <c r="D12" s="29">
        <v>141</v>
      </c>
      <c r="E12" s="32">
        <f>mvalloc!J13</f>
        <v>163</v>
      </c>
    </row>
    <row r="13" spans="2:5" ht="15.75">
      <c r="B13" s="27" t="s">
        <v>167</v>
      </c>
      <c r="C13" s="29"/>
      <c r="D13" s="29"/>
      <c r="E13" s="32">
        <f>mvalloc!K13</f>
        <v>0</v>
      </c>
    </row>
    <row r="14" spans="2:5" ht="15.75">
      <c r="B14" s="27" t="s">
        <v>104</v>
      </c>
      <c r="C14" s="29">
        <v>1621.43</v>
      </c>
      <c r="D14" s="29">
        <v>1500</v>
      </c>
      <c r="E14" s="32">
        <f>inputOth!E36</f>
        <v>1500</v>
      </c>
    </row>
    <row r="15" spans="2:5" ht="15.75">
      <c r="B15" s="38" t="s">
        <v>818</v>
      </c>
      <c r="C15" s="29">
        <v>2177.26</v>
      </c>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21883.090000000004</v>
      </c>
      <c r="D23" s="420">
        <f>SUM(D8:D21)</f>
        <v>20296</v>
      </c>
      <c r="E23" s="42">
        <f>SUM(E8:E21)</f>
        <v>2549</v>
      </c>
    </row>
    <row r="24" spans="2:5" ht="15.75">
      <c r="B24" s="43" t="s">
        <v>24</v>
      </c>
      <c r="C24" s="420">
        <f>C23+C6</f>
        <v>22848.590000000004</v>
      </c>
      <c r="D24" s="420">
        <f>D23+D6</f>
        <v>22883.86</v>
      </c>
      <c r="E24" s="42">
        <f>E23+E6</f>
        <v>4962.860000000001</v>
      </c>
    </row>
    <row r="25" spans="2:5" ht="15.75">
      <c r="B25" s="27" t="s">
        <v>25</v>
      </c>
      <c r="C25" s="418"/>
      <c r="D25" s="418"/>
      <c r="E25" s="32"/>
    </row>
    <row r="26" spans="2:5" ht="15.75">
      <c r="B26" s="38" t="s">
        <v>817</v>
      </c>
      <c r="C26" s="29">
        <v>2205.63</v>
      </c>
      <c r="D26" s="29">
        <v>1500</v>
      </c>
      <c r="E26" s="34">
        <v>2300</v>
      </c>
    </row>
    <row r="27" spans="2:5" ht="15.75">
      <c r="B27" s="37" t="s">
        <v>105</v>
      </c>
      <c r="C27" s="29"/>
      <c r="D27" s="29"/>
      <c r="E27" s="34"/>
    </row>
    <row r="28" spans="2:5" ht="15.75">
      <c r="B28" s="38" t="s">
        <v>129</v>
      </c>
      <c r="C28" s="29">
        <v>1883.94</v>
      </c>
      <c r="D28" s="29">
        <v>1570</v>
      </c>
      <c r="E28" s="34">
        <v>1600</v>
      </c>
    </row>
    <row r="29" spans="2:5" ht="15.75">
      <c r="B29" s="38" t="s">
        <v>106</v>
      </c>
      <c r="C29" s="29"/>
      <c r="D29" s="29"/>
      <c r="E29" s="34"/>
    </row>
    <row r="30" spans="2:5" ht="15.75">
      <c r="B30" s="38" t="s">
        <v>131</v>
      </c>
      <c r="C30" s="29">
        <v>1140.15</v>
      </c>
      <c r="D30" s="29">
        <v>4000</v>
      </c>
      <c r="E30" s="34">
        <v>4000</v>
      </c>
    </row>
    <row r="31" spans="2:5" ht="15.75">
      <c r="B31" s="38" t="s">
        <v>109</v>
      </c>
      <c r="C31" s="29">
        <v>6600</v>
      </c>
      <c r="D31" s="29">
        <v>5000</v>
      </c>
      <c r="E31" s="34">
        <v>6500</v>
      </c>
    </row>
    <row r="32" spans="2:5" ht="15.75">
      <c r="B32" s="38" t="s">
        <v>107</v>
      </c>
      <c r="C32" s="29">
        <v>309.01</v>
      </c>
      <c r="D32" s="29">
        <v>3000</v>
      </c>
      <c r="E32" s="34">
        <v>4000</v>
      </c>
    </row>
    <row r="33" spans="2:5" ht="15.75">
      <c r="B33" s="38" t="s">
        <v>819</v>
      </c>
      <c r="C33" s="29">
        <v>5377</v>
      </c>
      <c r="D33" s="29">
        <v>2000</v>
      </c>
      <c r="E33" s="34">
        <v>2000</v>
      </c>
    </row>
    <row r="34" spans="2:5" ht="15.75">
      <c r="B34" s="37" t="s">
        <v>820</v>
      </c>
      <c r="C34" s="29">
        <v>345</v>
      </c>
      <c r="D34" s="29">
        <v>3400</v>
      </c>
      <c r="E34" s="34">
        <v>3000</v>
      </c>
    </row>
    <row r="35" spans="2:5" ht="15.75">
      <c r="B35" s="37"/>
      <c r="C35" s="29"/>
      <c r="D35" s="29"/>
      <c r="E35" s="34"/>
    </row>
    <row r="36" spans="2:5" ht="15.75">
      <c r="B36" s="38"/>
      <c r="C36" s="29"/>
      <c r="D36" s="29"/>
      <c r="E36" s="34"/>
    </row>
    <row r="37" spans="2:5" ht="15.75">
      <c r="B37" s="38"/>
      <c r="C37" s="29"/>
      <c r="D37" s="29"/>
      <c r="E37" s="34"/>
    </row>
    <row r="38" spans="2:5" ht="15.75">
      <c r="B38" s="27" t="s">
        <v>108</v>
      </c>
      <c r="C38" s="29">
        <v>2400</v>
      </c>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c r="E40" s="46">
        <f>nhood!E8</f>
      </c>
      <c r="G40" s="534"/>
      <c r="H40" s="535"/>
      <c r="I40" s="535"/>
      <c r="J40" s="536"/>
    </row>
    <row r="41" spans="2:10" ht="15.75">
      <c r="B41" s="35" t="s">
        <v>224</v>
      </c>
      <c r="C41" s="29"/>
      <c r="D41" s="29"/>
      <c r="E41" s="34"/>
      <c r="G41" s="537">
        <f>D44</f>
        <v>2413.8600000000006</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2549</v>
      </c>
      <c r="H42" s="540" t="str">
        <f>CONCATENATE("",E1," Non-AV Receipts (est.)")</f>
        <v>2012 Non-AV Receipts (est.)</v>
      </c>
      <c r="I42" s="540"/>
      <c r="J42" s="536"/>
    </row>
    <row r="43" spans="2:10" ht="15.75">
      <c r="B43" s="43" t="s">
        <v>26</v>
      </c>
      <c r="C43" s="420">
        <f>SUM(C26:C38,C40:C41)</f>
        <v>20260.730000000003</v>
      </c>
      <c r="D43" s="420">
        <f>SUM(D26:D38,D40:D41)</f>
        <v>20470</v>
      </c>
      <c r="E43" s="42">
        <f>SUM(E26:E38,E40:E41)</f>
        <v>23400</v>
      </c>
      <c r="G43" s="541">
        <f>E50</f>
        <v>18437.14</v>
      </c>
      <c r="H43" s="540" t="str">
        <f>CONCATENATE("",E1," Ad Valorem Tax (est.)")</f>
        <v>2012 Ad Valorem Tax (est.)</v>
      </c>
      <c r="I43" s="540"/>
      <c r="J43" s="536"/>
    </row>
    <row r="44" spans="2:10" ht="15.75">
      <c r="B44" s="27" t="s">
        <v>123</v>
      </c>
      <c r="C44" s="413">
        <f>C24-C43</f>
        <v>2587.8600000000006</v>
      </c>
      <c r="D44" s="413">
        <f>D24-D43</f>
        <v>2413.8600000000006</v>
      </c>
      <c r="E44" s="33" t="s">
        <v>302</v>
      </c>
      <c r="G44" s="537">
        <f>SUM(G41:G43)</f>
        <v>23400</v>
      </c>
      <c r="H44" s="540" t="str">
        <f>CONCATENATE("Total ",E1," Resources Available")</f>
        <v>Total 2012 Resources Available</v>
      </c>
      <c r="I44" s="539"/>
      <c r="J44" s="536"/>
    </row>
    <row r="45" spans="2:10" ht="15.75">
      <c r="B45" s="48" t="str">
        <f>CONCATENATE("",E1-2,"/",E1-1," Budget Authority Amount:")</f>
        <v>2010/2011 Budget Authority Amount:</v>
      </c>
      <c r="C45" s="143">
        <f>inputOth!B48</f>
        <v>20350</v>
      </c>
      <c r="D45" s="172">
        <f>inputPrYr!D18</f>
        <v>20470</v>
      </c>
      <c r="E45" s="33" t="s">
        <v>302</v>
      </c>
      <c r="F45" s="50"/>
      <c r="G45" s="542"/>
      <c r="H45" s="540"/>
      <c r="I45" s="540"/>
      <c r="J45" s="536"/>
    </row>
    <row r="46" spans="2:10" ht="15.75">
      <c r="B46" s="48"/>
      <c r="C46" s="652" t="s">
        <v>646</v>
      </c>
      <c r="D46" s="653"/>
      <c r="E46" s="34"/>
      <c r="F46" s="533">
        <f>IF(E43/0.95-E43&lt;E46,"Exceeds 5%","")</f>
      </c>
      <c r="G46" s="541">
        <f>C43*0.05+C43</f>
        <v>21273.766500000005</v>
      </c>
      <c r="H46" s="540" t="str">
        <f>CONCATENATE("Less ",E1-2," Expenditures + 5%")</f>
        <v>Less 2010 Expenditures + 5%</v>
      </c>
      <c r="I46" s="539"/>
      <c r="J46" s="536"/>
    </row>
    <row r="47" spans="2:10" ht="15.75">
      <c r="B47" s="436" t="str">
        <f>CONCATENATE(C74,"     ",D74)</f>
        <v>     </v>
      </c>
      <c r="C47" s="654" t="s">
        <v>647</v>
      </c>
      <c r="D47" s="655"/>
      <c r="E47" s="32">
        <f>E43+E46</f>
        <v>23400</v>
      </c>
      <c r="G47" s="543">
        <f>G44-G46</f>
        <v>2126.233499999995</v>
      </c>
      <c r="H47" s="544" t="str">
        <f>CONCATENATE("Projected ",E1+1," Carryover (est.)")</f>
        <v>Projected 2013 Carryover (est.)</v>
      </c>
      <c r="I47" s="545"/>
      <c r="J47" s="546"/>
    </row>
    <row r="48" spans="2:5" ht="15.75">
      <c r="B48" s="436" t="str">
        <f>CONCATENATE(C75,"     ",D75)</f>
        <v>     </v>
      </c>
      <c r="C48" s="60"/>
      <c r="D48" s="52" t="s">
        <v>28</v>
      </c>
      <c r="E48" s="46">
        <f>IF(E47-E24&gt;0,E47-E24,0)</f>
        <v>18437.14</v>
      </c>
    </row>
    <row r="49" spans="2:10" ht="15.75">
      <c r="B49" s="52"/>
      <c r="C49" s="440" t="s">
        <v>648</v>
      </c>
      <c r="D49" s="432">
        <f>inputOth!$E$40</f>
        <v>0</v>
      </c>
      <c r="E49" s="32">
        <f>ROUND(IF(D49&gt;0,(E48*D49),0),0)</f>
        <v>0</v>
      </c>
      <c r="G49" s="560">
        <f>IF(inputOth!E7=0,"",ROUND(E50/inputOth!E7*1000,3))</f>
        <v>25.792</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18437.14</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CONCATENATE("",E1-2," Actual Year")</f>
        <v>2010 Actual Year</v>
      </c>
      <c r="D54" s="14"/>
      <c r="E54" s="14"/>
      <c r="G54" s="551" t="s">
        <v>745</v>
      </c>
      <c r="H54" s="535"/>
      <c r="I54" s="535"/>
      <c r="J54" s="555">
        <f>IF(J53=0,"",ROUND((J53+E50-G47)/inputOth!E7*1000,3)-G49)</f>
      </c>
    </row>
    <row r="55" spans="2:10" ht="15.75">
      <c r="B55" s="83" t="s">
        <v>14</v>
      </c>
      <c r="C55" s="600">
        <v>26161.58</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2400</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28561.58</v>
      </c>
      <c r="D63" s="14"/>
      <c r="E63" s="14"/>
    </row>
    <row r="64" spans="2:5" ht="15.75">
      <c r="B64" s="88" t="s">
        <v>26</v>
      </c>
      <c r="C64" s="600">
        <v>2696.12</v>
      </c>
      <c r="D64" s="14"/>
      <c r="E64" s="14"/>
    </row>
    <row r="65" spans="2:5" ht="15.75">
      <c r="B65" s="88" t="s">
        <v>27</v>
      </c>
      <c r="C65" s="438">
        <f>SUM(C63-C64)</f>
        <v>25865.460000000003</v>
      </c>
      <c r="D65" s="14"/>
      <c r="E65" s="14"/>
    </row>
    <row r="66" spans="2:5" ht="15.75">
      <c r="B66" s="14"/>
      <c r="C66" s="14"/>
      <c r="D66" s="14"/>
      <c r="E66" s="14"/>
    </row>
    <row r="67" spans="2:5" ht="15.75">
      <c r="B67" s="52" t="s">
        <v>9</v>
      </c>
      <c r="C67" s="601">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3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Bigelow Township</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Bigelow Township</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2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Bigelow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B8" sqref="B8"/>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Bigelow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v>0</v>
      </c>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Bigelow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t="str">
        <f>inputPrYr!B33</f>
        <v>Land Management</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v>0</v>
      </c>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t="s">
        <v>816</v>
      </c>
      <c r="B9" s="113">
        <v>2486.04</v>
      </c>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2486.04</v>
      </c>
      <c r="C17" s="116" t="s">
        <v>23</v>
      </c>
      <c r="D17" s="115">
        <f>SUM(D9:D16)</f>
        <v>0</v>
      </c>
      <c r="E17" s="116" t="s">
        <v>23</v>
      </c>
      <c r="F17" s="129">
        <f>SUM(F9:F16)</f>
        <v>0</v>
      </c>
      <c r="G17" s="116" t="s">
        <v>23</v>
      </c>
      <c r="H17" s="115">
        <f>SUM(H9:H16)</f>
        <v>0</v>
      </c>
      <c r="I17" s="116" t="s">
        <v>23</v>
      </c>
      <c r="J17" s="115">
        <f>SUM(J9:J16)</f>
        <v>0</v>
      </c>
      <c r="K17" s="115">
        <f>SUM(B17+D17+F17+H17+J17)</f>
        <v>2486.04</v>
      </c>
    </row>
    <row r="18" spans="1:11" ht="15.75">
      <c r="A18" s="116" t="s">
        <v>24</v>
      </c>
      <c r="B18" s="115">
        <f>SUM(B7+B17)</f>
        <v>2486.04</v>
      </c>
      <c r="C18" s="116" t="s">
        <v>24</v>
      </c>
      <c r="D18" s="115">
        <f>SUM(D7+D17)</f>
        <v>0</v>
      </c>
      <c r="E18" s="116" t="s">
        <v>24</v>
      </c>
      <c r="F18" s="115">
        <f>SUM(F7+F17)</f>
        <v>0</v>
      </c>
      <c r="G18" s="116" t="s">
        <v>24</v>
      </c>
      <c r="H18" s="115">
        <f>SUM(H7+H17)</f>
        <v>0</v>
      </c>
      <c r="I18" s="116" t="s">
        <v>24</v>
      </c>
      <c r="J18" s="115">
        <f>SUM(J7+J17)</f>
        <v>0</v>
      </c>
      <c r="K18" s="115">
        <f>SUM(B18+D18+F18+H18+J18)</f>
        <v>2486.04</v>
      </c>
    </row>
    <row r="19" spans="1:11" ht="15.75">
      <c r="A19" s="116" t="s">
        <v>25</v>
      </c>
      <c r="B19" s="117"/>
      <c r="C19" s="116" t="s">
        <v>25</v>
      </c>
      <c r="D19" s="118"/>
      <c r="E19" s="116" t="s">
        <v>25</v>
      </c>
      <c r="F19" s="100"/>
      <c r="G19" s="116" t="s">
        <v>25</v>
      </c>
      <c r="H19" s="101"/>
      <c r="I19" s="116" t="s">
        <v>25</v>
      </c>
      <c r="J19" s="101"/>
      <c r="K19" s="100"/>
    </row>
    <row r="20" spans="1:11" ht="15.75">
      <c r="A20" s="119" t="s">
        <v>821</v>
      </c>
      <c r="B20" s="113">
        <v>964.46</v>
      </c>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964.46</v>
      </c>
      <c r="C28" s="116" t="s">
        <v>26</v>
      </c>
      <c r="D28" s="115">
        <f>SUM(D20:D27)</f>
        <v>0</v>
      </c>
      <c r="E28" s="116" t="s">
        <v>26</v>
      </c>
      <c r="F28" s="129">
        <f>SUM(F20:F27)</f>
        <v>0</v>
      </c>
      <c r="G28" s="116" t="s">
        <v>26</v>
      </c>
      <c r="H28" s="129">
        <f>SUM(H20:H27)</f>
        <v>0</v>
      </c>
      <c r="I28" s="116" t="s">
        <v>26</v>
      </c>
      <c r="J28" s="115">
        <f>SUM(J20:J27)</f>
        <v>0</v>
      </c>
      <c r="K28" s="115">
        <f>SUM(B28+D28+F28+H28+J28)</f>
        <v>964.46</v>
      </c>
    </row>
    <row r="29" spans="1:12" ht="15.75">
      <c r="A29" s="116" t="s">
        <v>347</v>
      </c>
      <c r="B29" s="115">
        <f>SUM(B18-B28)</f>
        <v>1521.58</v>
      </c>
      <c r="C29" s="116" t="s">
        <v>347</v>
      </c>
      <c r="D29" s="115">
        <f>SUM(D18-D28)</f>
        <v>0</v>
      </c>
      <c r="E29" s="116" t="s">
        <v>347</v>
      </c>
      <c r="F29" s="115">
        <f>SUM(F18-F28)</f>
        <v>0</v>
      </c>
      <c r="G29" s="116" t="s">
        <v>347</v>
      </c>
      <c r="H29" s="115">
        <f>SUM(H18-H28)</f>
        <v>0</v>
      </c>
      <c r="I29" s="116" t="s">
        <v>347</v>
      </c>
      <c r="J29" s="115">
        <f>SUM(J18-J28)</f>
        <v>0</v>
      </c>
      <c r="K29" s="130">
        <f>SUM(B29+D29+F29+H29+J29)</f>
        <v>1521.58</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1521.58</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v>8</v>
      </c>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3">
      <selection activeCell="B33" sqref="B3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815</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383</v>
      </c>
      <c r="E16" s="200"/>
    </row>
    <row r="17" spans="1:5" ht="15.75">
      <c r="A17" s="14"/>
      <c r="B17" s="83" t="s">
        <v>312</v>
      </c>
      <c r="C17" s="172" t="s">
        <v>157</v>
      </c>
      <c r="D17" s="200"/>
      <c r="E17" s="200"/>
    </row>
    <row r="18" spans="1:5" ht="15.75">
      <c r="A18" s="14"/>
      <c r="B18" s="83" t="s">
        <v>287</v>
      </c>
      <c r="C18" s="192" t="s">
        <v>327</v>
      </c>
      <c r="D18" s="200">
        <v>20470</v>
      </c>
      <c r="E18" s="200">
        <v>17849</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17849</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20853</v>
      </c>
      <c r="E30" s="14"/>
    </row>
    <row r="31" spans="1:5" ht="15.75">
      <c r="A31" s="14"/>
      <c r="B31" s="14"/>
      <c r="C31" s="14"/>
      <c r="D31" s="14"/>
      <c r="E31" s="14"/>
    </row>
    <row r="32" spans="1:5" ht="15.75">
      <c r="A32" s="300" t="s">
        <v>350</v>
      </c>
      <c r="B32" s="19"/>
      <c r="C32" s="14"/>
      <c r="D32" s="14"/>
      <c r="E32" s="14"/>
    </row>
    <row r="33" spans="1:5" ht="15.75">
      <c r="A33" s="346">
        <v>1</v>
      </c>
      <c r="B33" s="241" t="s">
        <v>816</v>
      </c>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v>25.129</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25.129</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17100</v>
      </c>
    </row>
    <row r="53" spans="1:5" ht="15.75">
      <c r="A53" s="353" t="str">
        <f>CONCATENATE("Assessed Valuation (",D5-2," budget column)")</f>
        <v>Assessed Valuation (2010 budget column)</v>
      </c>
      <c r="B53" s="354"/>
      <c r="C53" s="291"/>
      <c r="D53" s="28"/>
      <c r="E53" s="200">
        <v>680499</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1">
      <selection activeCell="A1" sqref="A1:J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Bigelow Township</v>
      </c>
      <c r="C4" s="679"/>
      <c r="D4" s="679"/>
      <c r="E4" s="679"/>
      <c r="F4" s="679"/>
      <c r="G4" s="679"/>
      <c r="H4" s="679"/>
      <c r="I4" s="679"/>
    </row>
    <row r="5" spans="2:9" ht="15.75">
      <c r="B5" s="679" t="str">
        <f>inputPrYr!D3</f>
        <v>Marshall County </v>
      </c>
      <c r="C5" s="679"/>
      <c r="D5" s="679"/>
      <c r="E5" s="679"/>
      <c r="F5" s="679"/>
      <c r="G5" s="679"/>
      <c r="H5" s="679"/>
      <c r="I5" s="679"/>
    </row>
    <row r="6" spans="2:9" ht="15.75">
      <c r="B6" s="678" t="str">
        <f>CONCATENATE("will meet on ",inputBudSum!B5," at ",inputBudSum!B7," at ",inputBudSum!B9," for the purpose of hearing and")</f>
        <v>will meet on September 7, 2011 at 7:30 p.m. at 2885 17th Rd., Frankfort, KS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2885 17th Rd., Frankfort,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749</v>
      </c>
      <c r="H16" s="677"/>
      <c r="I16" s="26" t="s">
        <v>43</v>
      </c>
      <c r="J16" s="160"/>
    </row>
    <row r="17" spans="2:10" ht="15.75">
      <c r="B17" s="96" t="str">
        <f>inputPrYr!B16</f>
        <v>General</v>
      </c>
      <c r="C17" s="67">
        <f>IF(gen!$C$50&lt;&gt;0,gen!$C$50,"  ")</f>
        <v>954</v>
      </c>
      <c r="D17" s="592" t="str">
        <f>IF(inputPrYr!D41&gt;0,inputPrYr!D41,"  ")</f>
        <v>  </v>
      </c>
      <c r="E17" s="32">
        <f>IF(gen!$D$50&lt;&gt;0,gen!$D$50,"  ")</f>
        <v>383</v>
      </c>
      <c r="F17" s="253" t="str">
        <f>IF(inputOth!D17&gt;0,inputOth!D17,"  ")</f>
        <v>  </v>
      </c>
      <c r="G17" s="32">
        <f>IF(gen!$E$50&lt;&gt;0,gen!$E$50,"  ")</f>
        <v>1200</v>
      </c>
      <c r="H17" s="32" t="str">
        <f>IF(gen!$E$57&lt;&gt;0,gen!$E$57," ")</f>
        <v> </v>
      </c>
      <c r="I17" s="594" t="str">
        <f>IF(gen!E57&gt;0,ROUND(H17/$G$35*1000,3)," ")</f>
        <v> </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20260.730000000003</v>
      </c>
      <c r="D19" s="592">
        <f>IF(inputPrYr!D43&gt;0,inputPrYr!D43,"  ")</f>
        <v>25.129</v>
      </c>
      <c r="E19" s="32">
        <f>IF(road!$D$43&lt;&gt;0,road!$D$43,"  ")</f>
        <v>20470</v>
      </c>
      <c r="F19" s="253">
        <f>IF(inputOth!D19&gt;0,inputOth!D19,"  ")</f>
        <v>25.779</v>
      </c>
      <c r="G19" s="32">
        <f>IF(road!$E$43&lt;&gt;0,road!$E$43,"  ")</f>
        <v>23400</v>
      </c>
      <c r="H19" s="32">
        <f>IF(road!$E$50&lt;&gt;0,road!$E$50,"  ")</f>
        <v>18437.14</v>
      </c>
      <c r="I19" s="594">
        <f>IF(road!E50&gt;0,ROUND(H19/$G$35*1000,3)," ")</f>
        <v>25.792</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715</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25.779</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Non-Budgeted Funds</v>
      </c>
      <c r="C28" s="67">
        <f>IF((nonbud!$K$28)&lt;&gt;0,(nonbud!$K$28),"  ")</f>
        <v>964.46</v>
      </c>
      <c r="D28" s="168"/>
      <c r="E28" s="32"/>
      <c r="F28" s="168"/>
      <c r="G28" s="32"/>
      <c r="H28" s="32"/>
      <c r="I28" s="168"/>
      <c r="K28" s="586" t="str">
        <f>IF($N$28&lt;0,"Reduced By:","")</f>
        <v>Reduced By:</v>
      </c>
      <c r="L28" s="557"/>
      <c r="M28" s="557"/>
      <c r="N28" s="587">
        <f>IF(N34&gt;0,N34*-1,0)</f>
        <v>-9.139999999999418</v>
      </c>
    </row>
    <row r="29" spans="2:14" ht="16.5" thickBot="1">
      <c r="B29" s="83" t="s">
        <v>300</v>
      </c>
      <c r="C29" s="530">
        <f>IF(road!C64&lt;&gt;0,road!C64,"  ")</f>
        <v>2696.12</v>
      </c>
      <c r="D29" s="531"/>
      <c r="E29" s="593"/>
      <c r="F29" s="531"/>
      <c r="G29" s="593"/>
      <c r="H29" s="593"/>
      <c r="I29" s="531"/>
      <c r="K29" s="582"/>
      <c r="L29" s="582"/>
      <c r="M29" s="582"/>
      <c r="N29" s="582"/>
    </row>
    <row r="30" spans="2:14" ht="15.75">
      <c r="B30" s="83" t="s">
        <v>301</v>
      </c>
      <c r="C30" s="595">
        <f aca="true" t="shared" si="0" ref="C30:I30">SUM(C17:C29)</f>
        <v>24875.31</v>
      </c>
      <c r="D30" s="529">
        <f t="shared" si="0"/>
        <v>25.129</v>
      </c>
      <c r="E30" s="595">
        <f t="shared" si="0"/>
        <v>20853</v>
      </c>
      <c r="F30" s="529">
        <f t="shared" si="0"/>
        <v>25.779</v>
      </c>
      <c r="G30" s="595">
        <f t="shared" si="0"/>
        <v>24600</v>
      </c>
      <c r="H30" s="595">
        <f t="shared" si="0"/>
        <v>18437.14</v>
      </c>
      <c r="I30" s="598">
        <f t="shared" si="0"/>
        <v>25.792</v>
      </c>
      <c r="K30" s="669" t="str">
        <f>CONCATENATE("Impact On Keeping The Same Mill Rate As For ",I1-1,"")</f>
        <v>Impact On Keeping The Same Mill Rate As For 2011</v>
      </c>
      <c r="L30" s="670"/>
      <c r="M30" s="670"/>
      <c r="N30" s="671"/>
    </row>
    <row r="31" spans="2:14" ht="15.75">
      <c r="B31" s="83" t="s">
        <v>44</v>
      </c>
      <c r="C31" s="32">
        <f>transfer!C29</f>
        <v>2400</v>
      </c>
      <c r="D31" s="14"/>
      <c r="E31" s="32">
        <f>transfer!D29</f>
        <v>0</v>
      </c>
      <c r="F31" s="62"/>
      <c r="G31" s="32">
        <f>transfer!E29</f>
        <v>0</v>
      </c>
      <c r="H31" s="14"/>
      <c r="I31" s="14"/>
      <c r="K31" s="575"/>
      <c r="L31" s="569"/>
      <c r="M31" s="569"/>
      <c r="N31" s="576"/>
    </row>
    <row r="32" spans="2:14" ht="16.5" thickBot="1">
      <c r="B32" s="83" t="s">
        <v>45</v>
      </c>
      <c r="C32" s="596">
        <f>C30-C31</f>
        <v>22475.31</v>
      </c>
      <c r="D32" s="14"/>
      <c r="E32" s="596">
        <f>E30-E31</f>
        <v>20853</v>
      </c>
      <c r="F32" s="14"/>
      <c r="G32" s="596">
        <f>G30-G31</f>
        <v>24600</v>
      </c>
      <c r="H32" s="14"/>
      <c r="I32" s="14"/>
      <c r="K32" s="575" t="str">
        <f>CONCATENATE("",I1," Ad Valorem Tax Revenue:")</f>
        <v>2012 Ad Valorem Tax Revenue:</v>
      </c>
      <c r="L32" s="569"/>
      <c r="M32" s="569"/>
      <c r="N32" s="570">
        <f>H30</f>
        <v>18437.14</v>
      </c>
    </row>
    <row r="33" spans="2:14" ht="16.5" thickTop="1">
      <c r="B33" s="83" t="s">
        <v>46</v>
      </c>
      <c r="C33" s="597">
        <f>inputPrYr!E52</f>
        <v>17100</v>
      </c>
      <c r="D33" s="62"/>
      <c r="E33" s="597">
        <f>inputPrYr!E25</f>
        <v>17849</v>
      </c>
      <c r="F33" s="14"/>
      <c r="G33" s="588" t="s">
        <v>302</v>
      </c>
      <c r="H33" s="14"/>
      <c r="I33" s="14"/>
      <c r="K33" s="575" t="str">
        <f>CONCATENATE("",I1-1," Ad Valorem Tax Revenue:")</f>
        <v>2011 Ad Valorem Tax Revenue:</v>
      </c>
      <c r="L33" s="569"/>
      <c r="M33" s="569"/>
      <c r="N33" s="583">
        <f>ROUND(G35*N25/1000,0)</f>
        <v>18428</v>
      </c>
    </row>
    <row r="34" spans="2:14" ht="15.75">
      <c r="B34" s="279" t="s">
        <v>47</v>
      </c>
      <c r="C34" s="55"/>
      <c r="D34" s="62"/>
      <c r="E34" s="55"/>
      <c r="F34" s="62"/>
      <c r="G34" s="14"/>
      <c r="H34" s="14"/>
      <c r="I34" s="14"/>
      <c r="K34" s="580" t="s">
        <v>747</v>
      </c>
      <c r="L34" s="581"/>
      <c r="M34" s="581"/>
      <c r="N34" s="573">
        <f>N32-N33</f>
        <v>9.139999999999418</v>
      </c>
    </row>
    <row r="35" spans="2:14" ht="15.75">
      <c r="B35" s="606" t="s">
        <v>48</v>
      </c>
      <c r="C35" s="31">
        <f>inputPrYr!E53</f>
        <v>680499</v>
      </c>
      <c r="D35" s="14"/>
      <c r="E35" s="32">
        <f>inputOth!E28</f>
        <v>692394</v>
      </c>
      <c r="F35" s="14"/>
      <c r="G35" s="32">
        <f>inputOth!E7</f>
        <v>714832</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25.792</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t="s">
        <v>825</v>
      </c>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9</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Bigelow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714832</v>
      </c>
      <c r="E18" s="14"/>
      <c r="F18" s="140"/>
    </row>
    <row r="19" spans="1:6" ht="15.75">
      <c r="A19" s="14"/>
      <c r="B19" s="14"/>
      <c r="C19" s="14"/>
      <c r="D19" s="14"/>
      <c r="E19" s="14"/>
      <c r="F19" s="140"/>
    </row>
    <row r="20" spans="1:6" ht="15.75">
      <c r="A20" s="14"/>
      <c r="B20" s="682" t="s">
        <v>379</v>
      </c>
      <c r="C20" s="682"/>
      <c r="D20" s="148">
        <f>IF(D18&gt;0,(D18*0.001),"")</f>
        <v>714.832</v>
      </c>
      <c r="E20" s="14"/>
      <c r="F20" s="140"/>
    </row>
    <row r="21" spans="1:6" ht="15.75">
      <c r="A21" s="14"/>
      <c r="B21" s="48"/>
      <c r="C21" s="48"/>
      <c r="D21" s="149"/>
      <c r="E21" s="14"/>
      <c r="F21" s="140"/>
    </row>
    <row r="22" spans="1:6" ht="15.75">
      <c r="A22" s="680" t="s">
        <v>381</v>
      </c>
      <c r="B22" s="625"/>
      <c r="C22" s="625"/>
      <c r="D22" s="150">
        <f>inputOth!E13</f>
        <v>0</v>
      </c>
      <c r="E22" s="151"/>
      <c r="F22" s="151"/>
    </row>
    <row r="23" spans="1:6" ht="15.75">
      <c r="A23" s="151"/>
      <c r="B23" s="151"/>
      <c r="C23" s="151"/>
      <c r="D23" s="152"/>
      <c r="E23" s="151"/>
      <c r="F23" s="151"/>
    </row>
    <row r="24" spans="1:6" ht="15.75">
      <c r="A24" s="151"/>
      <c r="B24" s="680" t="s">
        <v>382</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133</v>
      </c>
      <c r="B1" s="690"/>
      <c r="C1" s="690"/>
      <c r="D1" s="690"/>
      <c r="E1" s="690"/>
      <c r="F1" s="690"/>
      <c r="G1" s="690"/>
    </row>
    <row r="2" ht="15.75">
      <c r="A2" s="1"/>
    </row>
    <row r="3" spans="1:7" ht="15.75">
      <c r="A3" s="691" t="s">
        <v>134</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Bigelow Township </v>
      </c>
      <c r="I6">
        <f>CONCATENATE(I7)</f>
      </c>
    </row>
    <row r="7" spans="1:7" ht="15.75">
      <c r="A7" s="692" t="str">
        <f>CONCATENATE("   with respect to financing the ",inputPrYr!D5," annual budget for ",(inputPrYr!D2)," , ",(inputPrYr!D3)," , Kansas.")</f>
        <v>   with respect to financing the 2012 annual budget for Bigelow Township , Marshall County  , Kansas.</v>
      </c>
      <c r="B7" s="685"/>
      <c r="C7" s="685"/>
      <c r="D7" s="685"/>
      <c r="E7" s="685"/>
      <c r="F7" s="685"/>
      <c r="G7" s="685"/>
    </row>
    <row r="8" spans="1:7" ht="15.75">
      <c r="A8" s="685"/>
      <c r="B8" s="685"/>
      <c r="C8" s="685"/>
      <c r="D8" s="685"/>
      <c r="E8" s="685"/>
      <c r="F8" s="685"/>
      <c r="G8" s="685"/>
    </row>
    <row r="9" ht="15.75">
      <c r="A9" s="1"/>
    </row>
    <row r="10" ht="15.75">
      <c r="A10" s="9" t="s">
        <v>135</v>
      </c>
    </row>
    <row r="11" ht="15.75">
      <c r="A11" s="7" t="str">
        <f>CONCATENATE("to finance the ",inputPrYr!D5," ",(inputPrYr!D2)," budget exceed the amount levied to finance the ",inputPrYr!D5-1,"")</f>
        <v>to finance the 2012 Bigelow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Bigelow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140</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136</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Bigelow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137</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Bigelow Township of Marshall County , Kansas that is our desire to notify the public of increased property taxes to finance the 2012 Bigelow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_________ day of ___________, ",inputPrYr!D5-1," by the ",(inputPrYr!D2)," Board, ",(inputPrYr!D3),", Kansas.")</f>
        <v>Adopted this _________ day of ___________, 2011 by the Bigelow Township Board, Marshall County ,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Bigelow Township Board</v>
      </c>
      <c r="E33" s="686"/>
      <c r="F33" s="686"/>
      <c r="G33" s="686"/>
    </row>
    <row r="35" spans="4:7" ht="15.75">
      <c r="D35" s="683" t="s">
        <v>138</v>
      </c>
      <c r="E35" s="683"/>
      <c r="F35" s="683"/>
      <c r="G35" s="683"/>
    </row>
    <row r="36" spans="1:7" ht="15.75">
      <c r="A36" s="5"/>
      <c r="D36" s="683" t="s">
        <v>142</v>
      </c>
      <c r="E36" s="683"/>
      <c r="F36" s="683"/>
      <c r="G36" s="683"/>
    </row>
    <row r="37" spans="4:7" ht="15.75">
      <c r="D37" s="683"/>
      <c r="E37" s="683"/>
      <c r="F37" s="683"/>
      <c r="G37" s="683"/>
    </row>
    <row r="38" spans="4:7" ht="15.75">
      <c r="D38" s="683" t="s">
        <v>138</v>
      </c>
      <c r="E38" s="683"/>
      <c r="F38" s="683"/>
      <c r="G38" s="683"/>
    </row>
    <row r="39" spans="1:7" ht="15.75">
      <c r="A39" s="4"/>
      <c r="D39" s="683" t="s">
        <v>143</v>
      </c>
      <c r="E39" s="683"/>
      <c r="F39" s="683"/>
      <c r="G39" s="683"/>
    </row>
    <row r="40" spans="4:7" ht="15.75">
      <c r="D40" s="683"/>
      <c r="E40" s="683"/>
      <c r="F40" s="683"/>
      <c r="G40" s="683"/>
    </row>
    <row r="41" spans="4:7" ht="15.75">
      <c r="D41" s="683" t="s">
        <v>141</v>
      </c>
      <c r="E41" s="683"/>
      <c r="F41" s="683"/>
      <c r="G41" s="683"/>
    </row>
    <row r="42" spans="1:7" ht="15.75">
      <c r="A42" s="4"/>
      <c r="D42" s="683" t="s">
        <v>144</v>
      </c>
      <c r="E42" s="683"/>
      <c r="F42" s="683"/>
      <c r="G42" s="683"/>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650</v>
      </c>
      <c r="C6" s="710"/>
      <c r="D6" s="710"/>
      <c r="E6" s="710"/>
      <c r="F6" s="710"/>
      <c r="G6" s="710"/>
      <c r="H6" s="710"/>
      <c r="I6" s="710"/>
      <c r="J6" s="710"/>
      <c r="K6" s="710"/>
      <c r="L6" s="446"/>
    </row>
    <row r="7" spans="1:12" ht="40.5" customHeight="1">
      <c r="A7" s="443"/>
      <c r="B7" s="721" t="s">
        <v>651</v>
      </c>
      <c r="C7" s="722"/>
      <c r="D7" s="722"/>
      <c r="E7" s="722"/>
      <c r="F7" s="722"/>
      <c r="G7" s="722"/>
      <c r="H7" s="722"/>
      <c r="I7" s="722"/>
      <c r="J7" s="722"/>
      <c r="K7" s="722"/>
      <c r="L7" s="443"/>
    </row>
    <row r="8" spans="1:12" ht="14.25">
      <c r="A8" s="443"/>
      <c r="B8" s="718" t="s">
        <v>652</v>
      </c>
      <c r="C8" s="718"/>
      <c r="D8" s="718"/>
      <c r="E8" s="718"/>
      <c r="F8" s="718"/>
      <c r="G8" s="718"/>
      <c r="H8" s="718"/>
      <c r="I8" s="718"/>
      <c r="J8" s="718"/>
      <c r="K8" s="718"/>
      <c r="L8" s="443"/>
    </row>
    <row r="9" spans="1:12" ht="14.25">
      <c r="A9" s="443"/>
      <c r="L9" s="443"/>
    </row>
    <row r="10" spans="1:12" ht="14.25">
      <c r="A10" s="443"/>
      <c r="B10" s="718" t="s">
        <v>653</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654</v>
      </c>
      <c r="C12" s="703"/>
      <c r="D12" s="703"/>
      <c r="E12" s="703"/>
      <c r="F12" s="703"/>
      <c r="G12" s="703"/>
      <c r="H12" s="703"/>
      <c r="I12" s="703"/>
      <c r="J12" s="703"/>
      <c r="K12" s="703"/>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705">
        <v>133685008</v>
      </c>
      <c r="G23" s="705"/>
      <c r="L23" s="443"/>
    </row>
    <row r="24" spans="1:12" ht="14.25">
      <c r="A24" s="443"/>
      <c r="L24" s="443"/>
    </row>
    <row r="25" spans="1:12" ht="14.25">
      <c r="A25" s="443"/>
      <c r="C25" s="719">
        <f>F23</f>
        <v>133685008</v>
      </c>
      <c r="D25" s="719"/>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651</v>
      </c>
      <c r="C30" s="707"/>
      <c r="D30" s="707"/>
      <c r="E30" s="707"/>
      <c r="F30" s="707"/>
      <c r="G30" s="707"/>
      <c r="H30" s="707"/>
      <c r="I30" s="707"/>
      <c r="J30" s="707"/>
      <c r="K30" s="707"/>
      <c r="L30" s="443"/>
    </row>
    <row r="31" spans="1:12" ht="14.25">
      <c r="A31" s="443"/>
      <c r="B31" s="718" t="s">
        <v>665</v>
      </c>
      <c r="C31" s="718"/>
      <c r="D31" s="718"/>
      <c r="E31" s="718"/>
      <c r="F31" s="718"/>
      <c r="G31" s="718"/>
      <c r="H31" s="718"/>
      <c r="I31" s="718"/>
      <c r="J31" s="718"/>
      <c r="K31" s="718"/>
      <c r="L31" s="443"/>
    </row>
    <row r="32" spans="1:12" ht="14.25">
      <c r="A32" s="443"/>
      <c r="L32" s="443"/>
    </row>
    <row r="33" spans="1:12" ht="14.25">
      <c r="A33" s="443"/>
      <c r="B33" s="718" t="s">
        <v>666</v>
      </c>
      <c r="C33" s="718"/>
      <c r="D33" s="718"/>
      <c r="E33" s="718"/>
      <c r="F33" s="718"/>
      <c r="G33" s="718"/>
      <c r="H33" s="718"/>
      <c r="I33" s="718"/>
      <c r="J33" s="718"/>
      <c r="K33" s="718"/>
      <c r="L33" s="443"/>
    </row>
    <row r="34" spans="1:12" ht="14.25">
      <c r="A34" s="443"/>
      <c r="L34" s="443"/>
    </row>
    <row r="35" spans="1:12" ht="89.25" customHeight="1">
      <c r="A35" s="443"/>
      <c r="B35" s="703" t="s">
        <v>667</v>
      </c>
      <c r="C35" s="713"/>
      <c r="D35" s="713"/>
      <c r="E35" s="713"/>
      <c r="F35" s="713"/>
      <c r="G35" s="713"/>
      <c r="H35" s="713"/>
      <c r="I35" s="713"/>
      <c r="J35" s="713"/>
      <c r="K35" s="713"/>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20">
        <v>3120000</v>
      </c>
      <c r="D41" s="720"/>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705">
        <v>133685008</v>
      </c>
      <c r="C48" s="705"/>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14" t="s">
        <v>675</v>
      </c>
      <c r="H50" s="715"/>
      <c r="I50" s="456" t="s">
        <v>661</v>
      </c>
      <c r="J50" s="466">
        <f>B50/F50</f>
        <v>52.8690023342034</v>
      </c>
      <c r="K50" s="458"/>
      <c r="L50" s="443"/>
    </row>
    <row r="51" spans="1:15" ht="15" thickBot="1">
      <c r="A51" s="443"/>
      <c r="B51" s="459"/>
      <c r="C51" s="460"/>
      <c r="D51" s="460"/>
      <c r="E51" s="460"/>
      <c r="F51" s="460"/>
      <c r="G51" s="460"/>
      <c r="H51" s="460"/>
      <c r="I51" s="716" t="s">
        <v>676</v>
      </c>
      <c r="J51" s="716"/>
      <c r="K51" s="717"/>
      <c r="L51" s="443"/>
      <c r="O51" s="467"/>
    </row>
    <row r="52" spans="1:12" ht="40.5" customHeight="1">
      <c r="A52" s="443"/>
      <c r="B52" s="707" t="s">
        <v>651</v>
      </c>
      <c r="C52" s="707"/>
      <c r="D52" s="707"/>
      <c r="E52" s="707"/>
      <c r="F52" s="707"/>
      <c r="G52" s="707"/>
      <c r="H52" s="707"/>
      <c r="I52" s="707"/>
      <c r="J52" s="707"/>
      <c r="K52" s="707"/>
      <c r="L52" s="443"/>
    </row>
    <row r="53" spans="1:12" ht="14.25">
      <c r="A53" s="443"/>
      <c r="B53" s="718" t="s">
        <v>677</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678</v>
      </c>
      <c r="C55" s="702"/>
      <c r="D55" s="702"/>
      <c r="E55" s="702"/>
      <c r="F55" s="702"/>
      <c r="G55" s="702"/>
      <c r="H55" s="702"/>
      <c r="I55" s="702"/>
      <c r="J55" s="702"/>
      <c r="K55" s="702"/>
      <c r="L55" s="443"/>
    </row>
    <row r="56" spans="1:12" ht="15" customHeight="1">
      <c r="A56" s="443"/>
      <c r="L56" s="443"/>
    </row>
    <row r="57" spans="1:24" ht="74.25" customHeight="1">
      <c r="A57" s="443"/>
      <c r="B57" s="703" t="s">
        <v>679</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705">
        <v>133685008</v>
      </c>
      <c r="D74" s="705"/>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705">
        <v>5000</v>
      </c>
      <c r="D77" s="705"/>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705">
        <v>100000</v>
      </c>
      <c r="D80" s="705"/>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6">
        <f>H80</f>
        <v>11500</v>
      </c>
      <c r="D83" s="706"/>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651</v>
      </c>
      <c r="C85" s="707"/>
      <c r="D85" s="707"/>
      <c r="E85" s="707"/>
      <c r="F85" s="707"/>
      <c r="G85" s="707"/>
      <c r="H85" s="707"/>
      <c r="I85" s="707"/>
      <c r="J85" s="707"/>
      <c r="K85" s="707"/>
      <c r="L85" s="443"/>
    </row>
    <row r="86" spans="1:12" ht="14.25">
      <c r="A86" s="443"/>
      <c r="B86" s="702" t="s">
        <v>699</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700</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701</v>
      </c>
      <c r="C90" s="703"/>
      <c r="D90" s="703"/>
      <c r="E90" s="703"/>
      <c r="F90" s="703"/>
      <c r="G90" s="703"/>
      <c r="H90" s="703"/>
      <c r="I90" s="703"/>
      <c r="J90" s="703"/>
      <c r="K90" s="703"/>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705">
        <v>133685008</v>
      </c>
      <c r="D94" s="705"/>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705">
        <v>50000</v>
      </c>
      <c r="D97" s="705"/>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705">
        <v>2500000</v>
      </c>
      <c r="D100" s="705"/>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6">
        <f>H100</f>
        <v>750000</v>
      </c>
      <c r="D103" s="706"/>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651</v>
      </c>
      <c r="C105" s="708"/>
      <c r="D105" s="708"/>
      <c r="E105" s="708"/>
      <c r="F105" s="708"/>
      <c r="G105" s="708"/>
      <c r="H105" s="708"/>
      <c r="I105" s="708"/>
      <c r="J105" s="708"/>
      <c r="K105" s="708"/>
      <c r="L105" s="443"/>
    </row>
    <row r="106" spans="1:12" ht="15" customHeight="1">
      <c r="A106" s="443"/>
      <c r="B106" s="709" t="s">
        <v>703</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705">
        <v>133685008</v>
      </c>
      <c r="D114" s="705"/>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705">
        <v>50000</v>
      </c>
      <c r="D117" s="705"/>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705">
        <v>2500000</v>
      </c>
      <c r="D120" s="705"/>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6">
        <f>H120</f>
        <v>625000</v>
      </c>
      <c r="D123" s="706"/>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651</v>
      </c>
      <c r="C125" s="707"/>
      <c r="D125" s="707"/>
      <c r="E125" s="707"/>
      <c r="F125" s="707"/>
      <c r="G125" s="707"/>
      <c r="H125" s="707"/>
      <c r="I125" s="707"/>
      <c r="J125" s="707"/>
      <c r="K125" s="707"/>
      <c r="L125" s="498"/>
    </row>
    <row r="126" spans="1:12" ht="14.25">
      <c r="A126" s="443"/>
      <c r="B126" s="702" t="s">
        <v>706</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707</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708</v>
      </c>
      <c r="C130" s="703"/>
      <c r="D130" s="703"/>
      <c r="E130" s="703"/>
      <c r="F130" s="703"/>
      <c r="G130" s="703"/>
      <c r="H130" s="703"/>
      <c r="I130" s="703"/>
      <c r="J130" s="703"/>
      <c r="K130" s="703"/>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04" t="s">
        <v>709</v>
      </c>
      <c r="D133" s="704"/>
      <c r="E133" s="455"/>
      <c r="F133" s="456" t="s">
        <v>710</v>
      </c>
      <c r="G133" s="455"/>
      <c r="H133" s="704" t="s">
        <v>695</v>
      </c>
      <c r="I133" s="704"/>
      <c r="J133" s="455"/>
      <c r="K133" s="458"/>
      <c r="L133" s="443"/>
    </row>
    <row r="134" spans="1:12" ht="14.25">
      <c r="A134" s="443"/>
      <c r="B134" s="464" t="s">
        <v>688</v>
      </c>
      <c r="C134" s="705">
        <v>100000</v>
      </c>
      <c r="D134" s="705"/>
      <c r="E134" s="456" t="s">
        <v>302</v>
      </c>
      <c r="F134" s="456">
        <v>0.115</v>
      </c>
      <c r="G134" s="456" t="s">
        <v>661</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695</v>
      </c>
      <c r="D136" s="693"/>
      <c r="E136" s="475"/>
      <c r="F136" s="476" t="s">
        <v>711</v>
      </c>
      <c r="G136" s="476"/>
      <c r="H136" s="475"/>
      <c r="I136" s="475"/>
      <c r="J136" s="475" t="s">
        <v>712</v>
      </c>
      <c r="K136" s="477"/>
      <c r="L136" s="443"/>
    </row>
    <row r="137" spans="1:12" ht="14.25">
      <c r="A137" s="443"/>
      <c r="B137" s="464" t="s">
        <v>691</v>
      </c>
      <c r="C137" s="694">
        <f>H134</f>
        <v>11500</v>
      </c>
      <c r="D137" s="694"/>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715</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94" t="s">
        <v>716</v>
      </c>
      <c r="D147" s="694"/>
      <c r="E147" s="456"/>
      <c r="F147" s="516" t="s">
        <v>717</v>
      </c>
      <c r="G147" s="456"/>
      <c r="H147" s="456"/>
      <c r="I147" s="456"/>
      <c r="J147" s="698" t="s">
        <v>718</v>
      </c>
      <c r="K147" s="699"/>
      <c r="L147" s="443"/>
    </row>
    <row r="148" spans="1:12" ht="14.25">
      <c r="A148" s="443"/>
      <c r="B148" s="464"/>
      <c r="C148" s="700">
        <v>52.869</v>
      </c>
      <c r="D148" s="700"/>
      <c r="E148" s="456" t="s">
        <v>302</v>
      </c>
      <c r="F148" s="521">
        <v>133685008</v>
      </c>
      <c r="G148" s="522" t="s">
        <v>662</v>
      </c>
      <c r="H148" s="456">
        <v>1000</v>
      </c>
      <c r="I148" s="456" t="s">
        <v>661</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6">
      <selection activeCell="E37" sqref="E3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Bigelow Township</v>
      </c>
      <c r="B1" s="101"/>
      <c r="C1" s="101"/>
      <c r="D1" s="101"/>
      <c r="E1" s="101">
        <f>inputPrYr!D5</f>
        <v>2012</v>
      </c>
    </row>
    <row r="2" spans="1:5" ht="15.75">
      <c r="A2" s="99" t="str">
        <f>inputPrYr!D3</f>
        <v>Marshall County </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714832</v>
      </c>
    </row>
    <row r="8" spans="1:5" ht="15.75">
      <c r="A8" s="22" t="str">
        <f>CONCATENATE("New Improvements for ",E1-1,"")</f>
        <v>New Improvements for 2011</v>
      </c>
      <c r="B8" s="19"/>
      <c r="C8" s="19"/>
      <c r="D8" s="19"/>
      <c r="E8" s="309">
        <v>22592</v>
      </c>
    </row>
    <row r="9" spans="1:5" ht="15.75">
      <c r="A9" s="22" t="str">
        <f>CONCATENATE("Personal Property excluding oil, gas, and mobile homes - ",E1-1,"")</f>
        <v>Personal Property excluding oil, gas, and mobile homes - 2011</v>
      </c>
      <c r="B9" s="19"/>
      <c r="C9" s="19"/>
      <c r="D9" s="19"/>
      <c r="E9" s="309">
        <v>2264</v>
      </c>
    </row>
    <row r="10" spans="1:5" ht="15.75">
      <c r="A10" s="22" t="str">
        <f>CONCATENATE("Property that has changed in use for ",E1-1,"")</f>
        <v>Property that has changed in use for 2011</v>
      </c>
      <c r="B10" s="19"/>
      <c r="C10" s="19"/>
      <c r="D10" s="19"/>
      <c r="E10" s="309">
        <v>414</v>
      </c>
    </row>
    <row r="11" spans="1:5" ht="15.75">
      <c r="A11" s="22" t="str">
        <f>CONCATENATE("Personal Property excluding oil, gas, and mobile homes- ",E1-2,"")</f>
        <v>Personal Property excluding oil, gas, and mobile homes- 2010</v>
      </c>
      <c r="B11" s="19"/>
      <c r="C11" s="19"/>
      <c r="D11" s="19"/>
      <c r="E11" s="309">
        <v>2688</v>
      </c>
    </row>
    <row r="12" spans="1:5" ht="15.75">
      <c r="A12" s="22" t="str">
        <f>CONCATENATE("Gross earnings (intangible) tax estimate for ",E1,"")</f>
        <v>Gross earnings (intangible) tax estimate for 2012</v>
      </c>
      <c r="B12" s="19"/>
      <c r="C12" s="19"/>
      <c r="D12" s="19"/>
      <c r="E12" s="309">
        <v>1450.09</v>
      </c>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v>25.779</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25.779</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692394</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849.28</v>
      </c>
    </row>
    <row r="32" spans="1:5" ht="15.75">
      <c r="A32" s="322" t="s">
        <v>289</v>
      </c>
      <c r="B32" s="291"/>
      <c r="C32" s="291"/>
      <c r="D32" s="31"/>
      <c r="E32" s="34">
        <v>36.89</v>
      </c>
    </row>
    <row r="33" spans="1:5" ht="15.75">
      <c r="A33" s="322" t="s">
        <v>165</v>
      </c>
      <c r="B33" s="291"/>
      <c r="C33" s="291"/>
      <c r="D33" s="31"/>
      <c r="E33" s="34">
        <v>163.2</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1500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979</v>
      </c>
      <c r="C46" s="328" t="s">
        <v>222</v>
      </c>
      <c r="D46" s="329"/>
      <c r="E46" s="329"/>
    </row>
    <row r="47" spans="1:5" ht="15.75">
      <c r="A47" s="330" t="str">
        <f>inputPrYr!B17</f>
        <v>Debt Service</v>
      </c>
      <c r="B47" s="36"/>
      <c r="C47" s="328"/>
      <c r="D47" s="329"/>
      <c r="E47" s="329"/>
    </row>
    <row r="48" spans="1:5" ht="15.75">
      <c r="A48" s="330" t="str">
        <f>inputPrYr!B18</f>
        <v>Road</v>
      </c>
      <c r="B48" s="36">
        <v>20350</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5" t="s">
        <v>808</v>
      </c>
    </row>
    <row r="10" ht="15.75">
      <c r="A10" s="401" t="s">
        <v>804</v>
      </c>
    </row>
    <row r="11" ht="15.75">
      <c r="A11" s="91" t="s">
        <v>805</v>
      </c>
    </row>
    <row r="12" ht="15.75">
      <c r="A12" s="91" t="s">
        <v>806</v>
      </c>
    </row>
    <row r="14" ht="15.75">
      <c r="A14" s="401" t="s">
        <v>777</v>
      </c>
    </row>
    <row r="15" ht="15.75">
      <c r="A15" s="605" t="s">
        <v>778</v>
      </c>
    </row>
    <row r="16" ht="15.75">
      <c r="A16" s="605" t="s">
        <v>779</v>
      </c>
    </row>
    <row r="17" ht="31.5">
      <c r="A17" s="604"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800</v>
      </c>
    </row>
    <row r="28" ht="15.75">
      <c r="A28" s="605" t="s">
        <v>790</v>
      </c>
    </row>
    <row r="29" ht="15.75">
      <c r="A29" s="605" t="s">
        <v>791</v>
      </c>
    </row>
    <row r="30" ht="15.75">
      <c r="A30" s="605" t="s">
        <v>792</v>
      </c>
    </row>
    <row r="31" ht="15.75">
      <c r="A31" s="605" t="s">
        <v>793</v>
      </c>
    </row>
    <row r="32" ht="15.75">
      <c r="A32" s="605" t="s">
        <v>794</v>
      </c>
    </row>
    <row r="33" ht="15.75">
      <c r="A33" s="605" t="s">
        <v>795</v>
      </c>
    </row>
    <row r="34" ht="15.75">
      <c r="A34" s="605" t="s">
        <v>796</v>
      </c>
    </row>
    <row r="35" ht="15.75">
      <c r="A35" s="605" t="s">
        <v>797</v>
      </c>
    </row>
    <row r="36" ht="15.75">
      <c r="A36" s="605" t="s">
        <v>798</v>
      </c>
    </row>
    <row r="37" ht="15.75">
      <c r="A37" s="605"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822</v>
      </c>
      <c r="C5" s="387"/>
      <c r="D5" s="384" t="s">
        <v>802</v>
      </c>
      <c r="E5" s="383"/>
      <c r="F5" s="383"/>
    </row>
    <row r="6" spans="1:6" ht="15.75">
      <c r="A6" s="384"/>
      <c r="B6" s="388"/>
      <c r="C6" s="389"/>
      <c r="D6" s="384" t="s">
        <v>801</v>
      </c>
      <c r="E6" s="383"/>
      <c r="F6" s="383"/>
    </row>
    <row r="7" spans="1:6" ht="15.75">
      <c r="A7" s="384" t="s">
        <v>387</v>
      </c>
      <c r="B7" s="386" t="s">
        <v>823</v>
      </c>
      <c r="C7" s="390"/>
      <c r="D7" s="384"/>
      <c r="E7" s="383"/>
      <c r="F7" s="383"/>
    </row>
    <row r="8" spans="1:6" ht="15.75">
      <c r="A8" s="384"/>
      <c r="B8" s="384"/>
      <c r="C8" s="384"/>
      <c r="D8" s="384"/>
      <c r="E8" s="383"/>
      <c r="F8" s="383"/>
    </row>
    <row r="9" spans="1:6" ht="15.75">
      <c r="A9" s="384" t="s">
        <v>388</v>
      </c>
      <c r="B9" s="391" t="s">
        <v>824</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824</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Marshall County , State of Kansas</v>
      </c>
      <c r="C3" s="634"/>
      <c r="D3" s="634"/>
      <c r="E3" s="634"/>
      <c r="F3" s="634"/>
      <c r="G3" s="634"/>
      <c r="H3" s="634"/>
    </row>
    <row r="4" spans="2:7" s="14" customFormat="1" ht="15.75">
      <c r="B4" s="158" t="s">
        <v>156</v>
      </c>
      <c r="C4" s="156"/>
      <c r="D4" s="156"/>
      <c r="E4" s="156"/>
      <c r="F4" s="156"/>
      <c r="G4" s="156"/>
    </row>
    <row r="5" s="14" customFormat="1" ht="15.75">
      <c r="D5" s="427" t="str">
        <f>inputPrYr!D2</f>
        <v>Bigelow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749</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1200</v>
      </c>
      <c r="F20" s="172">
        <f>IF(gen!$E$57&lt;&gt;0,gen!$E$57,0)</f>
        <v>0</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23400</v>
      </c>
      <c r="F22" s="172">
        <f>IF(road!$E$50&lt;&gt;0,road!$E$50,"  ")</f>
        <v>18437.14</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Non-Budgeted Funds</v>
      </c>
      <c r="C31" s="25"/>
      <c r="D31" s="288">
        <f>IF(nonbud!$F$33&gt;0,nonbud!$F$33,"  ")</f>
        <v>8</v>
      </c>
      <c r="E31" s="172"/>
      <c r="F31" s="172"/>
      <c r="G31" s="168"/>
    </row>
    <row r="32" spans="2:7" s="14" customFormat="1" ht="15.75">
      <c r="B32" s="27" t="s">
        <v>300</v>
      </c>
      <c r="C32" s="287"/>
      <c r="D32" s="288">
        <f>IF(road!C67&gt;0,road!C67,"  ")</f>
        <v>7</v>
      </c>
      <c r="E32" s="192"/>
      <c r="F32" s="192"/>
      <c r="G32" s="168"/>
    </row>
    <row r="33" spans="2:7" s="14" customFormat="1" ht="16.5" thickBot="1">
      <c r="B33" s="290" t="s">
        <v>301</v>
      </c>
      <c r="C33" s="291"/>
      <c r="D33" s="170" t="s">
        <v>302</v>
      </c>
      <c r="E33" s="292">
        <f>SUM(E20:E28)</f>
        <v>24600</v>
      </c>
      <c r="F33" s="292">
        <f>SUM(F20:F28)</f>
        <v>18437.14</v>
      </c>
      <c r="G33" s="293">
        <f>IF(SUM(G20:G28)&gt;0,SUM(G20:G28),"")</f>
      </c>
    </row>
    <row r="34" spans="2:4" s="14" customFormat="1" ht="16.5" thickTop="1">
      <c r="B34" s="27" t="s">
        <v>175</v>
      </c>
      <c r="C34" s="283"/>
      <c r="D34" s="288">
        <f>summ!D47</f>
        <v>9</v>
      </c>
    </row>
    <row r="35" spans="2:6" s="14" customFormat="1" ht="15.75">
      <c r="B35" s="27" t="s">
        <v>226</v>
      </c>
      <c r="C35" s="28"/>
      <c r="D35" s="288">
        <f>IF(nhood!C37&gt;0,nhood!C37,"")</f>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Bigelow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17849</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17849</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22592</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2264</v>
      </c>
      <c r="F14" s="270"/>
      <c r="G14" s="55"/>
      <c r="H14" s="55"/>
      <c r="I14" s="53"/>
      <c r="J14" s="55"/>
    </row>
    <row r="15" spans="1:10" ht="15.75">
      <c r="A15" s="269"/>
      <c r="B15" s="14" t="s">
        <v>91</v>
      </c>
      <c r="C15" s="14" t="str">
        <f>CONCATENATE("Personal Property ",J1-2,"")</f>
        <v>Personal Property 2010</v>
      </c>
      <c r="D15" s="269" t="s">
        <v>86</v>
      </c>
      <c r="E15" s="273">
        <f>inputOth!E11</f>
        <v>2688</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414</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23006</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714832</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691826</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0.03325402630141105</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594</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18443</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18443</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Bigelow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17849</v>
      </c>
      <c r="E13" s="253">
        <f>IF(inputOth!D19&gt;0,inputOth!D19,"  ")</f>
        <v>25.779</v>
      </c>
      <c r="F13" s="254"/>
      <c r="G13" s="96">
        <f>IF(inputPrYr!E18=0,0,ROUND(D13*$G$30,0))</f>
        <v>849</v>
      </c>
      <c r="H13" s="255"/>
      <c r="I13" s="96">
        <f>IF(inputPrYr!$E$18=0,0,ROUND($D$13*$I$32,0))</f>
        <v>37</v>
      </c>
      <c r="J13" s="96">
        <f>IF(inputPrYr!E18=0,0,ROUND($D13*$J$34,0))</f>
        <v>163</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17849</v>
      </c>
      <c r="E20" s="259">
        <f>SUM(E11:E19)</f>
        <v>25.779</v>
      </c>
      <c r="F20" s="260"/>
      <c r="G20" s="258">
        <f>SUM(G11:G19)</f>
        <v>849</v>
      </c>
      <c r="H20" s="258"/>
      <c r="I20" s="258">
        <f>SUM(I11:I19)</f>
        <v>37</v>
      </c>
      <c r="J20" s="258">
        <f>SUM(J11:J19)</f>
        <v>163</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849.28</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36.89</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163.2</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0.04758137710796123</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0.0020667824527984763</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0.009143369376435654</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Bigelow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2400</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2400</v>
      </c>
      <c r="D27" s="245">
        <f>SUM(D10:D26)</f>
        <v>0</v>
      </c>
      <c r="E27" s="245">
        <f>SUM(E10:E26)</f>
        <v>0</v>
      </c>
      <c r="F27" s="140"/>
    </row>
    <row r="28" spans="1:6" ht="15.75">
      <c r="A28" s="140"/>
      <c r="B28" s="244" t="s">
        <v>633</v>
      </c>
      <c r="C28" s="140"/>
      <c r="D28" s="241"/>
      <c r="E28" s="241"/>
      <c r="F28" s="140"/>
    </row>
    <row r="29" spans="1:6" ht="15.75">
      <c r="A29" s="140"/>
      <c r="B29" s="192" t="s">
        <v>184</v>
      </c>
      <c r="C29" s="246">
        <f>C27</f>
        <v>2400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2011-07-26T19:19:41Z</cp:lastPrinted>
  <dcterms:created xsi:type="dcterms:W3CDTF">1998-08-26T16:30:41Z</dcterms:created>
  <dcterms:modified xsi:type="dcterms:W3CDTF">2011-08-15T18:32:33Z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