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summ" sheetId="13" r:id="rId13"/>
    <sheet name="DebtService"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'DebtService'!$B$1:$E$62</definedName>
    <definedName name="_xlnm.Print_Area" localSheetId="11">'gen'!$B$1:$E$61</definedName>
    <definedName name="_xlnm.Print_Area" localSheetId="1">'inputPrYr'!$A$1:$E$83</definedName>
    <definedName name="_xlnm.Print_Area" localSheetId="14">'road'!$B$1:$F$68</definedName>
    <definedName name="_xlnm.Print_Area" localSheetId="12">'summ'!$B$1:$I$47</definedName>
  </definedNames>
  <calcPr fullCalcOnLoad="1"/>
</workbook>
</file>

<file path=xl/sharedStrings.xml><?xml version="1.0" encoding="utf-8"?>
<sst xmlns="http://schemas.openxmlformats.org/spreadsheetml/2006/main" count="1371" uniqueCount="820">
  <si>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</si>
  <si>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</si>
  <si>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</si>
  <si>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</si>
  <si>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</si>
  <si>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</si>
  <si>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</si>
  <si>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</si>
  <si>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</si>
  <si>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</si>
  <si>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</si>
  <si>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</si>
  <si>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</si>
  <si>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</si>
  <si>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</si>
  <si>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</si>
  <si>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</si>
  <si>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</si>
  <si>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</si>
  <si>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</si>
  <si>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</si>
  <si>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</si>
  <si>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</si>
  <si>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</si>
  <si>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</si>
  <si>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</si>
  <si>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</si>
  <si>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</si>
  <si>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</si>
  <si>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</si>
  <si>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</si>
  <si>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</si>
  <si>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</si>
  <si>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</si>
  <si>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</si>
  <si>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</si>
  <si>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</si>
  <si>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</si>
  <si>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</si>
  <si>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</si>
  <si>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</si>
  <si>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</si>
  <si>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</si>
  <si>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</si>
  <si>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</si>
  <si>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</si>
  <si>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</si>
  <si>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</si>
  <si>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</si>
  <si>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</si>
  <si>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</si>
  <si>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</si>
  <si>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</si>
  <si>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</si>
  <si>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</si>
  <si>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</si>
  <si>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</si>
  <si>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</si>
  <si>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</si>
  <si>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</si>
  <si>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</si>
  <si>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</si>
  <si>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</si>
  <si>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</si>
  <si>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</si>
  <si>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</si>
  <si>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</si>
  <si>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</si>
  <si>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</si>
  <si>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</si>
  <si>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</si>
  <si>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</si>
  <si>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</si>
  <si>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</si>
  <si>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</si>
  <si>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</si>
  <si>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</si>
  <si>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</si>
  <si>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</si>
  <si>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</si>
  <si>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</si>
  <si>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</si>
  <si>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</si>
  <si>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</si>
  <si>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</si>
  <si>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</si>
  <si>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</si>
  <si>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</si>
  <si>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</si>
  <si>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</si>
  <si>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</si>
  <si>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</si>
  <si>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</si>
  <si>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</si>
  <si>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</si>
  <si>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</si>
  <si>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</si>
  <si>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</si>
  <si>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</si>
  <si>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</si>
  <si>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</si>
  <si>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</si>
  <si>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</si>
  <si>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</si>
  <si>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</si>
  <si>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</si>
  <si>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</si>
  <si>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</si>
  <si>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</si>
  <si>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</si>
  <si>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</si>
  <si>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</si>
  <si>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</si>
  <si>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</si>
  <si>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</si>
  <si>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</si>
  <si>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</si>
  <si>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</si>
  <si>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</si>
  <si>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</si>
  <si>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</si>
  <si>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</si>
  <si>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</si>
  <si>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</si>
  <si>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</si>
  <si>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</si>
  <si>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</si>
  <si>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</si>
  <si>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</si>
  <si>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</si>
  <si>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</si>
  <si>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</si>
  <si>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</si>
  <si>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</si>
  <si>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</si>
  <si>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</si>
  <si>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</si>
  <si>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</si>
  <si>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</si>
  <si>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</si>
  <si>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</si>
  <si>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</si>
  <si>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</si>
  <si>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</si>
  <si>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</si>
  <si>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</si>
  <si>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</si>
  <si>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</si>
  <si>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</si>
  <si>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</si>
  <si>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</si>
  <si>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</si>
  <si>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</si>
  <si>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</si>
  <si>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</si>
  <si>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</si>
  <si>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</si>
  <si>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</si>
  <si>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</si>
  <si>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</si>
  <si>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</si>
  <si>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</si>
  <si>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</si>
  <si>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</si>
  <si>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</si>
  <si>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</si>
  <si>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</si>
  <si>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</si>
  <si>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</si>
  <si>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</si>
  <si>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</si>
  <si>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</si>
  <si>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</si>
  <si>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</si>
  <si>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</si>
  <si>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</si>
  <si>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</si>
  <si>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</si>
  <si>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</si>
  <si>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</si>
  <si>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</si>
  <si>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</si>
  <si>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</si>
  <si>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</si>
  <si>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</si>
  <si>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</si>
  <si>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</si>
  <si>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</si>
  <si>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</si>
  <si>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</si>
  <si>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</si>
  <si>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</si>
  <si>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</si>
  <si>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</si>
  <si>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</si>
  <si>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</si>
  <si>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</si>
  <si>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</si>
  <si>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</si>
  <si>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</si>
  <si>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</si>
  <si>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</si>
  <si>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</si>
  <si>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</si>
  <si>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</si>
  <si>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</si>
  <si>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</si>
  <si>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</si>
  <si>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</si>
  <si>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</si>
  <si>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</si>
  <si>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</si>
  <si>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</si>
  <si>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</si>
  <si>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</si>
  <si>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</si>
  <si>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</si>
  <si>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</si>
  <si>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</si>
  <si>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</si>
  <si>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</si>
  <si>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</si>
  <si>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</si>
  <si>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</si>
  <si>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</si>
  <si>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</si>
  <si>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</si>
  <si>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</si>
  <si>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</si>
  <si>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</si>
  <si>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</si>
  <si>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</si>
  <si>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</si>
  <si>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</si>
  <si>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</si>
  <si>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</si>
  <si>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</si>
  <si>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</si>
  <si>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</si>
  <si>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</si>
  <si>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</si>
  <si>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</si>
  <si>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</si>
  <si>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</si>
  <si>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</si>
  <si>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</si>
  <si>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</si>
  <si>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</si>
  <si>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</si>
  <si>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</si>
  <si>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</si>
  <si>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</si>
  <si>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</si>
  <si>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</si>
  <si>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</si>
  <si>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</si>
  <si>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</si>
  <si>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</si>
  <si>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</si>
  <si>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</si>
  <si>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</si>
  <si>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</si>
  <si>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</si>
  <si>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</si>
  <si>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</si>
  <si>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</si>
  <si>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</si>
  <si>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</si>
  <si>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</si>
  <si>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</si>
  <si>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</si>
  <si>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</si>
  <si>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</si>
  <si>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</si>
  <si>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</si>
  <si>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</si>
  <si>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</si>
  <si>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</si>
  <si>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</si>
  <si>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</si>
  <si>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</si>
  <si>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</si>
  <si>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</si>
  <si>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</si>
  <si>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</si>
  <si>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</si>
  <si>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</si>
  <si>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</si>
  <si>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</si>
  <si>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</si>
  <si>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</si>
  <si>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</si>
  <si>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</si>
  <si>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</si>
  <si>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</si>
  <si>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</si>
  <si>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</si>
  <si>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</si>
  <si>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</si>
  <si>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</si>
  <si>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</si>
  <si>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</si>
  <si>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</si>
  <si>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</si>
  <si>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</si>
  <si>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</si>
  <si>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</si>
  <si>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</si>
  <si>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</si>
  <si>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</si>
  <si>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</si>
  <si>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</si>
  <si>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</si>
  <si>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</si>
  <si>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</si>
  <si>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</si>
  <si>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</si>
  <si>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</si>
  <si>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</si>
  <si>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</si>
  <si>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</si>
  <si>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</si>
  <si>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</si>
  <si>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</si>
  <si>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</si>
  <si>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</si>
  <si>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</si>
  <si>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</si>
  <si>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</si>
  <si>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</si>
  <si>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</si>
  <si>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</si>
  <si>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</si>
  <si>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</si>
  <si>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</si>
  <si>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</si>
  <si>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</si>
  <si>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</si>
  <si>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</si>
  <si>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</si>
  <si>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</si>
  <si>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</si>
  <si>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</si>
  <si>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</si>
  <si>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</si>
  <si>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</si>
  <si>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</si>
  <si>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</si>
  <si>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</si>
  <si>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</si>
  <si>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</si>
  <si>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</si>
  <si>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</si>
  <si>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</si>
  <si>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</si>
  <si>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</si>
  <si>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</si>
  <si>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</si>
  <si>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</si>
  <si>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</si>
  <si>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</si>
  <si>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</si>
  <si>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</si>
  <si>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</si>
  <si>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</si>
  <si>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</si>
  <si>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</si>
  <si>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</si>
  <si>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</si>
  <si>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</si>
  <si>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</si>
  <si>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</si>
  <si>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</si>
  <si>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</si>
  <si>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</si>
  <si>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</si>
  <si>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</si>
  <si>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</si>
  <si>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</si>
  <si>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</si>
  <si>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</si>
  <si>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</si>
  <si>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</si>
  <si>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</si>
  <si>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</si>
  <si>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</si>
  <si>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</si>
  <si>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</si>
  <si>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</si>
  <si>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</si>
  <si>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</si>
  <si>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</si>
  <si>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</si>
  <si>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</si>
  <si>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</si>
  <si>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</si>
  <si>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</si>
  <si>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</si>
  <si>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</si>
  <si>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</si>
  <si>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</si>
  <si>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</si>
  <si>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</si>
  <si>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</si>
  <si>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</si>
  <si>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</si>
  <si>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</si>
  <si>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</si>
  <si>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</si>
  <si>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</si>
  <si>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</si>
  <si>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</si>
  <si>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</si>
  <si>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</si>
  <si>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</si>
  <si>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</si>
  <si>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</si>
  <si>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</si>
  <si>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</si>
  <si>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</si>
  <si>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</si>
  <si>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</si>
  <si>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</si>
  <si>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</si>
  <si>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</si>
  <si>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</si>
  <si>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</si>
  <si>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</si>
  <si>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</si>
  <si>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</si>
  <si>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</si>
  <si>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</si>
  <si>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</si>
  <si>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</si>
  <si>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</si>
  <si>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</si>
  <si>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</si>
  <si>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</si>
  <si>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</si>
  <si>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</si>
  <si>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</si>
  <si>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</si>
  <si>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</si>
  <si>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</si>
  <si>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</si>
  <si>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</si>
  <si>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</si>
  <si>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</si>
  <si>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</si>
  <si>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</si>
  <si>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</si>
  <si>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</si>
  <si>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</si>
  <si>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</si>
  <si>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</si>
  <si>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</si>
  <si>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</si>
  <si>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</si>
  <si>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</si>
  <si>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</si>
  <si>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</si>
  <si>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</si>
  <si>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</si>
  <si>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</si>
  <si>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</si>
  <si>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</si>
  <si>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</si>
  <si>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</si>
  <si>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</si>
  <si>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</si>
  <si>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</si>
  <si>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</si>
  <si>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</si>
  <si>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</si>
  <si>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</si>
  <si>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</si>
  <si>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</si>
  <si>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</si>
  <si>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</si>
  <si>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</si>
  <si>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</si>
  <si>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</si>
  <si>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</si>
  <si>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</si>
  <si>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</si>
  <si>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</si>
  <si>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</si>
  <si>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</si>
  <si>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</si>
  <si>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</si>
  <si>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</si>
  <si>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</si>
  <si>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</si>
  <si>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</si>
  <si>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</si>
  <si>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</si>
  <si>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</si>
  <si>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</si>
  <si>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</si>
  <si>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</si>
  <si>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</si>
  <si>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</si>
  <si>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</si>
  <si>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</si>
  <si>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</si>
  <si>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</si>
  <si>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</si>
  <si>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</si>
  <si>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</si>
  <si>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</si>
  <si>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</si>
  <si>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</si>
  <si>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</si>
  <si>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</si>
  <si>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</si>
  <si>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</si>
  <si>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</si>
  <si>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</si>
  <si>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</si>
  <si>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</si>
  <si>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</si>
  <si>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</si>
  <si>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</si>
  <si>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</si>
  <si>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</si>
  <si>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</si>
  <si>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</si>
  <si>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</si>
  <si>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</si>
  <si>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</si>
  <si>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</si>
  <si>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</si>
  <si>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</si>
  <si>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</si>
  <si>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</si>
  <si>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</si>
  <si>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</si>
  <si>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</si>
  <si>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</si>
  <si>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</si>
  <si>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</si>
  <si>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</si>
  <si>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</si>
  <si>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</si>
  <si>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</si>
  <si>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</si>
  <si>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</si>
  <si>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</si>
  <si>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</si>
  <si>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</si>
  <si>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</si>
  <si>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</si>
  <si>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</si>
  <si>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</si>
  <si>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</si>
  <si>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</si>
  <si>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</si>
  <si>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</si>
  <si>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</si>
  <si>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</si>
  <si>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</si>
  <si>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</si>
  <si>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</si>
  <si>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</si>
  <si>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</si>
  <si>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</si>
  <si>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</si>
  <si>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</si>
  <si>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</si>
  <si>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</si>
  <si>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</si>
  <si>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</si>
  <si>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</si>
  <si>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</si>
  <si>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</si>
  <si>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</si>
  <si>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</si>
  <si>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</si>
  <si>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</si>
  <si>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</si>
  <si>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</si>
  <si>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</si>
  <si>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</si>
  <si>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</si>
  <si>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</si>
  <si>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</si>
  <si>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</si>
  <si>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</si>
  <si>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</si>
  <si>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</si>
  <si>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</si>
  <si>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</si>
  <si>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</si>
  <si>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</si>
  <si>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</si>
  <si>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</si>
  <si>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</si>
  <si>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</si>
  <si>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</si>
  <si>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</si>
  <si>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</si>
  <si>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</si>
  <si>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</si>
  <si>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</si>
  <si>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</si>
  <si>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</si>
  <si>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</si>
  <si>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</si>
  <si>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</si>
  <si>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</si>
  <si>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</si>
  <si>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</si>
  <si>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</si>
  <si>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</si>
  <si>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</si>
  <si>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</si>
  <si>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</si>
  <si>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</si>
  <si>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</si>
  <si>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</si>
  <si>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</si>
  <si>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</si>
  <si>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</si>
  <si>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</si>
  <si>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</si>
  <si>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</si>
  <si>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</si>
  <si>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</si>
  <si>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</si>
  <si>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</si>
  <si>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</si>
  <si>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</si>
  <si>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</si>
  <si>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</si>
  <si>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</si>
  <si>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</si>
  <si>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</si>
  <si>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</si>
  <si>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</si>
  <si>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</si>
  <si>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</si>
  <si>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</si>
  <si>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</si>
  <si>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</si>
  <si>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</si>
  <si>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</si>
  <si>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</si>
  <si>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</si>
  <si>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</si>
  <si>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</si>
  <si>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</si>
  <si>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</si>
  <si>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</si>
  <si>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</si>
  <si>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</si>
  <si>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</si>
  <si>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</si>
  <si>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</si>
  <si>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</si>
  <si>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</si>
  <si>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</si>
  <si>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</si>
  <si>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</si>
  <si>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</si>
  <si>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</si>
  <si>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</si>
  <si>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</si>
  <si>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</si>
  <si>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</si>
  <si>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</si>
  <si>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</si>
  <si>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</si>
  <si>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</si>
  <si>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</si>
  <si>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</si>
  <si>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</si>
  <si>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</si>
  <si>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</si>
  <si>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</si>
  <si>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</si>
  <si>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</si>
  <si>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</si>
  <si>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</si>
  <si>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</si>
  <si>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</si>
  <si>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</si>
  <si>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</si>
  <si>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</si>
  <si>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</si>
  <si>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</si>
  <si>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</si>
  <si>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</si>
  <si>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</si>
  <si>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</si>
  <si>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</si>
  <si>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</si>
  <si>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</si>
  <si>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</si>
  <si>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</si>
  <si>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</si>
  <si>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</si>
  <si>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</si>
  <si>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</si>
  <si>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</si>
  <si>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</si>
  <si>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</si>
  <si>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</si>
  <si>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</si>
  <si>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</si>
  <si>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</si>
  <si>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</si>
  <si>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</si>
  <si>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</si>
  <si>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</si>
  <si>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</si>
  <si>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</si>
  <si>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</si>
  <si>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</si>
  <si>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</si>
  <si>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</si>
  <si>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</si>
  <si>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</si>
  <si>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</si>
  <si>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</si>
  <si>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</si>
  <si>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</si>
  <si>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</si>
  <si>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</si>
  <si>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</si>
  <si>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</si>
  <si>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</si>
  <si>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</si>
  <si>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</si>
  <si>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</si>
  <si>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</si>
  <si>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</si>
  <si>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</si>
  <si>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</si>
  <si>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</si>
  <si>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</si>
  <si>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</si>
  <si>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</si>
  <si>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</si>
  <si>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</si>
  <si>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</si>
  <si>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</si>
  <si>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</si>
  <si>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</si>
  <si>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</si>
  <si>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</si>
  <si>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</si>
  <si>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</si>
  <si>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</si>
  <si>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</si>
  <si>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</si>
  <si>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</si>
  <si>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</si>
  <si>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</si>
  <si>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</si>
  <si>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</si>
  <si>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</si>
  <si>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</si>
  <si>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</si>
  <si>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</si>
  <si>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</si>
  <si>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</si>
  <si>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</si>
  <si>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</si>
  <si>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</si>
  <si>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</si>
  <si>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</si>
  <si>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</si>
  <si>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</si>
  <si>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</si>
  <si>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</si>
  <si>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</si>
  <si>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</si>
  <si>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</si>
  <si>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</si>
  <si>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</si>
  <si>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</si>
  <si>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</si>
  <si>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</si>
  <si>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</si>
  <si>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</si>
  <si>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</si>
  <si>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</si>
  <si>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</si>
  <si>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</si>
  <si>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</si>
  <si>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</si>
  <si>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</si>
  <si>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</si>
  <si>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</si>
  <si>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</si>
  <si>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</si>
  <si>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</si>
  <si>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</si>
  <si>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</si>
  <si>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</si>
  <si>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</si>
  <si>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</si>
  <si>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</si>
  <si>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</si>
  <si>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</si>
  <si>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</si>
  <si>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</si>
  <si>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</si>
  <si>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</si>
  <si>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</si>
  <si>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Oswego Township</t>
  </si>
  <si>
    <t>Labette County</t>
  </si>
  <si>
    <t xml:space="preserve">  Fire Contract with Oswego City</t>
  </si>
  <si>
    <t xml:space="preserve">  Administrative</t>
  </si>
  <si>
    <t>none</t>
  </si>
  <si>
    <t>August 22, 2011</t>
  </si>
  <si>
    <t>2:00 p.m.</t>
  </si>
  <si>
    <t>Office of the County Clerk</t>
  </si>
  <si>
    <t>Linda Schreppel</t>
  </si>
  <si>
    <t xml:space="preserve">       /s/ Peggy Minor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</si>
</sst>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747</v>
      </c>
    </row>
    <row r="40" ht="57.75" customHeight="1">
      <c r="A40" s="371" t="s">
        <v>189</v>
      </c>
    </row>
    <row r="41" ht="10.5" customHeight="1">
      <c r="A41" s="360"/>
    </row>
    <row r="42" ht="65.25" customHeight="1">
      <c r="A42" s="360" t="s">
        <v>748</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749</v>
      </c>
    </row>
    <row r="70" ht="63" customHeight="1">
      <c r="A70" s="604" t="s">
        <v>750</v>
      </c>
    </row>
    <row r="71" ht="57" customHeight="1">
      <c r="A71" s="604" t="s">
        <v>751</v>
      </c>
    </row>
    <row r="72" ht="60" customHeight="1">
      <c r="A72" s="360" t="s">
        <v>752</v>
      </c>
    </row>
    <row r="73" ht="117.75" customHeight="1">
      <c r="A73" s="360" t="s">
        <v>753</v>
      </c>
    </row>
    <row r="74" ht="59.25" customHeight="1">
      <c r="A74" s="360" t="s">
        <v>754</v>
      </c>
    </row>
    <row r="75" ht="59.25" customHeight="1">
      <c r="A75" s="604" t="s">
        <v>755</v>
      </c>
    </row>
    <row r="76" ht="84.75" customHeight="1">
      <c r="A76" s="360" t="s">
        <v>756</v>
      </c>
    </row>
    <row r="77" ht="102.75" customHeight="1">
      <c r="A77" s="360" t="s">
        <v>757</v>
      </c>
    </row>
    <row r="78" ht="102.75" customHeight="1">
      <c r="A78" s="372" t="s">
        <v>758</v>
      </c>
    </row>
    <row r="79" ht="54" customHeight="1">
      <c r="A79" s="363" t="s">
        <v>759</v>
      </c>
    </row>
    <row r="80" ht="115.5" customHeight="1">
      <c r="A80" s="360" t="s">
        <v>760</v>
      </c>
    </row>
    <row r="81" ht="78" customHeight="1">
      <c r="A81" s="372" t="s">
        <v>761</v>
      </c>
    </row>
    <row r="82" ht="124.5" customHeight="1">
      <c r="A82" s="372" t="s">
        <v>762</v>
      </c>
    </row>
    <row r="83" ht="138" customHeight="1">
      <c r="A83" s="360" t="s">
        <v>763</v>
      </c>
    </row>
    <row r="84" ht="147" customHeight="1">
      <c r="A84" s="360" t="s">
        <v>764</v>
      </c>
    </row>
    <row r="85" ht="101.25" customHeight="1">
      <c r="A85" s="360" t="s">
        <v>765</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604" t="s">
        <v>766</v>
      </c>
    </row>
    <row r="95" ht="75" customHeight="1">
      <c r="A95" s="604" t="s">
        <v>767</v>
      </c>
    </row>
    <row r="96" ht="33.75" customHeight="1">
      <c r="A96" s="360" t="s">
        <v>768</v>
      </c>
    </row>
    <row r="97" ht="51.75" customHeight="1">
      <c r="A97" s="360" t="s">
        <v>769</v>
      </c>
    </row>
    <row r="98" ht="14.25" customHeight="1"/>
    <row r="99" ht="69.75" customHeight="1">
      <c r="A99" s="360" t="s">
        <v>620</v>
      </c>
    </row>
    <row r="101" ht="54" customHeight="1">
      <c r="A101" s="604" t="s">
        <v>770</v>
      </c>
    </row>
    <row r="102" ht="85.5" customHeight="1">
      <c r="A102" s="604" t="s">
        <v>771</v>
      </c>
    </row>
    <row r="103" ht="99" customHeight="1">
      <c r="A103" s="604"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0">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Oswego Township</v>
      </c>
      <c r="B1" s="179"/>
      <c r="C1" s="179"/>
      <c r="D1" s="179"/>
      <c r="E1" s="179"/>
      <c r="F1" s="179"/>
      <c r="G1" s="179"/>
      <c r="H1" s="179"/>
      <c r="I1" s="14"/>
      <c r="J1" s="14"/>
      <c r="K1" s="15">
        <f>inputPrYr!D5</f>
        <v>2012</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814</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814</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t="s">
        <v>814</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4">
      <selection activeCell="A25" sqref="A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Oswego Township</v>
      </c>
      <c r="C1" s="14"/>
      <c r="D1" s="14"/>
      <c r="E1" s="15">
        <f>inputPrYr!D5</f>
        <v>2012</v>
      </c>
    </row>
    <row r="2" spans="2:5" ht="15.75">
      <c r="B2" s="17"/>
      <c r="C2" s="14"/>
      <c r="D2" s="14"/>
      <c r="E2" s="18"/>
    </row>
    <row r="3" spans="2:5" ht="15.75">
      <c r="B3" s="603" t="s">
        <v>746</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v>412</v>
      </c>
      <c r="D6" s="418">
        <f>C51</f>
        <v>1019</v>
      </c>
      <c r="E6" s="32">
        <f>D51</f>
        <v>724</v>
      </c>
    </row>
    <row r="7" spans="2:5" ht="15.75">
      <c r="B7" s="27" t="s">
        <v>122</v>
      </c>
      <c r="C7" s="418"/>
      <c r="D7" s="418"/>
      <c r="E7" s="33"/>
    </row>
    <row r="8" spans="2:5" ht="15.75">
      <c r="B8" s="27" t="s">
        <v>16</v>
      </c>
      <c r="C8" s="29">
        <v>7707</v>
      </c>
      <c r="D8" s="418">
        <f>inputPrYr!E16</f>
        <v>6731</v>
      </c>
      <c r="E8" s="33" t="s">
        <v>298</v>
      </c>
    </row>
    <row r="9" spans="2:5" ht="15.75">
      <c r="B9" s="27" t="s">
        <v>17</v>
      </c>
      <c r="C9" s="29"/>
      <c r="D9" s="29"/>
      <c r="E9" s="34"/>
    </row>
    <row r="10" spans="2:5" ht="15.75">
      <c r="B10" s="27" t="s">
        <v>18</v>
      </c>
      <c r="C10" s="29"/>
      <c r="D10" s="29">
        <v>1044</v>
      </c>
      <c r="E10" s="32">
        <f>mvalloc!G11</f>
        <v>966</v>
      </c>
    </row>
    <row r="11" spans="2:5" ht="15.75">
      <c r="B11" s="27" t="s">
        <v>19</v>
      </c>
      <c r="C11" s="29"/>
      <c r="D11" s="29">
        <v>13</v>
      </c>
      <c r="E11" s="32">
        <f>mvalloc!I11</f>
        <v>15</v>
      </c>
    </row>
    <row r="12" spans="2:5" ht="15.75">
      <c r="B12" s="35" t="s">
        <v>71</v>
      </c>
      <c r="C12" s="29"/>
      <c r="D12" s="29">
        <v>96</v>
      </c>
      <c r="E12" s="32">
        <f>mvalloc!J11</f>
        <v>142</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7707</v>
      </c>
      <c r="D26" s="420">
        <f>SUM(D8:D24)</f>
        <v>7884</v>
      </c>
      <c r="E26" s="42">
        <f>SUM(E8:E24)</f>
        <v>1123</v>
      </c>
    </row>
    <row r="27" spans="2:5" ht="15.75">
      <c r="B27" s="43" t="s">
        <v>24</v>
      </c>
      <c r="C27" s="420">
        <f>C26+C6</f>
        <v>8119</v>
      </c>
      <c r="D27" s="420">
        <f>D26+D6</f>
        <v>8903</v>
      </c>
      <c r="E27" s="42">
        <f>E26+E6</f>
        <v>1847</v>
      </c>
    </row>
    <row r="28" spans="2:5" ht="15.75">
      <c r="B28" s="27" t="s">
        <v>25</v>
      </c>
      <c r="C28" s="418"/>
      <c r="D28" s="418"/>
      <c r="E28" s="32"/>
    </row>
    <row r="29" spans="2:5" ht="15.75">
      <c r="B29" s="37" t="s">
        <v>813</v>
      </c>
      <c r="C29" s="29"/>
      <c r="D29" s="29">
        <v>929</v>
      </c>
      <c r="E29" s="34">
        <v>1212</v>
      </c>
    </row>
    <row r="30" spans="2:5" ht="15.75">
      <c r="B30" s="38" t="s">
        <v>812</v>
      </c>
      <c r="C30" s="29">
        <v>7100</v>
      </c>
      <c r="D30" s="29">
        <v>7250</v>
      </c>
      <c r="E30" s="34">
        <v>7386</v>
      </c>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805</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7100</v>
      </c>
      <c r="D50" s="412">
        <f>SUM(D29:D48)</f>
        <v>8179</v>
      </c>
      <c r="E50" s="47">
        <f>SUM(E29:E43,E45,E47:E48)</f>
        <v>8598</v>
      </c>
      <c r="G50" s="534"/>
      <c r="H50" s="535"/>
      <c r="I50" s="535"/>
      <c r="J50" s="536"/>
    </row>
    <row r="51" spans="2:10" ht="15.75">
      <c r="B51" s="27" t="s">
        <v>121</v>
      </c>
      <c r="C51" s="413">
        <f>C27-C50</f>
        <v>1019</v>
      </c>
      <c r="D51" s="413">
        <f>SUM(D27-D50)</f>
        <v>724</v>
      </c>
      <c r="E51" s="33" t="s">
        <v>298</v>
      </c>
      <c r="G51" s="537">
        <f>D51</f>
        <v>724</v>
      </c>
      <c r="H51" s="538" t="str">
        <f>CONCATENATE("",E1-1," Ending Cash Balance (est.)")</f>
        <v>2011 Ending Cash Balance (est.)</v>
      </c>
      <c r="I51" s="539"/>
      <c r="J51" s="536"/>
    </row>
    <row r="52" spans="2:10" ht="15.75">
      <c r="B52" s="48" t="str">
        <f>CONCATENATE("",E1-2,"/",E1-1," Budget Authority Amount:")</f>
        <v>2010/2011 Budget Authority Amount:</v>
      </c>
      <c r="C52" s="143">
        <f>inputOth!B46</f>
        <v>8179</v>
      </c>
      <c r="D52" s="172">
        <f>inputPrYr!D16</f>
        <v>8179</v>
      </c>
      <c r="E52" s="33" t="s">
        <v>298</v>
      </c>
      <c r="F52" s="50"/>
      <c r="G52" s="537">
        <f>E26</f>
        <v>1123</v>
      </c>
      <c r="H52" s="540" t="str">
        <f>CONCATENATE("",E1," Non-AV Receipts (est.)")</f>
        <v>2012 Non-AV Receipts (est.)</v>
      </c>
      <c r="I52" s="540"/>
      <c r="J52" s="536"/>
    </row>
    <row r="53" spans="2:10" ht="15.75">
      <c r="B53" s="48"/>
      <c r="C53" s="652" t="s">
        <v>642</v>
      </c>
      <c r="D53" s="653"/>
      <c r="E53" s="34"/>
      <c r="F53" s="533">
        <f>IF(E50/0.95-E50&lt;E53,"Exceeds 5%","")</f>
      </c>
      <c r="G53" s="541">
        <f>E57</f>
        <v>6751</v>
      </c>
      <c r="H53" s="540" t="str">
        <f>CONCATENATE("",E1," Ad Valorem Tax (est.)")</f>
        <v>2012 Ad Valorem Tax (est.)</v>
      </c>
      <c r="I53" s="540"/>
      <c r="J53" s="536"/>
    </row>
    <row r="54" spans="2:10" ht="15.75">
      <c r="B54" s="436" t="str">
        <f>CONCATENATE(C72,"     ",D72)</f>
        <v>     </v>
      </c>
      <c r="C54" s="654" t="s">
        <v>643</v>
      </c>
      <c r="D54" s="655"/>
      <c r="E54" s="32">
        <f>E50+E53</f>
        <v>8598</v>
      </c>
      <c r="G54" s="537">
        <f>SUM(G51:G53)</f>
        <v>8598</v>
      </c>
      <c r="H54" s="540" t="str">
        <f>CONCATENATE("Total ",E1," Resources Available")</f>
        <v>Total 2012 Resources Available</v>
      </c>
      <c r="I54" s="539"/>
      <c r="J54" s="536"/>
    </row>
    <row r="55" spans="2:10" ht="15.75">
      <c r="B55" s="436" t="str">
        <f>CONCATENATE(C73,"     ",D73)</f>
        <v>     </v>
      </c>
      <c r="C55" s="60"/>
      <c r="D55" s="52" t="s">
        <v>28</v>
      </c>
      <c r="E55" s="46">
        <f>IF(E54-E27&gt;0,E54-E27,0)</f>
        <v>6751</v>
      </c>
      <c r="G55" s="542"/>
      <c r="H55" s="540"/>
      <c r="I55" s="540"/>
      <c r="J55" s="536"/>
    </row>
    <row r="56" spans="2:10" ht="15.75">
      <c r="B56" s="52"/>
      <c r="C56" s="440" t="s">
        <v>644</v>
      </c>
      <c r="D56" s="432">
        <f>inputOth!$E$40</f>
        <v>0</v>
      </c>
      <c r="E56" s="32">
        <f>ROUND(IF(D56&gt;0,(E55*D56),0),0)</f>
        <v>0</v>
      </c>
      <c r="G56" s="541">
        <f>C50*0.05+C50</f>
        <v>7455</v>
      </c>
      <c r="H56" s="540" t="str">
        <f>CONCATENATE("Less ",E1-2," Expenditures + 5%")</f>
        <v>Less 2010 Expenditures + 5%</v>
      </c>
      <c r="I56" s="539"/>
      <c r="J56" s="536"/>
    </row>
    <row r="57" spans="2:10" ht="15.75">
      <c r="B57" s="14"/>
      <c r="C57" s="650" t="str">
        <f>CONCATENATE("Amount of  ",$E$1-1," Ad Valorem Tax")</f>
        <v>Amount of  2011 Ad Valorem Tax</v>
      </c>
      <c r="D57" s="651"/>
      <c r="E57" s="46">
        <f>E55+E56</f>
        <v>6751</v>
      </c>
      <c r="G57" s="543">
        <f>G54-G56</f>
        <v>1143</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2.742</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740</v>
      </c>
      <c r="H63" s="540"/>
      <c r="I63" s="540"/>
      <c r="J63" s="554">
        <v>0</v>
      </c>
    </row>
    <row r="64" spans="7:10" ht="15.75">
      <c r="G64" s="551" t="s">
        <v>741</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N106"/>
  <sheetViews>
    <sheetView zoomScale="75" zoomScaleNormal="75" zoomScalePageLayoutView="0" workbookViewId="0" topLeftCell="A1">
      <selection activeCell="I58" sqref="I5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0" t="str">
        <f>inputPrYr!D2</f>
        <v>Oswego Township</v>
      </c>
      <c r="C4" s="670"/>
      <c r="D4" s="670"/>
      <c r="E4" s="670"/>
      <c r="F4" s="670"/>
      <c r="G4" s="670"/>
      <c r="H4" s="670"/>
      <c r="I4" s="670"/>
    </row>
    <row r="5" spans="2:9" ht="15.75">
      <c r="B5" s="670" t="str">
        <f>inputPrYr!D3</f>
        <v>Labette County</v>
      </c>
      <c r="C5" s="670"/>
      <c r="D5" s="670"/>
      <c r="E5" s="670"/>
      <c r="F5" s="670"/>
      <c r="G5" s="670"/>
      <c r="H5" s="670"/>
      <c r="I5" s="670"/>
    </row>
    <row r="6" spans="2:9" ht="15.75">
      <c r="B6" s="669" t="str">
        <f>CONCATENATE("will meet on ",inputBudSum!B5," at ",inputBudSum!B7," at ",inputBudSum!B9," for the purpose of hearing and")</f>
        <v>will meet on August 22, 2011 at 2:00 p.m. at Office of the County Clerk for the purpose of hearing and</v>
      </c>
      <c r="C6" s="669"/>
      <c r="D6" s="669"/>
      <c r="E6" s="669"/>
      <c r="F6" s="669"/>
      <c r="G6" s="669"/>
      <c r="H6" s="669"/>
      <c r="I6" s="669"/>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216</v>
      </c>
      <c r="H15" s="667"/>
      <c r="I15" s="167" t="s">
        <v>40</v>
      </c>
      <c r="J15" s="160"/>
    </row>
    <row r="16" spans="2:10" ht="15.75">
      <c r="B16" s="25" t="s">
        <v>294</v>
      </c>
      <c r="C16" s="26" t="s">
        <v>41</v>
      </c>
      <c r="D16" s="26" t="s">
        <v>42</v>
      </c>
      <c r="E16" s="26" t="s">
        <v>41</v>
      </c>
      <c r="F16" s="26" t="s">
        <v>42</v>
      </c>
      <c r="G16" s="26" t="s">
        <v>745</v>
      </c>
      <c r="H16" s="668"/>
      <c r="I16" s="26" t="s">
        <v>42</v>
      </c>
      <c r="J16" s="160"/>
    </row>
    <row r="17" spans="2:10" ht="15.75">
      <c r="B17" s="96" t="str">
        <f>inputPrYr!B16</f>
        <v>General</v>
      </c>
      <c r="C17" s="67">
        <f>IF(gen!$C$50&lt;&gt;0,gen!$C$50,"  ")</f>
        <v>7100</v>
      </c>
      <c r="D17" s="592">
        <f>IF(inputPrYr!D41&gt;0,inputPrYr!D41,"  ")</f>
        <v>2.869</v>
      </c>
      <c r="E17" s="32">
        <f>IF(gen!$D$50&lt;&gt;0,gen!$D$50,"  ")</f>
        <v>8179</v>
      </c>
      <c r="F17" s="253">
        <f>IF(inputOth!D17&gt;0,inputOth!D17,"  ")</f>
        <v>2.801</v>
      </c>
      <c r="G17" s="32">
        <f>IF(gen!$E$50&lt;&gt;0,gen!$E$50,"  ")</f>
        <v>8598</v>
      </c>
      <c r="H17" s="32">
        <f>IF(gen!$E$57&lt;&gt;0,gen!$E$57," ")</f>
        <v>6751</v>
      </c>
      <c r="I17" s="594">
        <f>IF(gen!E57&gt;0,ROUND(H17/$G$35*1000,3)," ")</f>
        <v>2.742</v>
      </c>
      <c r="J17" s="160"/>
    </row>
    <row r="18" spans="2:10" ht="15.75">
      <c r="B18" s="96" t="s">
        <v>308</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742</v>
      </c>
      <c r="L21" s="572"/>
      <c r="M21" s="572"/>
      <c r="N21" s="573">
        <f>ROUND(G35/1000,0)</f>
        <v>2462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0"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2.801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145</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296</v>
      </c>
      <c r="C29" s="530" t="str">
        <f>IF(road!C64&lt;&gt;0,road!C64,"  ")</f>
        <v>  </v>
      </c>
      <c r="D29" s="531"/>
      <c r="E29" s="593"/>
      <c r="F29" s="531"/>
      <c r="G29" s="593"/>
      <c r="H29" s="593"/>
      <c r="I29" s="531"/>
      <c r="K29" s="582"/>
      <c r="L29" s="582"/>
      <c r="M29" s="582"/>
      <c r="N29" s="582"/>
    </row>
    <row r="30" spans="2:14" ht="15.75">
      <c r="B30" s="83" t="s">
        <v>297</v>
      </c>
      <c r="C30" s="595">
        <f aca="true" t="shared" si="0" ref="C30:I30">SUM(C17:C29)</f>
        <v>7100</v>
      </c>
      <c r="D30" s="529">
        <f t="shared" si="0"/>
        <v>2.869</v>
      </c>
      <c r="E30" s="595">
        <f t="shared" si="0"/>
        <v>8179</v>
      </c>
      <c r="F30" s="529">
        <f t="shared" si="0"/>
        <v>2.801</v>
      </c>
      <c r="G30" s="595">
        <f t="shared" si="0"/>
        <v>8598</v>
      </c>
      <c r="H30" s="595">
        <f t="shared" si="0"/>
        <v>6751</v>
      </c>
      <c r="I30" s="598">
        <f t="shared" si="0"/>
        <v>2.742</v>
      </c>
      <c r="K30" s="660" t="str">
        <f>CONCATENATE("Impact On Keeping The Same Mill Rate As For ",I1-1,"")</f>
        <v>Impact On Keeping The Same Mill Rate As For 2011</v>
      </c>
      <c r="L30" s="661"/>
      <c r="M30" s="661"/>
      <c r="N30" s="662"/>
    </row>
    <row r="31" spans="2:14" ht="15.75">
      <c r="B31" s="83" t="s">
        <v>43</v>
      </c>
      <c r="C31" s="32">
        <f>transfer!C29</f>
        <v>0</v>
      </c>
      <c r="D31" s="14"/>
      <c r="E31" s="32">
        <f>transfer!D29</f>
        <v>0</v>
      </c>
      <c r="F31" s="62"/>
      <c r="G31" s="32">
        <f>transfer!E29</f>
        <v>0</v>
      </c>
      <c r="H31" s="14"/>
      <c r="I31" s="14"/>
      <c r="K31" s="575"/>
      <c r="L31" s="569"/>
      <c r="M31" s="569"/>
      <c r="N31" s="576"/>
    </row>
    <row r="32" spans="2:14" ht="16.5" thickBot="1">
      <c r="B32" s="83" t="s">
        <v>44</v>
      </c>
      <c r="C32" s="596">
        <f>C30-C31</f>
        <v>7100</v>
      </c>
      <c r="D32" s="14"/>
      <c r="E32" s="596">
        <f>E30-E31</f>
        <v>8179</v>
      </c>
      <c r="F32" s="14"/>
      <c r="G32" s="596">
        <f>G30-G31</f>
        <v>8598</v>
      </c>
      <c r="H32" s="14"/>
      <c r="I32" s="14"/>
      <c r="K32" s="575" t="str">
        <f>CONCATENATE("",I1," Ad Valorem Tax Revenue:")</f>
        <v>2012 Ad Valorem Tax Revenue:</v>
      </c>
      <c r="L32" s="569"/>
      <c r="M32" s="569"/>
      <c r="N32" s="570">
        <f>H30</f>
        <v>6751</v>
      </c>
    </row>
    <row r="33" spans="2:14" ht="16.5" thickTop="1">
      <c r="B33" s="83" t="s">
        <v>45</v>
      </c>
      <c r="C33" s="597">
        <f>inputPrYr!E52</f>
        <v>6670</v>
      </c>
      <c r="D33" s="62"/>
      <c r="E33" s="597">
        <f>inputPrYr!E25</f>
        <v>6731</v>
      </c>
      <c r="F33" s="14"/>
      <c r="G33" s="588" t="s">
        <v>298</v>
      </c>
      <c r="H33" s="14"/>
      <c r="I33" s="14"/>
      <c r="K33" s="575" t="str">
        <f>CONCATENATE("",I1-1," Ad Valorem Tax Revenue:")</f>
        <v>2011 Ad Valorem Tax Revenue:</v>
      </c>
      <c r="L33" s="569"/>
      <c r="M33" s="569"/>
      <c r="N33" s="583">
        <f>ROUND(G35*N25/1000,0)</f>
        <v>6896</v>
      </c>
    </row>
    <row r="34" spans="2:14" ht="15.75">
      <c r="B34" s="279" t="s">
        <v>46</v>
      </c>
      <c r="C34" s="55"/>
      <c r="D34" s="62"/>
      <c r="E34" s="55"/>
      <c r="F34" s="62"/>
      <c r="G34" s="14"/>
      <c r="H34" s="14"/>
      <c r="I34" s="14"/>
      <c r="K34" s="580" t="s">
        <v>743</v>
      </c>
      <c r="L34" s="581"/>
      <c r="M34" s="581"/>
      <c r="N34" s="573">
        <f>N32-N33</f>
        <v>-145</v>
      </c>
    </row>
    <row r="35" spans="2:14" ht="15.75">
      <c r="B35" s="606" t="s">
        <v>47</v>
      </c>
      <c r="C35" s="31">
        <f>inputPrYr!E53</f>
        <v>2324576</v>
      </c>
      <c r="D35" s="14"/>
      <c r="E35" s="32">
        <f>inputOth!E28</f>
        <v>2402877</v>
      </c>
      <c r="F35" s="14"/>
      <c r="G35" s="32">
        <f>inputOth!E7</f>
        <v>2461943</v>
      </c>
      <c r="H35" s="14"/>
      <c r="I35" s="14"/>
      <c r="K35" s="574"/>
      <c r="L35" s="574"/>
      <c r="M35" s="574"/>
      <c r="N35" s="582"/>
    </row>
    <row r="36" spans="2:14" ht="15.75">
      <c r="B36" s="22" t="s">
        <v>48</v>
      </c>
      <c r="C36" s="14"/>
      <c r="D36" s="14"/>
      <c r="E36" s="14"/>
      <c r="F36" s="14"/>
      <c r="G36" s="14"/>
      <c r="H36" s="14"/>
      <c r="I36" s="14"/>
      <c r="K36" s="660" t="s">
        <v>744</v>
      </c>
      <c r="L36" s="663"/>
      <c r="M36" s="663"/>
      <c r="N36" s="664"/>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2.742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795</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59" t="s">
        <v>819</v>
      </c>
      <c r="C44" s="659"/>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Oswego Township</v>
      </c>
      <c r="C1" s="14"/>
      <c r="D1" s="14"/>
      <c r="E1" s="61">
        <f>inputPrYr!$D$5</f>
        <v>2012</v>
      </c>
    </row>
    <row r="2" spans="2:5" ht="15.75">
      <c r="B2" s="14"/>
      <c r="C2" s="14"/>
      <c r="D2" s="14"/>
      <c r="E2" s="52"/>
    </row>
    <row r="3" spans="2:5" ht="15.75">
      <c r="B3" s="17"/>
      <c r="C3" s="62"/>
      <c r="D3" s="62"/>
      <c r="E3" s="63"/>
    </row>
    <row r="4" spans="2:5" ht="15.75">
      <c r="B4" s="603" t="s">
        <v>746</v>
      </c>
      <c r="C4" s="64"/>
      <c r="D4" s="64"/>
      <c r="E4" s="64"/>
    </row>
    <row r="5" spans="2:5" ht="15.75">
      <c r="B5" s="22" t="s">
        <v>10</v>
      </c>
      <c r="C5" s="416" t="s">
        <v>11</v>
      </c>
      <c r="D5" s="419" t="s">
        <v>12</v>
      </c>
      <c r="E5" s="23" t="s">
        <v>13</v>
      </c>
    </row>
    <row r="6" spans="2:5" ht="15.75">
      <c r="B6" s="24" t="s">
        <v>308</v>
      </c>
      <c r="C6" s="417" t="str">
        <f>CONCATENATE("Actual ",$E$1-2,"")</f>
        <v>Actual 2010</v>
      </c>
      <c r="D6" s="417" t="str">
        <f>CONCATENATE("Estimate ",$E$1-1,"")</f>
        <v>Estimate 2011</v>
      </c>
      <c r="E6" s="26" t="str">
        <f>CONCATENATE("Year ",$E$1,"")</f>
        <v>Year 2012</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71" t="str">
        <f>CONCATENATE("Projected Carryover Into ",E1+1,"")</f>
        <v>Projected Carryover Into 2013</v>
      </c>
      <c r="H52" s="672"/>
      <c r="I52" s="673"/>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298</v>
      </c>
      <c r="F55" s="50"/>
      <c r="G55" s="561">
        <f>E29</f>
        <v>0</v>
      </c>
      <c r="H55" s="563" t="str">
        <f>CONCATENATE("",E1," Non-AV Receipts (est.)")</f>
        <v>2012 Non-AV Receipts (est.)</v>
      </c>
      <c r="I55" s="536"/>
    </row>
    <row r="56" spans="2:9" ht="15.75">
      <c r="B56" s="48"/>
      <c r="C56" s="652" t="s">
        <v>642</v>
      </c>
      <c r="D56" s="653"/>
      <c r="E56" s="34"/>
      <c r="F56" s="533">
        <f>IF(E53/0.95-E53&lt;E56,"Exceeds 5%","")</f>
      </c>
      <c r="G56" s="564">
        <f>E60</f>
        <v>0</v>
      </c>
      <c r="H56" s="563" t="str">
        <f>CONCATENATE("",E1," Ad Valorem Tax (est.)")</f>
        <v>2012 Ad Valorem Tax (est.)</v>
      </c>
      <c r="I56" s="536"/>
    </row>
    <row r="57" spans="2:9" ht="15.75">
      <c r="B57" s="436" t="str">
        <f>CONCATENATE(C72,"     ",D72)</f>
        <v>     </v>
      </c>
      <c r="C57" s="654" t="s">
        <v>643</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Oswego Township</v>
      </c>
      <c r="C1" s="14"/>
      <c r="D1" s="14"/>
      <c r="E1" s="15">
        <f>inputPrYr!D5</f>
        <v>2012</v>
      </c>
    </row>
    <row r="2" spans="2:5" ht="15.75">
      <c r="B2" s="17"/>
      <c r="C2" s="14"/>
      <c r="D2" s="62"/>
      <c r="E2" s="63"/>
    </row>
    <row r="3" spans="2:5" ht="15.75">
      <c r="B3" s="603" t="s">
        <v>746</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2011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121</v>
      </c>
      <c r="C44" s="413">
        <f>C24-C43</f>
        <v>0</v>
      </c>
      <c r="D44" s="413">
        <f>D24-D43</f>
        <v>0</v>
      </c>
      <c r="E44" s="33" t="s">
        <v>298</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298</v>
      </c>
      <c r="F45" s="50"/>
      <c r="G45" s="542"/>
      <c r="H45" s="540"/>
      <c r="I45" s="540"/>
      <c r="J45" s="536"/>
    </row>
    <row r="46" spans="2:10" ht="15.75">
      <c r="B46" s="48"/>
      <c r="C46" s="652" t="s">
        <v>642</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643</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2010 Actual Year</v>
      </c>
      <c r="D54" s="14"/>
      <c r="E54" s="14"/>
      <c r="G54" s="551" t="s">
        <v>741</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74">
        <f>IF(AND(C58&gt;0,C59&gt;0),"Not Auth. Two General Transfers - Only One","")</f>
      </c>
      <c r="E58" s="675"/>
    </row>
    <row r="59" spans="2:5" ht="15.75">
      <c r="B59" s="86" t="s">
        <v>256</v>
      </c>
      <c r="C59" s="439">
        <f>gen!C45</f>
        <v>0</v>
      </c>
      <c r="D59" s="676"/>
      <c r="E59" s="675"/>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Oswego Township</v>
      </c>
      <c r="C1" s="22" t="s">
        <v>35</v>
      </c>
      <c r="D1" s="14"/>
      <c r="E1" s="15">
        <f>inputPrYr!D5</f>
        <v>2012</v>
      </c>
    </row>
    <row r="2" spans="2:5" ht="15.75">
      <c r="B2" s="17"/>
      <c r="C2" s="14"/>
      <c r="D2" s="14"/>
      <c r="E2" s="89"/>
    </row>
    <row r="3" spans="2:5" ht="15.75">
      <c r="B3" s="603" t="s">
        <v>746</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inputOth!B49</f>
        <v>0</v>
      </c>
      <c r="D34" s="172">
        <f>inputPrYr!D19</f>
        <v>0</v>
      </c>
      <c r="E34" s="33" t="s">
        <v>298</v>
      </c>
      <c r="F34" s="50"/>
    </row>
    <row r="35" spans="2:6" ht="15.75">
      <c r="B35" s="48"/>
      <c r="C35" s="652" t="s">
        <v>642</v>
      </c>
      <c r="D35" s="653"/>
      <c r="E35" s="34"/>
      <c r="F35" s="50">
        <f>IF(E32/0.95-E32&lt;E35,"Exceeds 5%","")</f>
      </c>
    </row>
    <row r="36" spans="2:5" ht="15.75">
      <c r="B36" s="436" t="str">
        <f>CONCATENATE(C88,"     ",D88)</f>
        <v>     </v>
      </c>
      <c r="C36" s="654" t="s">
        <v>643</v>
      </c>
      <c r="D36" s="655"/>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inputOth!B50</f>
        <v>0</v>
      </c>
      <c r="D71" s="172">
        <f>inputPrYr!D20</f>
        <v>0</v>
      </c>
      <c r="E71" s="33" t="s">
        <v>298</v>
      </c>
      <c r="F71" s="50"/>
    </row>
    <row r="72" spans="2:6" ht="15.75">
      <c r="B72" s="48"/>
      <c r="C72" s="652" t="s">
        <v>642</v>
      </c>
      <c r="D72" s="653"/>
      <c r="E72" s="34"/>
      <c r="F72" s="50">
        <f>IF(E69/0.95-E69&lt;E72,"Exceeds 5%","")</f>
      </c>
    </row>
    <row r="73" spans="2:5" ht="15.75">
      <c r="B73" s="436" t="str">
        <f>CONCATENATE(C90,"     ",D90)</f>
        <v>     </v>
      </c>
      <c r="C73" s="654" t="s">
        <v>643</v>
      </c>
      <c r="D73" s="655"/>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Oswego Township</v>
      </c>
      <c r="C1" s="14"/>
      <c r="D1" s="14"/>
      <c r="E1" s="15">
        <f>inputPrYr!D5</f>
        <v>2012</v>
      </c>
    </row>
    <row r="2" spans="2:5" ht="15.75">
      <c r="B2" s="17"/>
      <c r="C2" s="14"/>
      <c r="D2" s="62"/>
      <c r="E2" s="93"/>
    </row>
    <row r="3" spans="2:5" ht="15.75">
      <c r="B3" s="603" t="s">
        <v>746</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inputOth!B51</f>
        <v>0</v>
      </c>
      <c r="D34" s="172">
        <f>inputPrYr!D21</f>
        <v>0</v>
      </c>
      <c r="E34" s="33" t="s">
        <v>298</v>
      </c>
      <c r="F34" s="50"/>
    </row>
    <row r="35" spans="2:6" ht="15.75">
      <c r="B35" s="48"/>
      <c r="C35" s="652" t="s">
        <v>642</v>
      </c>
      <c r="D35" s="653"/>
      <c r="E35" s="34"/>
      <c r="F35" s="50">
        <f>IF(E32/0.95-E32&lt;E35,"Exceeds 5%","")</f>
      </c>
    </row>
    <row r="36" spans="2:5" ht="15.75">
      <c r="B36" s="436" t="str">
        <f>CONCATENATE(C88,"     ",D88)</f>
        <v>     </v>
      </c>
      <c r="C36" s="654" t="s">
        <v>643</v>
      </c>
      <c r="D36" s="655"/>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inputOth!B52</f>
        <v>0</v>
      </c>
      <c r="D71" s="172">
        <f>inputPrYr!D22</f>
        <v>0</v>
      </c>
      <c r="E71" s="33" t="s">
        <v>298</v>
      </c>
      <c r="F71" s="50"/>
    </row>
    <row r="72" spans="2:6" ht="15.75">
      <c r="B72" s="48"/>
      <c r="C72" s="652" t="s">
        <v>642</v>
      </c>
      <c r="D72" s="653"/>
      <c r="E72" s="602"/>
      <c r="F72" s="50">
        <f>IF(E69/0.95-E69&lt;E72,"Exceeds 5%","")</f>
      </c>
    </row>
    <row r="73" spans="2:6" ht="15.75">
      <c r="B73" s="436" t="str">
        <f>CONCATENATE(C90,"     ",D90)</f>
        <v>     </v>
      </c>
      <c r="C73" s="654" t="s">
        <v>643</v>
      </c>
      <c r="D73" s="655"/>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Oswego Township</v>
      </c>
      <c r="C1" s="14"/>
      <c r="D1" s="14"/>
      <c r="E1" s="15">
        <f>inputPrYr!D5</f>
        <v>2012</v>
      </c>
    </row>
    <row r="2" spans="2:5" ht="15.75">
      <c r="B2" s="17"/>
      <c r="C2" s="14"/>
      <c r="D2" s="62"/>
      <c r="E2" s="63"/>
    </row>
    <row r="3" spans="2:5" ht="15.75">
      <c r="B3" s="603" t="s">
        <v>746</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inputOth!B53</f>
        <v>0</v>
      </c>
      <c r="D34" s="172">
        <f>inputPrYr!D23</f>
        <v>0</v>
      </c>
      <c r="E34" s="33" t="s">
        <v>298</v>
      </c>
      <c r="F34" s="50"/>
    </row>
    <row r="35" spans="2:6" ht="15.75">
      <c r="B35" s="48"/>
      <c r="C35" s="652" t="s">
        <v>642</v>
      </c>
      <c r="D35" s="653"/>
      <c r="E35" s="34"/>
      <c r="F35" s="50">
        <f>IF(E32/0.95-E32&lt;E35,"Exceeds 5%","")</f>
      </c>
    </row>
    <row r="36" spans="2:5" ht="15.75">
      <c r="B36" s="436" t="str">
        <f>CONCATENATE(C88,"     ",D88)</f>
        <v>     </v>
      </c>
      <c r="C36" s="654" t="s">
        <v>643</v>
      </c>
      <c r="D36" s="655"/>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inputOth!B54</f>
        <v>0</v>
      </c>
      <c r="D71" s="172">
        <f>inputPrYr!D24</f>
        <v>0</v>
      </c>
      <c r="E71" s="33" t="s">
        <v>298</v>
      </c>
      <c r="F71" s="50"/>
    </row>
    <row r="72" spans="2:6" ht="15.75">
      <c r="B72" s="48"/>
      <c r="C72" s="652" t="s">
        <v>642</v>
      </c>
      <c r="D72" s="653"/>
      <c r="E72" s="34"/>
      <c r="F72" s="50">
        <f>IF(E69/0.95-E69&lt;E72,"Exceeds 5%","")</f>
      </c>
    </row>
    <row r="73" spans="2:5" ht="15.75">
      <c r="B73" s="48"/>
      <c r="C73" s="654" t="s">
        <v>643</v>
      </c>
      <c r="D73" s="655"/>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Oswego Township</v>
      </c>
      <c r="C1" s="14"/>
      <c r="D1" s="14"/>
      <c r="E1" s="15">
        <f>inputPrYr!D5</f>
        <v>2012</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5">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810</v>
      </c>
      <c r="E2" s="19"/>
    </row>
    <row r="3" spans="1:5" ht="15.75">
      <c r="A3" s="79" t="s">
        <v>233</v>
      </c>
      <c r="B3" s="14"/>
      <c r="C3" s="14"/>
      <c r="D3" s="409" t="s">
        <v>811</v>
      </c>
      <c r="E3" s="19"/>
    </row>
    <row r="4" spans="1:5" ht="15.75">
      <c r="A4" s="14"/>
      <c r="B4" s="14"/>
      <c r="C4" s="14"/>
      <c r="D4" s="14"/>
      <c r="E4" s="14"/>
    </row>
    <row r="5" spans="1:5" ht="15.75">
      <c r="A5" s="17" t="s">
        <v>146</v>
      </c>
      <c r="B5" s="14"/>
      <c r="C5" s="14"/>
      <c r="D5" s="332">
        <v>2012</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13" t="s">
        <v>159</v>
      </c>
      <c r="B10" s="614"/>
      <c r="C10" s="614"/>
      <c r="D10" s="614"/>
      <c r="E10" s="614"/>
    </row>
    <row r="11" spans="1:5" ht="15.75">
      <c r="A11" s="79"/>
      <c r="B11" s="14"/>
      <c r="C11" s="14"/>
      <c r="D11" s="14"/>
      <c r="E11" s="14"/>
    </row>
    <row r="12" spans="1:5" ht="15.75">
      <c r="A12" s="333" t="s">
        <v>147</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280</v>
      </c>
      <c r="B15" s="14"/>
      <c r="C15" s="339" t="s">
        <v>279</v>
      </c>
      <c r="D15" s="340" t="s">
        <v>352</v>
      </c>
      <c r="E15" s="341" t="s">
        <v>16</v>
      </c>
    </row>
    <row r="16" spans="1:5" ht="15.75">
      <c r="A16" s="14"/>
      <c r="B16" s="83" t="s">
        <v>281</v>
      </c>
      <c r="C16" s="172" t="s">
        <v>282</v>
      </c>
      <c r="D16" s="200">
        <v>8179</v>
      </c>
      <c r="E16" s="200">
        <v>6731</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6731</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8179</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2.869</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2.869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6670</v>
      </c>
    </row>
    <row r="53" spans="1:5" ht="15.75">
      <c r="A53" s="353" t="str">
        <f>CONCATENATE("Assessed Valuation (",D5-2," budget column)")</f>
        <v>Assessed Valuation (2010 budget column)</v>
      </c>
      <c r="B53" s="354"/>
      <c r="C53" s="291"/>
      <c r="D53" s="28"/>
      <c r="E53" s="200">
        <v>2324576</v>
      </c>
    </row>
    <row r="54" spans="1:5" ht="15.75">
      <c r="A54" s="300"/>
      <c r="B54" s="19"/>
      <c r="C54" s="19"/>
      <c r="D54" s="19"/>
      <c r="E54" s="310"/>
    </row>
    <row r="55" spans="1:5" ht="15.75">
      <c r="A55" s="14"/>
      <c r="B55" s="14"/>
      <c r="C55" s="14"/>
      <c r="D55" s="14"/>
      <c r="E55" s="55"/>
    </row>
    <row r="56" spans="1:5" ht="15.75">
      <c r="A56" s="319" t="s">
        <v>206</v>
      </c>
      <c r="B56" s="319"/>
      <c r="C56" s="140"/>
      <c r="D56" s="355">
        <f>D5-3</f>
        <v>2009</v>
      </c>
      <c r="E56" s="355">
        <f>D5-2</f>
        <v>2010</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Oswego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Oswego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2461943</v>
      </c>
      <c r="E18" s="14"/>
      <c r="F18" s="140"/>
    </row>
    <row r="19" spans="1:6" ht="15.75">
      <c r="A19" s="14"/>
      <c r="B19" s="14"/>
      <c r="C19" s="14"/>
      <c r="D19" s="14"/>
      <c r="E19" s="14"/>
      <c r="F19" s="140"/>
    </row>
    <row r="20" spans="1:6" ht="15.75">
      <c r="A20" s="14"/>
      <c r="B20" s="682" t="s">
        <v>375</v>
      </c>
      <c r="C20" s="682"/>
      <c r="D20" s="148">
        <f>IF(D18&gt;0,(D18*0.001),"")</f>
        <v>2461.943</v>
      </c>
      <c r="E20" s="14"/>
      <c r="F20" s="140"/>
    </row>
    <row r="21" spans="1:6" ht="15.75">
      <c r="A21" s="14"/>
      <c r="B21" s="48"/>
      <c r="C21" s="48"/>
      <c r="D21" s="149"/>
      <c r="E21" s="14"/>
      <c r="F21" s="140"/>
    </row>
    <row r="22" spans="1:6" ht="15.75">
      <c r="A22" s="680" t="s">
        <v>377</v>
      </c>
      <c r="B22" s="625"/>
      <c r="C22" s="625"/>
      <c r="D22" s="150">
        <f>inputOth!E13</f>
        <v>0</v>
      </c>
      <c r="E22" s="151"/>
      <c r="F22" s="151"/>
    </row>
    <row r="23" spans="1:6" ht="15.75">
      <c r="A23" s="151"/>
      <c r="B23" s="151"/>
      <c r="C23" s="151"/>
      <c r="D23" s="152"/>
      <c r="E23" s="151"/>
      <c r="F23" s="151"/>
    </row>
    <row r="24" spans="1:6" ht="15.75">
      <c r="A24" s="151"/>
      <c r="B24" s="680" t="s">
        <v>378</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129</v>
      </c>
      <c r="B1" s="686"/>
      <c r="C1" s="686"/>
      <c r="D1" s="686"/>
      <c r="E1" s="686"/>
      <c r="F1" s="686"/>
      <c r="G1" s="686"/>
    </row>
    <row r="2" ht="15.75">
      <c r="A2" s="1"/>
    </row>
    <row r="3" spans="1:7" ht="15.75">
      <c r="A3" s="687" t="s">
        <v>130</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Oswego Township </v>
      </c>
      <c r="I6">
        <f>CONCATENATE(I7)</f>
      </c>
    </row>
    <row r="7" spans="1:7" ht="15.75">
      <c r="A7" s="688" t="str">
        <f>CONCATENATE("   with respect to financing the ",inputPrYr!D5," annual budget for ",(inputPrYr!D2)," , ",(inputPrYr!D3)," , Kansas.")</f>
        <v>   with respect to financing the 2012 annual budget for Oswego Township , Labette County , Kansas.</v>
      </c>
      <c r="B7" s="684"/>
      <c r="C7" s="684"/>
      <c r="D7" s="684"/>
      <c r="E7" s="684"/>
      <c r="F7" s="684"/>
      <c r="G7" s="684"/>
    </row>
    <row r="8" spans="1:7" ht="15.75">
      <c r="A8" s="684"/>
      <c r="B8" s="684"/>
      <c r="C8" s="684"/>
      <c r="D8" s="684"/>
      <c r="E8" s="684"/>
      <c r="F8" s="684"/>
      <c r="G8" s="684"/>
    </row>
    <row r="9" ht="15.75">
      <c r="A9" s="1"/>
    </row>
    <row r="10" ht="15.75">
      <c r="A10" s="9" t="s">
        <v>131</v>
      </c>
    </row>
    <row r="11" ht="15.75">
      <c r="A11" s="7" t="str">
        <f>CONCATENATE("to finance the ",inputPrYr!D5," ",(inputPrYr!D2)," budget exceed the amount levied to finance the ",inputPrYr!D5-1,"")</f>
        <v>to finance the 2012 Oswego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Oswego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136</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132</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Oswego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133</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Oswego Township of Labette County, Kansas that is our desire to notify the public of increased property taxes to finance the 2012 Oswego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Oswego Township Board, Labette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Oswego Township Board</v>
      </c>
      <c r="E33" s="690"/>
      <c r="F33" s="690"/>
      <c r="G33" s="690"/>
    </row>
    <row r="35" spans="4:7" ht="15.75">
      <c r="D35" s="691" t="s">
        <v>134</v>
      </c>
      <c r="E35" s="691"/>
      <c r="F35" s="691"/>
      <c r="G35" s="691"/>
    </row>
    <row r="36" spans="1:7" ht="15.75">
      <c r="A36" s="5"/>
      <c r="D36" s="691" t="s">
        <v>138</v>
      </c>
      <c r="E36" s="691"/>
      <c r="F36" s="691"/>
      <c r="G36" s="691"/>
    </row>
    <row r="37" spans="4:7" ht="15.75">
      <c r="D37" s="691"/>
      <c r="E37" s="691"/>
      <c r="F37" s="691"/>
      <c r="G37" s="691"/>
    </row>
    <row r="38" spans="4:7" ht="15.75">
      <c r="D38" s="691" t="s">
        <v>134</v>
      </c>
      <c r="E38" s="691"/>
      <c r="F38" s="691"/>
      <c r="G38" s="691"/>
    </row>
    <row r="39" spans="1:7" ht="15.75">
      <c r="A39" s="4"/>
      <c r="D39" s="691" t="s">
        <v>139</v>
      </c>
      <c r="E39" s="691"/>
      <c r="F39" s="691"/>
      <c r="G39" s="691"/>
    </row>
    <row r="40" spans="4:7" ht="15.75">
      <c r="D40" s="691"/>
      <c r="E40" s="691"/>
      <c r="F40" s="691"/>
      <c r="G40" s="691"/>
    </row>
    <row r="41" spans="4:7" ht="15.75">
      <c r="D41" s="691" t="s">
        <v>137</v>
      </c>
      <c r="E41" s="691"/>
      <c r="F41" s="691"/>
      <c r="G41" s="691"/>
    </row>
    <row r="42" spans="1:7" ht="15.75">
      <c r="A42" s="4"/>
      <c r="D42" s="691" t="s">
        <v>140</v>
      </c>
      <c r="E42" s="691"/>
      <c r="F42" s="691"/>
      <c r="G42" s="69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646</v>
      </c>
      <c r="C6" s="694"/>
      <c r="D6" s="694"/>
      <c r="E6" s="694"/>
      <c r="F6" s="694"/>
      <c r="G6" s="694"/>
      <c r="H6" s="694"/>
      <c r="I6" s="694"/>
      <c r="J6" s="694"/>
      <c r="K6" s="694"/>
      <c r="L6" s="446"/>
    </row>
    <row r="7" spans="1:12" ht="40.5" customHeight="1">
      <c r="A7" s="443"/>
      <c r="B7" s="695" t="s">
        <v>647</v>
      </c>
      <c r="C7" s="696"/>
      <c r="D7" s="696"/>
      <c r="E7" s="696"/>
      <c r="F7" s="696"/>
      <c r="G7" s="696"/>
      <c r="H7" s="696"/>
      <c r="I7" s="696"/>
      <c r="J7" s="696"/>
      <c r="K7" s="696"/>
      <c r="L7" s="443"/>
    </row>
    <row r="8" spans="1:12" ht="14.25">
      <c r="A8" s="443"/>
      <c r="B8" s="697" t="s">
        <v>648</v>
      </c>
      <c r="C8" s="697"/>
      <c r="D8" s="697"/>
      <c r="E8" s="697"/>
      <c r="F8" s="697"/>
      <c r="G8" s="697"/>
      <c r="H8" s="697"/>
      <c r="I8" s="697"/>
      <c r="J8" s="697"/>
      <c r="K8" s="697"/>
      <c r="L8" s="443"/>
    </row>
    <row r="9" spans="1:12" ht="14.25">
      <c r="A9" s="443"/>
      <c r="L9" s="443"/>
    </row>
    <row r="10" spans="1:12" ht="14.25">
      <c r="A10" s="443"/>
      <c r="B10" s="697" t="s">
        <v>649</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650</v>
      </c>
      <c r="C12" s="698"/>
      <c r="D12" s="698"/>
      <c r="E12" s="698"/>
      <c r="F12" s="698"/>
      <c r="G12" s="698"/>
      <c r="H12" s="698"/>
      <c r="I12" s="698"/>
      <c r="J12" s="698"/>
      <c r="K12" s="698"/>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9">
        <v>133685008</v>
      </c>
      <c r="G23" s="699"/>
      <c r="L23" s="443"/>
    </row>
    <row r="24" spans="1:12" ht="14.25">
      <c r="A24" s="443"/>
      <c r="L24" s="443"/>
    </row>
    <row r="25" spans="1:12" ht="14.25">
      <c r="A25" s="443"/>
      <c r="C25" s="700">
        <f>F23</f>
        <v>133685008</v>
      </c>
      <c r="D25" s="700"/>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647</v>
      </c>
      <c r="C30" s="701"/>
      <c r="D30" s="701"/>
      <c r="E30" s="701"/>
      <c r="F30" s="701"/>
      <c r="G30" s="701"/>
      <c r="H30" s="701"/>
      <c r="I30" s="701"/>
      <c r="J30" s="701"/>
      <c r="K30" s="701"/>
      <c r="L30" s="443"/>
    </row>
    <row r="31" spans="1:12" ht="14.25">
      <c r="A31" s="443"/>
      <c r="B31" s="697" t="s">
        <v>661</v>
      </c>
      <c r="C31" s="697"/>
      <c r="D31" s="697"/>
      <c r="E31" s="697"/>
      <c r="F31" s="697"/>
      <c r="G31" s="697"/>
      <c r="H31" s="697"/>
      <c r="I31" s="697"/>
      <c r="J31" s="697"/>
      <c r="K31" s="697"/>
      <c r="L31" s="443"/>
    </row>
    <row r="32" spans="1:12" ht="14.25">
      <c r="A32" s="443"/>
      <c r="L32" s="443"/>
    </row>
    <row r="33" spans="1:12" ht="14.25">
      <c r="A33" s="443"/>
      <c r="B33" s="697" t="s">
        <v>662</v>
      </c>
      <c r="C33" s="697"/>
      <c r="D33" s="697"/>
      <c r="E33" s="697"/>
      <c r="F33" s="697"/>
      <c r="G33" s="697"/>
      <c r="H33" s="697"/>
      <c r="I33" s="697"/>
      <c r="J33" s="697"/>
      <c r="K33" s="697"/>
      <c r="L33" s="443"/>
    </row>
    <row r="34" spans="1:12" ht="14.25">
      <c r="A34" s="443"/>
      <c r="L34" s="443"/>
    </row>
    <row r="35" spans="1:12" ht="89.25" customHeight="1">
      <c r="A35" s="443"/>
      <c r="B35" s="698" t="s">
        <v>663</v>
      </c>
      <c r="C35" s="702"/>
      <c r="D35" s="702"/>
      <c r="E35" s="702"/>
      <c r="F35" s="702"/>
      <c r="G35" s="702"/>
      <c r="H35" s="702"/>
      <c r="I35" s="702"/>
      <c r="J35" s="702"/>
      <c r="K35" s="702"/>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703">
        <v>3120000</v>
      </c>
      <c r="D41" s="703"/>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9">
        <v>133685008</v>
      </c>
      <c r="C48" s="699"/>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704" t="s">
        <v>671</v>
      </c>
      <c r="H50" s="705"/>
      <c r="I50" s="456" t="s">
        <v>657</v>
      </c>
      <c r="J50" s="466">
        <f>B50/F50</f>
        <v>52.8690023342034</v>
      </c>
      <c r="K50" s="458"/>
      <c r="L50" s="443"/>
    </row>
    <row r="51" spans="1:15" ht="15" thickBot="1">
      <c r="A51" s="443"/>
      <c r="B51" s="459"/>
      <c r="C51" s="460"/>
      <c r="D51" s="460"/>
      <c r="E51" s="460"/>
      <c r="F51" s="460"/>
      <c r="G51" s="460"/>
      <c r="H51" s="460"/>
      <c r="I51" s="706" t="s">
        <v>672</v>
      </c>
      <c r="J51" s="706"/>
      <c r="K51" s="707"/>
      <c r="L51" s="443"/>
      <c r="O51" s="467"/>
    </row>
    <row r="52" spans="1:12" ht="40.5" customHeight="1">
      <c r="A52" s="443"/>
      <c r="B52" s="701" t="s">
        <v>647</v>
      </c>
      <c r="C52" s="701"/>
      <c r="D52" s="701"/>
      <c r="E52" s="701"/>
      <c r="F52" s="701"/>
      <c r="G52" s="701"/>
      <c r="H52" s="701"/>
      <c r="I52" s="701"/>
      <c r="J52" s="701"/>
      <c r="K52" s="701"/>
      <c r="L52" s="443"/>
    </row>
    <row r="53" spans="1:12" ht="14.25">
      <c r="A53" s="443"/>
      <c r="B53" s="697" t="s">
        <v>673</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674</v>
      </c>
      <c r="C55" s="693"/>
      <c r="D55" s="693"/>
      <c r="E55" s="693"/>
      <c r="F55" s="693"/>
      <c r="G55" s="693"/>
      <c r="H55" s="693"/>
      <c r="I55" s="693"/>
      <c r="J55" s="693"/>
      <c r="K55" s="693"/>
      <c r="L55" s="443"/>
    </row>
    <row r="56" spans="1:12" ht="15" customHeight="1">
      <c r="A56" s="443"/>
      <c r="L56" s="443"/>
    </row>
    <row r="57" spans="1:24" ht="74.25" customHeight="1">
      <c r="A57" s="443"/>
      <c r="B57" s="698" t="s">
        <v>675</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9">
        <v>133685008</v>
      </c>
      <c r="D74" s="699"/>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9">
        <v>5000</v>
      </c>
      <c r="D77" s="699"/>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9">
        <v>100000</v>
      </c>
      <c r="D80" s="699"/>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708">
        <f>H80</f>
        <v>11500</v>
      </c>
      <c r="D83" s="708"/>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647</v>
      </c>
      <c r="C85" s="701"/>
      <c r="D85" s="701"/>
      <c r="E85" s="701"/>
      <c r="F85" s="701"/>
      <c r="G85" s="701"/>
      <c r="H85" s="701"/>
      <c r="I85" s="701"/>
      <c r="J85" s="701"/>
      <c r="K85" s="701"/>
      <c r="L85" s="443"/>
    </row>
    <row r="86" spans="1:12" ht="14.25">
      <c r="A86" s="443"/>
      <c r="B86" s="693" t="s">
        <v>695</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696</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697</v>
      </c>
      <c r="C90" s="698"/>
      <c r="D90" s="698"/>
      <c r="E90" s="698"/>
      <c r="F90" s="698"/>
      <c r="G90" s="698"/>
      <c r="H90" s="698"/>
      <c r="I90" s="698"/>
      <c r="J90" s="698"/>
      <c r="K90" s="698"/>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9">
        <v>133685008</v>
      </c>
      <c r="D94" s="699"/>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9">
        <v>50000</v>
      </c>
      <c r="D97" s="699"/>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9">
        <v>2500000</v>
      </c>
      <c r="D100" s="699"/>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708">
        <f>H100</f>
        <v>750000</v>
      </c>
      <c r="D103" s="708"/>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647</v>
      </c>
      <c r="C105" s="709"/>
      <c r="D105" s="709"/>
      <c r="E105" s="709"/>
      <c r="F105" s="709"/>
      <c r="G105" s="709"/>
      <c r="H105" s="709"/>
      <c r="I105" s="709"/>
      <c r="J105" s="709"/>
      <c r="K105" s="709"/>
      <c r="L105" s="443"/>
    </row>
    <row r="106" spans="1:12" ht="15" customHeight="1">
      <c r="A106" s="443"/>
      <c r="B106" s="710" t="s">
        <v>699</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700</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701</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9">
        <v>133685008</v>
      </c>
      <c r="D114" s="699"/>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9">
        <v>50000</v>
      </c>
      <c r="D117" s="699"/>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9">
        <v>2500000</v>
      </c>
      <c r="D120" s="699"/>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708">
        <f>H120</f>
        <v>625000</v>
      </c>
      <c r="D123" s="708"/>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647</v>
      </c>
      <c r="C125" s="701"/>
      <c r="D125" s="701"/>
      <c r="E125" s="701"/>
      <c r="F125" s="701"/>
      <c r="G125" s="701"/>
      <c r="H125" s="701"/>
      <c r="I125" s="701"/>
      <c r="J125" s="701"/>
      <c r="K125" s="701"/>
      <c r="L125" s="498"/>
    </row>
    <row r="126" spans="1:12" ht="14.25">
      <c r="A126" s="443"/>
      <c r="B126" s="693" t="s">
        <v>702</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703</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704</v>
      </c>
      <c r="C130" s="698"/>
      <c r="D130" s="698"/>
      <c r="E130" s="698"/>
      <c r="F130" s="698"/>
      <c r="G130" s="698"/>
      <c r="H130" s="698"/>
      <c r="I130" s="698"/>
      <c r="J130" s="698"/>
      <c r="K130" s="698"/>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713" t="s">
        <v>705</v>
      </c>
      <c r="D133" s="713"/>
      <c r="E133" s="455"/>
      <c r="F133" s="456" t="s">
        <v>706</v>
      </c>
      <c r="G133" s="455"/>
      <c r="H133" s="713" t="s">
        <v>691</v>
      </c>
      <c r="I133" s="713"/>
      <c r="J133" s="455"/>
      <c r="K133" s="458"/>
      <c r="L133" s="443"/>
    </row>
    <row r="134" spans="1:12" ht="14.25">
      <c r="A134" s="443"/>
      <c r="B134" s="464" t="s">
        <v>684</v>
      </c>
      <c r="C134" s="699">
        <v>100000</v>
      </c>
      <c r="D134" s="699"/>
      <c r="E134" s="456" t="s">
        <v>298</v>
      </c>
      <c r="F134" s="456">
        <v>0.115</v>
      </c>
      <c r="G134" s="456" t="s">
        <v>657</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691</v>
      </c>
      <c r="D136" s="715"/>
      <c r="E136" s="475"/>
      <c r="F136" s="476" t="s">
        <v>707</v>
      </c>
      <c r="G136" s="476"/>
      <c r="H136" s="475"/>
      <c r="I136" s="475"/>
      <c r="J136" s="475" t="s">
        <v>708</v>
      </c>
      <c r="K136" s="477"/>
      <c r="L136" s="443"/>
    </row>
    <row r="137" spans="1:12" ht="14.25">
      <c r="A137" s="443"/>
      <c r="B137" s="464" t="s">
        <v>687</v>
      </c>
      <c r="C137" s="714">
        <f>H134</f>
        <v>11500</v>
      </c>
      <c r="D137" s="714"/>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711</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714" t="s">
        <v>712</v>
      </c>
      <c r="D147" s="714"/>
      <c r="E147" s="456"/>
      <c r="F147" s="516" t="s">
        <v>713</v>
      </c>
      <c r="G147" s="456"/>
      <c r="H147" s="456"/>
      <c r="I147" s="456"/>
      <c r="J147" s="719" t="s">
        <v>714</v>
      </c>
      <c r="K147" s="720"/>
      <c r="L147" s="443"/>
    </row>
    <row r="148" spans="1:12" ht="14.25">
      <c r="A148" s="443"/>
      <c r="B148" s="464"/>
      <c r="C148" s="721">
        <v>52.869</v>
      </c>
      <c r="D148" s="721"/>
      <c r="E148" s="456" t="s">
        <v>298</v>
      </c>
      <c r="F148" s="521">
        <v>133685008</v>
      </c>
      <c r="G148" s="522" t="s">
        <v>658</v>
      </c>
      <c r="H148" s="456">
        <v>1000</v>
      </c>
      <c r="I148" s="456" t="s">
        <v>657</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Oswego Township</v>
      </c>
      <c r="B1" s="101"/>
      <c r="C1" s="101"/>
      <c r="D1" s="101"/>
      <c r="E1" s="101">
        <f>inputPrYr!D5</f>
        <v>2012</v>
      </c>
    </row>
    <row r="2" spans="1:5" ht="15.75">
      <c r="A2" s="99" t="str">
        <f>inputPrYr!D3</f>
        <v>Labette County</v>
      </c>
      <c r="B2" s="101"/>
      <c r="C2" s="101"/>
      <c r="D2" s="101"/>
      <c r="E2" s="101"/>
    </row>
    <row r="3" spans="1:5" ht="15.75">
      <c r="A3" s="101"/>
      <c r="B3" s="101"/>
      <c r="C3" s="101"/>
      <c r="D3" s="101"/>
      <c r="E3" s="101"/>
    </row>
    <row r="4" spans="1:5" ht="15.75">
      <c r="A4" s="613" t="s">
        <v>159</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2461943</v>
      </c>
    </row>
    <row r="8" spans="1:5" ht="15.75">
      <c r="A8" s="22" t="str">
        <f>CONCATENATE("New Improvements for ",E1-1,"")</f>
        <v>New Improvements for 2011</v>
      </c>
      <c r="B8" s="19"/>
      <c r="C8" s="19"/>
      <c r="D8" s="19"/>
      <c r="E8" s="309">
        <v>6089</v>
      </c>
    </row>
    <row r="9" spans="1:5" ht="15.75">
      <c r="A9" s="22" t="str">
        <f>CONCATENATE("Personal Property excluding oil, gas, and mobile homes - ",E1-1,"")</f>
        <v>Personal Property excluding oil, gas, and mobile homes - 2011</v>
      </c>
      <c r="B9" s="19"/>
      <c r="C9" s="19"/>
      <c r="D9" s="19"/>
      <c r="E9" s="309">
        <v>53957</v>
      </c>
    </row>
    <row r="10" spans="1:5" ht="15.75">
      <c r="A10" s="22" t="str">
        <f>CONCATENATE("Property that has changed in use for ",E1-1,"")</f>
        <v>Property that has changed in use for 2011</v>
      </c>
      <c r="B10" s="19"/>
      <c r="C10" s="19"/>
      <c r="D10" s="19"/>
      <c r="E10" s="309">
        <v>1111</v>
      </c>
    </row>
    <row r="11" spans="1:5" ht="15.75">
      <c r="A11" s="22" t="str">
        <f>CONCATENATE("Personal Property excluding oil, gas, and mobile homes- ",E1-2,"")</f>
        <v>Personal Property excluding oil, gas, and mobile homes- 2010</v>
      </c>
      <c r="B11" s="19"/>
      <c r="C11" s="19"/>
      <c r="D11" s="19"/>
      <c r="E11" s="309">
        <v>55501</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294</v>
      </c>
      <c r="B16" s="616"/>
      <c r="C16" s="101"/>
      <c r="D16" s="313" t="s">
        <v>3</v>
      </c>
      <c r="E16" s="312"/>
    </row>
    <row r="17" spans="1:5" ht="15.75">
      <c r="A17" s="82" t="str">
        <f>inputPrYr!B16</f>
        <v>General</v>
      </c>
      <c r="B17" s="20"/>
      <c r="C17" s="19"/>
      <c r="D17" s="314">
        <v>2.801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2.801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2402877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160</v>
      </c>
      <c r="B31" s="20"/>
      <c r="C31" s="20"/>
      <c r="D31" s="321"/>
      <c r="E31" s="34">
        <v>966</v>
      </c>
    </row>
    <row r="32" spans="1:5" ht="15.75">
      <c r="A32" s="322" t="s">
        <v>285</v>
      </c>
      <c r="B32" s="291"/>
      <c r="C32" s="291"/>
      <c r="D32" s="31"/>
      <c r="E32" s="34">
        <v>15</v>
      </c>
    </row>
    <row r="33" spans="1:5" ht="15.75">
      <c r="A33" s="322" t="s">
        <v>161</v>
      </c>
      <c r="B33" s="291"/>
      <c r="C33" s="291"/>
      <c r="D33" s="31"/>
      <c r="E33" s="34">
        <v>142</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2.52</v>
      </c>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215</v>
      </c>
      <c r="B45" s="327" t="s">
        <v>216</v>
      </c>
      <c r="C45" s="328" t="s">
        <v>217</v>
      </c>
      <c r="D45" s="329"/>
      <c r="E45" s="329"/>
    </row>
    <row r="46" spans="1:5" ht="15.75">
      <c r="A46" s="330" t="str">
        <f>inputPrYr!B16</f>
        <v>General</v>
      </c>
      <c r="B46" s="36">
        <v>8179</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808</v>
      </c>
    </row>
    <row r="2" ht="15.75">
      <c r="A2" s="91" t="s">
        <v>809</v>
      </c>
    </row>
    <row r="4" ht="15.75">
      <c r="A4" s="401" t="s">
        <v>806</v>
      </c>
    </row>
    <row r="5" ht="15.75">
      <c r="A5" s="91" t="s">
        <v>807</v>
      </c>
    </row>
    <row r="7" ht="15.75">
      <c r="A7" s="401" t="s">
        <v>803</v>
      </c>
    </row>
    <row r="8" ht="15.75">
      <c r="A8" s="605" t="s">
        <v>804</v>
      </c>
    </row>
    <row r="10" ht="15.75">
      <c r="A10" s="401" t="s">
        <v>800</v>
      </c>
    </row>
    <row r="11" ht="15.75">
      <c r="A11" s="91" t="s">
        <v>801</v>
      </c>
    </row>
    <row r="12" ht="15.75">
      <c r="A12" s="91" t="s">
        <v>802</v>
      </c>
    </row>
    <row r="14" ht="15.75">
      <c r="A14" s="401" t="s">
        <v>773</v>
      </c>
    </row>
    <row r="15" ht="15.75">
      <c r="A15" s="605" t="s">
        <v>774</v>
      </c>
    </row>
    <row r="16" ht="15.75">
      <c r="A16" s="605" t="s">
        <v>775</v>
      </c>
    </row>
    <row r="17" ht="31.5">
      <c r="A17" s="604" t="s">
        <v>776</v>
      </c>
    </row>
    <row r="18" ht="15.75">
      <c r="A18" s="605" t="s">
        <v>777</v>
      </c>
    </row>
    <row r="19" ht="15.75">
      <c r="A19" s="605" t="s">
        <v>778</v>
      </c>
    </row>
    <row r="20" ht="15.75">
      <c r="A20" s="605" t="s">
        <v>779</v>
      </c>
    </row>
    <row r="21" ht="15.75">
      <c r="A21" s="605" t="s">
        <v>780</v>
      </c>
    </row>
    <row r="22" ht="15.75">
      <c r="A22" s="605" t="s">
        <v>781</v>
      </c>
    </row>
    <row r="23" ht="15.75">
      <c r="A23" s="605" t="s">
        <v>782</v>
      </c>
    </row>
    <row r="24" ht="15.75">
      <c r="A24" s="605" t="s">
        <v>783</v>
      </c>
    </row>
    <row r="25" ht="15.75">
      <c r="A25" s="605" t="s">
        <v>784</v>
      </c>
    </row>
    <row r="26" ht="15.75">
      <c r="A26" s="605" t="s">
        <v>785</v>
      </c>
    </row>
    <row r="27" ht="15.75">
      <c r="A27" s="605" t="s">
        <v>796</v>
      </c>
    </row>
    <row r="28" ht="15.75">
      <c r="A28" s="605" t="s">
        <v>786</v>
      </c>
    </row>
    <row r="29" ht="15.75">
      <c r="A29" s="605" t="s">
        <v>787</v>
      </c>
    </row>
    <row r="30" ht="15.75">
      <c r="A30" s="605" t="s">
        <v>788</v>
      </c>
    </row>
    <row r="31" ht="15.75">
      <c r="A31" s="605" t="s">
        <v>789</v>
      </c>
    </row>
    <row r="32" ht="15.75">
      <c r="A32" s="605" t="s">
        <v>790</v>
      </c>
    </row>
    <row r="33" ht="15.75">
      <c r="A33" s="605" t="s">
        <v>791</v>
      </c>
    </row>
    <row r="34" ht="15.75">
      <c r="A34" s="605" t="s">
        <v>792</v>
      </c>
    </row>
    <row r="35" ht="15.75">
      <c r="A35" s="605" t="s">
        <v>793</v>
      </c>
    </row>
    <row r="36" ht="15.75">
      <c r="A36" s="605" t="s">
        <v>794</v>
      </c>
    </row>
    <row r="37" ht="15.75">
      <c r="A37" s="605" t="s">
        <v>799</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381</v>
      </c>
      <c r="B2" s="622"/>
      <c r="C2" s="622"/>
      <c r="D2" s="622"/>
      <c r="E2" s="622"/>
      <c r="F2" s="622"/>
    </row>
    <row r="4" spans="1:6" ht="15.75">
      <c r="A4" s="383"/>
      <c r="B4" s="383"/>
      <c r="C4" s="383"/>
      <c r="D4" s="385"/>
      <c r="E4" s="383"/>
      <c r="F4" s="383"/>
    </row>
    <row r="5" spans="1:6" ht="15.75">
      <c r="A5" s="384" t="s">
        <v>382</v>
      </c>
      <c r="B5" s="386" t="s">
        <v>815</v>
      </c>
      <c r="C5" s="387"/>
      <c r="D5" s="384" t="s">
        <v>798</v>
      </c>
      <c r="E5" s="383"/>
      <c r="F5" s="383"/>
    </row>
    <row r="6" spans="1:6" ht="15.75">
      <c r="A6" s="384"/>
      <c r="B6" s="388"/>
      <c r="C6" s="389"/>
      <c r="D6" s="384" t="s">
        <v>797</v>
      </c>
      <c r="E6" s="383"/>
      <c r="F6" s="383"/>
    </row>
    <row r="7" spans="1:6" ht="15.75">
      <c r="A7" s="384" t="s">
        <v>383</v>
      </c>
      <c r="B7" s="386" t="s">
        <v>816</v>
      </c>
      <c r="C7" s="390"/>
      <c r="D7" s="384"/>
      <c r="E7" s="383"/>
      <c r="F7" s="383"/>
    </row>
    <row r="8" spans="1:6" ht="15.75">
      <c r="A8" s="384"/>
      <c r="B8" s="384"/>
      <c r="C8" s="384"/>
      <c r="D8" s="384"/>
      <c r="E8" s="383"/>
      <c r="F8" s="383"/>
    </row>
    <row r="9" spans="1:6" ht="15.75">
      <c r="A9" s="384" t="s">
        <v>384</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817</v>
      </c>
      <c r="C12" s="391"/>
      <c r="D12" s="391"/>
      <c r="E12" s="392"/>
      <c r="F12" s="383"/>
    </row>
    <row r="15" spans="1:6" ht="15.75">
      <c r="A15" s="623" t="s">
        <v>386</v>
      </c>
      <c r="B15" s="623"/>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7346938" r:id="rId1"/>
  </oleObjects>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7">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Labette County, State of Kansas</v>
      </c>
      <c r="C3" s="634"/>
      <c r="D3" s="634"/>
      <c r="E3" s="634"/>
      <c r="F3" s="634"/>
      <c r="G3" s="634"/>
      <c r="H3" s="634"/>
    </row>
    <row r="4" spans="2:7" s="14" customFormat="1" ht="15.75">
      <c r="B4" s="158" t="s">
        <v>152</v>
      </c>
      <c r="C4" s="156"/>
      <c r="D4" s="156"/>
      <c r="E4" s="156"/>
      <c r="F4" s="156"/>
      <c r="G4" s="156"/>
    </row>
    <row r="5" s="14" customFormat="1" ht="15.75">
      <c r="D5" s="427" t="str">
        <f>inputPrYr!D2</f>
        <v>Oswego Township</v>
      </c>
    </row>
    <row r="6" spans="2:7" s="14" customFormat="1" ht="15.75">
      <c r="B6" s="633" t="s">
        <v>150</v>
      </c>
      <c r="C6" s="634"/>
      <c r="D6" s="634"/>
      <c r="E6" s="634"/>
      <c r="F6" s="634"/>
      <c r="G6" s="634"/>
    </row>
    <row r="7" spans="2:7" s="14" customFormat="1" ht="15.75" customHeight="1">
      <c r="B7" s="635" t="s">
        <v>151</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286</v>
      </c>
      <c r="F12" s="627" t="str">
        <f>CONCATENATE("Amount of ",H1-1," Ad Valorem Tax")</f>
        <v>Amount of 2011 Ad Valorem Tax</v>
      </c>
      <c r="G12" s="23" t="s">
        <v>287</v>
      </c>
    </row>
    <row r="13" spans="4:7" s="14" customFormat="1" ht="15.75">
      <c r="D13" s="23" t="s">
        <v>288</v>
      </c>
      <c r="E13" s="590" t="s">
        <v>216</v>
      </c>
      <c r="F13" s="628"/>
      <c r="G13" s="167" t="s">
        <v>289</v>
      </c>
    </row>
    <row r="14" spans="2:7" s="14" customFormat="1" ht="15.75">
      <c r="B14" s="82" t="s">
        <v>290</v>
      </c>
      <c r="C14" s="20"/>
      <c r="D14" s="26" t="s">
        <v>291</v>
      </c>
      <c r="E14" s="591" t="s">
        <v>745</v>
      </c>
      <c r="F14" s="629"/>
      <c r="G14" s="26" t="s">
        <v>293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8598</v>
      </c>
      <c r="F20" s="172">
        <f>IF(gen!$E$57&lt;&gt;0,gen!$E$57,0)</f>
        <v>6751</v>
      </c>
      <c r="G20" s="168">
        <f>IF(AND(gen!E57=0,$C$38&gt;=0)," ",IF(AND(F20&gt;0,$C$38=0)," ",IF(AND(F20&gt;0,$C$38&gt;0),ROUND(F20/$C$38*1000,3))))</f>
        <v>2.751</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8598</v>
      </c>
      <c r="F33" s="292">
        <f>SUM(F20:F28)</f>
        <v>6751</v>
      </c>
      <c r="G33" s="293">
        <f>IF(SUM(G20:G28)&gt;0,SUM(G20:G28),"")</f>
        <v>2.751</v>
      </c>
    </row>
    <row r="34" spans="2:4" s="14" customFormat="1" ht="16.5" thickTop="1">
      <c r="B34" s="27" t="s">
        <v>171</v>
      </c>
      <c r="C34" s="283"/>
      <c r="D34" s="288">
        <f>summ!D47</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7" t="s">
        <v>126</v>
      </c>
      <c r="D37" s="638"/>
      <c r="E37" s="298"/>
      <c r="G37" s="22" t="s">
        <v>299</v>
      </c>
    </row>
    <row r="38" spans="2:7" s="14" customFormat="1" ht="15.75">
      <c r="B38" s="27" t="s">
        <v>101</v>
      </c>
      <c r="C38" s="639">
        <v>2454182</v>
      </c>
      <c r="D38" s="640"/>
      <c r="E38" s="299"/>
      <c r="G38" s="22"/>
    </row>
    <row r="39" spans="2:7" s="14" customFormat="1" ht="15.75">
      <c r="B39" s="300"/>
      <c r="C39" s="641" t="str">
        <f>CONCATENATE("Nov. 1, ",H1-1," Valuation")</f>
        <v>Nov. 1, 2011 Valuation</v>
      </c>
      <c r="D39" s="642"/>
      <c r="E39" s="298"/>
      <c r="G39" s="22"/>
    </row>
    <row r="40" spans="2:7" s="14" customFormat="1" ht="15.75">
      <c r="B40" s="300" t="s">
        <v>300</v>
      </c>
      <c r="E40" s="19"/>
      <c r="G40" s="22"/>
    </row>
    <row r="41" spans="2:7" s="14" customFormat="1" ht="15.75">
      <c r="B41" s="301" t="s">
        <v>818</v>
      </c>
      <c r="C41" s="301"/>
      <c r="E41" s="298"/>
      <c r="F41" s="19"/>
      <c r="G41" s="19"/>
    </row>
    <row r="42" spans="2:3" s="14" customFormat="1" ht="15.75">
      <c r="B42" s="302" t="s">
        <v>302</v>
      </c>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149</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302</v>
      </c>
      <c r="C52" s="14"/>
      <c r="D52" s="14"/>
      <c r="E52" s="624" t="s">
        <v>301</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G59" sqref="G5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Oswego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6731</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6731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6089</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53957</v>
      </c>
      <c r="F14" s="270"/>
      <c r="G14" s="55"/>
      <c r="H14" s="55"/>
      <c r="I14" s="53"/>
      <c r="J14" s="55"/>
    </row>
    <row r="15" spans="1:10" ht="15.75">
      <c r="A15" s="269"/>
      <c r="B15" s="14" t="s">
        <v>90</v>
      </c>
      <c r="C15" s="14" t="str">
        <f>CONCATENATE("Personal Property ",J1-2,"")</f>
        <v>Personal Property 2010</v>
      </c>
      <c r="D15" s="269" t="s">
        <v>85</v>
      </c>
      <c r="E15" s="273">
        <f>inputOth!E11</f>
        <v>55501</v>
      </c>
      <c r="F15" s="270"/>
      <c r="G15" s="53"/>
      <c r="H15" s="53"/>
      <c r="I15" s="55"/>
      <c r="J15" s="55"/>
    </row>
    <row r="16" spans="1:10" ht="15.75">
      <c r="A16" s="269"/>
      <c r="B16" s="14" t="s">
        <v>91</v>
      </c>
      <c r="C16" s="14" t="s">
        <v>110</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1111</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7200</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2461943</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2454743</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0.0029330972733194473</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20</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6751</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6751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59" sqref="G5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Oswego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235</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163</v>
      </c>
      <c r="L10" s="111"/>
    </row>
    <row r="11" spans="2:12" ht="15.75">
      <c r="B11" s="96" t="str">
        <f>inputPrYr!B16</f>
        <v>General</v>
      </c>
      <c r="C11" s="252"/>
      <c r="D11" s="96">
        <f>IF(inputPrYr!E16&gt;0,inputPrYr!E16,"  ")</f>
        <v>6731</v>
      </c>
      <c r="E11" s="253">
        <f>IF(inputOth!D17&gt;0,inputOth!D17,"  ")</f>
        <v>2.801</v>
      </c>
      <c r="F11" s="254"/>
      <c r="G11" s="96">
        <f>IF(inputPrYr!E16=0,0,G22-SUM(G12:G19))</f>
        <v>966</v>
      </c>
      <c r="H11" s="255"/>
      <c r="I11" s="96">
        <f>IF(inputPrYr!E16=0,0,I24-SUM(I12:I19))</f>
        <v>15</v>
      </c>
      <c r="J11" s="96">
        <f>IF(inputPrYr!E16=0,0,J26-SUM(J12:J19))</f>
        <v>142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6731</v>
      </c>
      <c r="E20" s="259">
        <f>SUM(E11:E19)</f>
        <v>2.801</v>
      </c>
      <c r="F20" s="260"/>
      <c r="G20" s="258">
        <f>SUM(G11:G19)</f>
        <v>966</v>
      </c>
      <c r="H20" s="258"/>
      <c r="I20" s="258">
        <f>SUM(I11:I19)</f>
        <v>15</v>
      </c>
      <c r="J20" s="258">
        <f>SUM(J11:J19)</f>
        <v>142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966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15</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142</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0.14351507948298917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0.002228495023027782</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0.021096419551329668</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Oswego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172</v>
      </c>
      <c r="B5" s="626"/>
      <c r="C5" s="626"/>
      <c r="D5" s="626"/>
      <c r="E5" s="626"/>
      <c r="F5" s="626"/>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2010</v>
      </c>
      <c r="D9" s="236">
        <f>F1-1</f>
        <v>2011</v>
      </c>
      <c r="E9" s="236">
        <f>F1</f>
        <v>2012</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2011-10-21T20:07:45Z</cp:lastPrinted>
  <dcterms:created xsi:type="dcterms:W3CDTF">1998-08-26T16:30:41Z</dcterms:created>
  <dcterms:modified xsi:type="dcterms:W3CDTF">2012-01-06T22:50:18Z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