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<sst xmlns="http://schemas.openxmlformats.org/spreadsheetml/2006/main" count="1383" uniqueCount="826">
  <si>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</si>
  <si>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</si>
  <si>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</si>
  <si>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</si>
  <si>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</si>
  <si>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</si>
  <si>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</si>
  <si>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</si>
  <si>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</si>
  <si>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</si>
  <si>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</si>
  <si>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</si>
  <si>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</si>
  <si>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</si>
  <si>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</si>
  <si>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</si>
  <si>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</si>
  <si>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</si>
  <si>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</si>
  <si>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</si>
  <si>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</si>
  <si>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</si>
  <si>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</si>
  <si>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</si>
  <si>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</si>
  <si>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</si>
  <si>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</si>
  <si>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</si>
  <si>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</si>
  <si>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</si>
  <si>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</si>
  <si>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</si>
  <si>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</si>
  <si>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</si>
  <si>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</si>
  <si>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</si>
  <si>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</si>
  <si>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</si>
  <si>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</si>
  <si>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</si>
  <si>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</si>
  <si>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</si>
  <si>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</si>
  <si>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</si>
  <si>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</si>
  <si>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</si>
  <si>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</si>
  <si>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</si>
  <si>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</si>
  <si>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</si>
  <si>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</si>
  <si>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</si>
  <si>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</si>
  <si>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</si>
  <si>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</si>
  <si>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</si>
  <si>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</si>
  <si>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</si>
  <si>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</si>
  <si>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</si>
  <si>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</si>
  <si>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</si>
  <si>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</si>
  <si>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</si>
  <si>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</si>
  <si>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</si>
  <si>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</si>
  <si>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</si>
  <si>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</si>
  <si>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</si>
  <si>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</si>
  <si>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</si>
  <si>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</si>
  <si>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</si>
  <si>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</si>
  <si>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</si>
  <si>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</si>
  <si>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</si>
  <si>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</si>
  <si>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</si>
  <si>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</si>
  <si>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</si>
  <si>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</si>
  <si>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</si>
  <si>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</si>
  <si>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</si>
  <si>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</si>
  <si>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</si>
  <si>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</si>
  <si>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</si>
  <si>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</si>
  <si>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</si>
  <si>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</si>
  <si>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</si>
  <si>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</si>
  <si>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</si>
  <si>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</si>
  <si>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</si>
  <si>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</si>
  <si>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</si>
  <si>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</si>
  <si>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</si>
  <si>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</si>
  <si>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</si>
  <si>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</si>
  <si>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</si>
  <si>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</si>
  <si>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</si>
  <si>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</si>
  <si>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</si>
  <si>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</si>
  <si>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</si>
  <si>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</si>
  <si>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</si>
  <si>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</si>
  <si>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</si>
  <si>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</si>
  <si>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</si>
  <si>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</si>
  <si>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</si>
  <si>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</si>
  <si>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</si>
  <si>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</si>
  <si>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</si>
  <si>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</si>
  <si>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</si>
  <si>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</si>
  <si>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</si>
  <si>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</si>
  <si>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</si>
  <si>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</si>
  <si>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</si>
  <si>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</si>
  <si>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</si>
  <si>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</si>
  <si>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</si>
  <si>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</si>
  <si>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</si>
  <si>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</si>
  <si>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</si>
  <si>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</si>
  <si>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</si>
  <si>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</si>
  <si>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</si>
  <si>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</si>
  <si>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</si>
  <si>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</si>
  <si>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</si>
  <si>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</si>
  <si>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</si>
  <si>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</si>
  <si>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</si>
  <si>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</si>
  <si>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</si>
  <si>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</si>
  <si>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</si>
  <si>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</si>
  <si>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</si>
  <si>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</si>
  <si>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</si>
  <si>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</si>
  <si>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</si>
  <si>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</si>
  <si>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</si>
  <si>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</si>
  <si>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</si>
  <si>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</si>
  <si>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</si>
  <si>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</si>
  <si>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</si>
  <si>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</si>
  <si>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</si>
  <si>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</si>
  <si>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</si>
  <si>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</si>
  <si>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</si>
  <si>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</si>
  <si>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</si>
  <si>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</si>
  <si>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</si>
  <si>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</si>
  <si>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</si>
  <si>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</si>
  <si>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</si>
  <si>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</si>
  <si>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</si>
  <si>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</si>
  <si>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</si>
  <si>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</si>
  <si>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</si>
  <si>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</si>
  <si>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</si>
  <si>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</si>
  <si>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</si>
  <si>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</si>
  <si>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</si>
  <si>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</si>
  <si>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</si>
  <si>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</si>
  <si>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</si>
  <si>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</si>
  <si>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</si>
  <si>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</si>
  <si>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</si>
  <si>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</si>
  <si>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</si>
  <si>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</si>
  <si>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</si>
  <si>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</si>
  <si>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</si>
  <si>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</si>
  <si>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</si>
  <si>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</si>
  <si>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</si>
  <si>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</si>
  <si>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</si>
  <si>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</si>
  <si>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</si>
  <si>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</si>
  <si>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</si>
  <si>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</si>
  <si>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</si>
  <si>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</si>
  <si>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</si>
  <si>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</si>
  <si>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</si>
  <si>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</si>
  <si>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</si>
  <si>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</si>
  <si>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</si>
  <si>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</si>
  <si>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</si>
  <si>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</si>
  <si>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</si>
  <si>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</si>
  <si>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</si>
  <si>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</si>
  <si>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</si>
  <si>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</si>
  <si>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</si>
  <si>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</si>
  <si>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</si>
  <si>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</si>
  <si>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</si>
  <si>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</si>
  <si>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</si>
  <si>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</si>
  <si>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</si>
  <si>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</si>
  <si>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</si>
  <si>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</si>
  <si>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</si>
  <si>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</si>
  <si>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</si>
  <si>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</si>
  <si>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</si>
  <si>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</si>
  <si>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</si>
  <si>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</si>
  <si>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</si>
  <si>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</si>
  <si>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</si>
  <si>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</si>
  <si>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</si>
  <si>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</si>
  <si>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</si>
  <si>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</si>
  <si>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</si>
  <si>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</si>
  <si>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</si>
  <si>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</si>
  <si>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</si>
  <si>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</si>
  <si>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</si>
  <si>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</si>
  <si>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</si>
  <si>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</si>
  <si>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</si>
  <si>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</si>
  <si>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</si>
  <si>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</si>
  <si>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</si>
  <si>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</si>
  <si>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</si>
  <si>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</si>
  <si>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</si>
  <si>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</si>
  <si>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</si>
  <si>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</si>
  <si>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</si>
  <si>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</si>
  <si>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</si>
  <si>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</si>
  <si>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</si>
  <si>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</si>
  <si>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</si>
  <si>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</si>
  <si>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</si>
  <si>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</si>
  <si>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</si>
  <si>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</si>
  <si>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</si>
  <si>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</si>
  <si>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</si>
  <si>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</si>
  <si>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</si>
  <si>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</si>
  <si>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</si>
  <si>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</si>
  <si>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</si>
  <si>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</si>
  <si>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</si>
  <si>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</si>
  <si>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</si>
  <si>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</si>
  <si>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</si>
  <si>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</si>
  <si>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</si>
  <si>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</si>
  <si>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</si>
  <si>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</si>
  <si>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</si>
  <si>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</si>
  <si>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</si>
  <si>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</si>
  <si>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</si>
  <si>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</si>
  <si>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</si>
  <si>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</si>
  <si>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</si>
  <si>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</si>
  <si>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</si>
  <si>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</si>
  <si>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</si>
  <si>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</si>
  <si>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</si>
  <si>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</si>
  <si>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</si>
  <si>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</si>
  <si>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</si>
  <si>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</si>
  <si>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</si>
  <si>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</si>
  <si>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</si>
  <si>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</si>
  <si>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</si>
  <si>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</si>
  <si>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</si>
  <si>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</si>
  <si>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</si>
  <si>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</si>
  <si>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</si>
  <si>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</si>
  <si>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</si>
  <si>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</si>
  <si>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</si>
  <si>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</si>
  <si>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</si>
  <si>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</si>
  <si>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</si>
  <si>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</si>
  <si>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</si>
  <si>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</si>
  <si>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</si>
  <si>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</si>
  <si>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</si>
  <si>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</si>
  <si>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</si>
  <si>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</si>
  <si>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</si>
  <si>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</si>
  <si>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</si>
  <si>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</si>
  <si>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</si>
  <si>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</si>
  <si>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</si>
  <si>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</si>
  <si>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</si>
  <si>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</si>
  <si>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</si>
  <si>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</si>
  <si>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</si>
  <si>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</si>
  <si>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</si>
  <si>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</si>
  <si>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</si>
  <si>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</si>
  <si>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</si>
  <si>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</si>
  <si>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</si>
  <si>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</si>
  <si>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</si>
  <si>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</si>
  <si>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</si>
  <si>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</si>
  <si>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</si>
  <si>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</si>
  <si>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</si>
  <si>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</si>
  <si>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</si>
  <si>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</si>
  <si>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</si>
  <si>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</si>
  <si>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</si>
  <si>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</si>
  <si>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</si>
  <si>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</si>
  <si>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</si>
  <si>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</si>
  <si>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</si>
  <si>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</si>
  <si>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</si>
  <si>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</si>
  <si>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</si>
  <si>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</si>
  <si>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</si>
  <si>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</si>
  <si>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</si>
  <si>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</si>
  <si>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</si>
  <si>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</si>
  <si>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</si>
  <si>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</si>
  <si>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</si>
  <si>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</si>
  <si>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</si>
  <si>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</si>
  <si>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</si>
  <si>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</si>
  <si>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</si>
  <si>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</si>
  <si>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</si>
  <si>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</si>
  <si>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</si>
  <si>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</si>
  <si>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</si>
  <si>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</si>
  <si>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</si>
  <si>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</si>
  <si>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</si>
  <si>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</si>
  <si>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</si>
  <si>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</si>
  <si>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</si>
  <si>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</si>
  <si>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</si>
  <si>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</si>
  <si>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</si>
  <si>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</si>
  <si>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</si>
  <si>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</si>
  <si>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</si>
  <si>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</si>
  <si>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</si>
  <si>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</si>
  <si>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</si>
  <si>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</si>
  <si>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</si>
  <si>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</si>
  <si>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</si>
  <si>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</si>
  <si>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</si>
  <si>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</si>
  <si>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</si>
  <si>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</si>
  <si>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</si>
  <si>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</si>
  <si>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</si>
  <si>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</si>
  <si>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</si>
  <si>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</si>
  <si>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</si>
  <si>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</si>
  <si>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</si>
  <si>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</si>
  <si>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</si>
  <si>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</si>
  <si>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</si>
  <si>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</si>
  <si>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</si>
  <si>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</si>
  <si>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</si>
  <si>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</si>
  <si>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</si>
  <si>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</si>
  <si>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</si>
  <si>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</si>
  <si>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</si>
  <si>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</si>
  <si>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</si>
  <si>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</si>
  <si>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</si>
  <si>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</si>
  <si>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</si>
  <si>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</si>
  <si>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</si>
  <si>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</si>
  <si>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</si>
  <si>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</si>
  <si>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</si>
  <si>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</si>
  <si>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</si>
  <si>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</si>
  <si>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</si>
  <si>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</si>
  <si>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</si>
  <si>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</si>
  <si>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</si>
  <si>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</si>
  <si>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</si>
  <si>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</si>
  <si>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</si>
  <si>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</si>
  <si>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</si>
  <si>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</si>
  <si>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</si>
  <si>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</si>
  <si>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</si>
  <si>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</si>
  <si>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</si>
  <si>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</si>
  <si>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</si>
  <si>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</si>
  <si>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</si>
  <si>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</si>
  <si>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</si>
  <si>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</si>
  <si>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</si>
  <si>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</si>
  <si>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</si>
  <si>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</si>
  <si>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</si>
  <si>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</si>
  <si>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</si>
  <si>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</si>
  <si>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</si>
  <si>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</si>
  <si>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</si>
  <si>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</si>
  <si>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</si>
  <si>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</si>
  <si>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</si>
  <si>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</si>
  <si>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</si>
  <si>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</si>
  <si>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</si>
  <si>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</si>
  <si>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</si>
  <si>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</si>
  <si>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</si>
  <si>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</si>
  <si>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</si>
  <si>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</si>
  <si>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</si>
  <si>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</si>
  <si>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</si>
  <si>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</si>
  <si>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</si>
  <si>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</si>
  <si>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</si>
  <si>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</si>
  <si>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</si>
  <si>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</si>
  <si>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</si>
  <si>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</si>
  <si>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</si>
  <si>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</si>
  <si>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</si>
  <si>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</si>
  <si>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</si>
  <si>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</si>
  <si>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</si>
  <si>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</si>
  <si>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</si>
  <si>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</si>
  <si>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</si>
  <si>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</si>
  <si>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</si>
  <si>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</si>
  <si>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</si>
  <si>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</si>
  <si>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</si>
  <si>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</si>
  <si>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</si>
  <si>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</si>
  <si>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</si>
  <si>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</si>
  <si>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</si>
  <si>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</si>
  <si>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</si>
  <si>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</si>
  <si>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</si>
  <si>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</si>
  <si>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</si>
  <si>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</si>
  <si>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</si>
  <si>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</si>
  <si>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</si>
  <si>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</si>
  <si>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</si>
  <si>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</si>
  <si>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</si>
  <si>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</si>
  <si>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</si>
  <si>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</si>
  <si>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</si>
  <si>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</si>
  <si>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</si>
  <si>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</si>
  <si>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</si>
  <si>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</si>
  <si>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</si>
  <si>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</si>
  <si>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</si>
  <si>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</si>
  <si>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</si>
  <si>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</si>
  <si>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</si>
  <si>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</si>
  <si>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</si>
  <si>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</si>
  <si>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</si>
  <si>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</si>
  <si>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</si>
  <si>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</si>
  <si>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</si>
  <si>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</si>
  <si>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</si>
  <si>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</si>
  <si>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</si>
  <si>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</si>
  <si>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</si>
  <si>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</si>
  <si>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</si>
  <si>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</si>
  <si>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</si>
  <si>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</si>
  <si>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</si>
  <si>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</si>
  <si>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</si>
  <si>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</si>
  <si>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</si>
  <si>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</si>
  <si>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</si>
  <si>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</si>
  <si>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</si>
  <si>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</si>
  <si>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</si>
  <si>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</si>
  <si>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</si>
  <si>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</si>
  <si>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</si>
  <si>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</si>
  <si>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</si>
  <si>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</si>
  <si>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</si>
  <si>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</si>
  <si>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</si>
  <si>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</si>
  <si>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</si>
  <si>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</si>
  <si>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</si>
  <si>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</si>
  <si>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</si>
  <si>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</si>
  <si>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</si>
  <si>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</si>
  <si>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</si>
  <si>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</si>
  <si>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</si>
  <si>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</si>
  <si>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</si>
  <si>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</si>
  <si>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</si>
  <si>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</si>
  <si>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</si>
  <si>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</si>
  <si>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</si>
  <si>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</si>
  <si>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</si>
  <si>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</si>
  <si>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</si>
  <si>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</si>
  <si>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</si>
  <si>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</si>
  <si>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</si>
  <si>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</si>
  <si>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</si>
  <si>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</si>
  <si>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</si>
  <si>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</si>
  <si>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</si>
  <si>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</si>
  <si>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</si>
  <si>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</si>
  <si>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</si>
  <si>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</si>
  <si>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</si>
  <si>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</si>
  <si>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</si>
  <si>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</si>
  <si>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</si>
  <si>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</si>
  <si>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</si>
  <si>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</si>
  <si>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</si>
  <si>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</si>
  <si>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</si>
  <si>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</si>
  <si>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</si>
  <si>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</si>
  <si>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</si>
  <si>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</si>
  <si>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</si>
  <si>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</si>
  <si>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</si>
  <si>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</si>
  <si>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</si>
  <si>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</si>
  <si>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</si>
  <si>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</si>
  <si>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</si>
  <si>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</si>
  <si>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</si>
  <si>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</si>
  <si>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</si>
  <si>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</si>
  <si>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</si>
  <si>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</si>
  <si>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</si>
  <si>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</si>
  <si>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</si>
  <si>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</si>
  <si>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</si>
  <si>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</si>
  <si>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</si>
  <si>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</si>
  <si>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</si>
  <si>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</si>
  <si>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</si>
  <si>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</si>
  <si>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</si>
  <si>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</si>
  <si>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</si>
  <si>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</si>
  <si>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</si>
  <si>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</si>
  <si>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</si>
  <si>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</si>
  <si>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</si>
  <si>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</si>
  <si>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</si>
  <si>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</si>
  <si>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</si>
  <si>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</si>
  <si>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</si>
  <si>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</si>
  <si>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</si>
  <si>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</si>
  <si>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</si>
  <si>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</si>
  <si>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</si>
  <si>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</si>
  <si>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</si>
  <si>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</si>
  <si>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</si>
  <si>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</si>
  <si>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</si>
  <si>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</si>
  <si>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</si>
  <si>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</si>
  <si>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</si>
  <si>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</si>
  <si>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</si>
  <si>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</si>
  <si>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</si>
  <si>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</si>
  <si>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</si>
  <si>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</si>
  <si>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</si>
  <si>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</si>
  <si>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</si>
  <si>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</si>
  <si>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</si>
  <si>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</si>
  <si>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</si>
  <si>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</si>
  <si>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</si>
  <si>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</si>
  <si>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</si>
  <si>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</si>
  <si>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</si>
  <si>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</si>
  <si>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</si>
  <si>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</si>
  <si>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</si>
  <si>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</si>
  <si>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</si>
  <si>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</si>
  <si>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</si>
  <si>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</si>
  <si>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</si>
  <si>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</si>
  <si>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</si>
  <si>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</si>
  <si>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</si>
  <si>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</si>
  <si>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</si>
  <si>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</si>
  <si>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</si>
  <si>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</si>
  <si>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</si>
  <si>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</si>
  <si>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</si>
  <si>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</si>
  <si>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</si>
  <si>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</si>
  <si>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</si>
  <si>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</si>
  <si>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HOOSIER TOWNSHIP</t>
  </si>
  <si>
    <t>Cemetery</t>
  </si>
  <si>
    <t>Fire Contract - Kingman Cy</t>
  </si>
  <si>
    <t>Bldg Rental</t>
  </si>
  <si>
    <t>August 12, 2011</t>
  </si>
  <si>
    <t>8:00 A.M.</t>
  </si>
  <si>
    <t>Brown's Spur Coop</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</si>
</sst>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HOOSIER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B22" sqref="B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HOOSIER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2024</v>
      </c>
      <c r="D6" s="418">
        <f>C51</f>
        <v>863</v>
      </c>
      <c r="E6" s="32">
        <f>D51</f>
        <v>378</v>
      </c>
    </row>
    <row r="7" spans="2:5" ht="15.75">
      <c r="B7" s="27" t="s">
        <v>124</v>
      </c>
      <c r="C7" s="418"/>
      <c r="D7" s="418"/>
      <c r="E7" s="33"/>
    </row>
    <row r="8" spans="2:5" ht="15.75">
      <c r="B8" s="27" t="s">
        <v>16</v>
      </c>
      <c r="C8" s="29">
        <v>10560</v>
      </c>
      <c r="D8" s="418">
        <f>inputPrYr!E16</f>
        <v>11890</v>
      </c>
      <c r="E8" s="33" t="s">
        <v>302</v>
      </c>
    </row>
    <row r="9" spans="2:5" ht="15.75">
      <c r="B9" s="27" t="s">
        <v>17</v>
      </c>
      <c r="C9" s="29">
        <v>15</v>
      </c>
      <c r="D9" s="29"/>
      <c r="E9" s="34"/>
    </row>
    <row r="10" spans="2:5" ht="15.75">
      <c r="B10" s="27" t="s">
        <v>18</v>
      </c>
      <c r="C10" s="29">
        <v>1209</v>
      </c>
      <c r="D10" s="29">
        <v>765</v>
      </c>
      <c r="E10" s="32">
        <f>mvalloc!G11</f>
        <v>894</v>
      </c>
    </row>
    <row r="11" spans="2:5" ht="15.75">
      <c r="B11" s="27" t="s">
        <v>19</v>
      </c>
      <c r="C11" s="29">
        <v>10</v>
      </c>
      <c r="D11" s="29">
        <v>8</v>
      </c>
      <c r="E11" s="32">
        <f>mvalloc!I11</f>
        <v>7</v>
      </c>
    </row>
    <row r="12" spans="2:5" ht="15.75">
      <c r="B12" s="35" t="s">
        <v>72</v>
      </c>
      <c r="C12" s="29">
        <v>288</v>
      </c>
      <c r="D12" s="29">
        <v>46</v>
      </c>
      <c r="E12" s="32">
        <f>mvalloc!J11</f>
        <v>40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12082</v>
      </c>
      <c r="D26" s="420">
        <f>SUM(D8:D24)</f>
        <v>12709</v>
      </c>
      <c r="E26" s="42">
        <f>SUM(E8:E24)</f>
        <v>941</v>
      </c>
    </row>
    <row r="27" spans="2:5" ht="15.75">
      <c r="B27" s="43" t="s">
        <v>24</v>
      </c>
      <c r="C27" s="420">
        <f>C26+C6</f>
        <v>14106</v>
      </c>
      <c r="D27" s="420">
        <f>D26+D6</f>
        <v>13572</v>
      </c>
      <c r="E27" s="42">
        <f>E26+E6</f>
        <v>1319</v>
      </c>
    </row>
    <row r="28" spans="2:5" ht="15.75">
      <c r="B28" s="27" t="s">
        <v>25</v>
      </c>
      <c r="C28" s="418"/>
      <c r="D28" s="418"/>
      <c r="E28" s="32"/>
    </row>
    <row r="29" spans="2:5" ht="15.75">
      <c r="B29" s="37"/>
      <c r="C29" s="29"/>
      <c r="D29" s="29"/>
      <c r="E29" s="34"/>
    </row>
    <row r="30" spans="2:5" ht="15.75">
      <c r="B30" s="38" t="s">
        <v>105</v>
      </c>
      <c r="C30" s="29">
        <v>2040</v>
      </c>
      <c r="D30" s="29">
        <v>600</v>
      </c>
      <c r="E30" s="34">
        <v>600</v>
      </c>
    </row>
    <row r="31" spans="2:5" ht="15.75">
      <c r="B31" s="38" t="s">
        <v>129</v>
      </c>
      <c r="C31" s="29">
        <v>2500</v>
      </c>
      <c r="D31" s="29">
        <v>2800</v>
      </c>
      <c r="E31" s="34">
        <v>2788</v>
      </c>
    </row>
    <row r="32" spans="2:5" ht="15.75">
      <c r="B32" s="38" t="s">
        <v>106</v>
      </c>
      <c r="C32" s="29">
        <v>917</v>
      </c>
      <c r="D32" s="29">
        <v>1294</v>
      </c>
      <c r="E32" s="34">
        <v>1294</v>
      </c>
    </row>
    <row r="33" spans="2:5" ht="15.75">
      <c r="B33" s="38" t="s">
        <v>36</v>
      </c>
      <c r="C33" s="29">
        <v>762</v>
      </c>
      <c r="D33" s="29">
        <v>5441</v>
      </c>
      <c r="E33" s="34">
        <v>5441</v>
      </c>
    </row>
    <row r="34" spans="2:5" ht="15.75">
      <c r="B34" s="37" t="s">
        <v>107</v>
      </c>
      <c r="C34" s="29"/>
      <c r="D34" s="29"/>
      <c r="E34" s="34"/>
    </row>
    <row r="35" spans="2:5" ht="15.75">
      <c r="B35" s="37" t="s">
        <v>130</v>
      </c>
      <c r="C35" s="29"/>
      <c r="D35" s="29"/>
      <c r="E35" s="34"/>
    </row>
    <row r="36" spans="2:5" ht="15.75">
      <c r="B36" s="38" t="s">
        <v>132</v>
      </c>
      <c r="C36" s="29">
        <v>4321</v>
      </c>
      <c r="D36" s="29"/>
      <c r="E36" s="34"/>
    </row>
    <row r="37" spans="2:5" ht="15.75">
      <c r="B37" s="38" t="s">
        <v>815</v>
      </c>
      <c r="C37" s="29">
        <v>69</v>
      </c>
      <c r="D37" s="29">
        <v>93</v>
      </c>
      <c r="E37" s="34">
        <v>93</v>
      </c>
    </row>
    <row r="38" spans="2:5" ht="15.75">
      <c r="B38" s="37" t="s">
        <v>820</v>
      </c>
      <c r="C38" s="29"/>
      <c r="D38" s="29">
        <v>2750</v>
      </c>
      <c r="E38" s="34">
        <v>2750</v>
      </c>
    </row>
    <row r="39" spans="2:5" ht="15.75">
      <c r="B39" s="38" t="s">
        <v>817</v>
      </c>
      <c r="C39" s="29">
        <v>2634</v>
      </c>
      <c r="D39" s="29"/>
      <c r="E39" s="34" t="s">
        <v>290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v>216</v>
      </c>
      <c r="E47" s="46">
        <f>nhood!E6</f>
        <v>228</v>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13243</v>
      </c>
      <c r="D50" s="412">
        <f>SUM(D29:D48)</f>
        <v>13194</v>
      </c>
      <c r="E50" s="47">
        <f>SUM(E29:E43,E45,E47:E48)</f>
        <v>13194</v>
      </c>
      <c r="G50" s="534"/>
      <c r="H50" s="535"/>
      <c r="I50" s="535"/>
      <c r="J50" s="536"/>
    </row>
    <row r="51" spans="2:10" ht="15.75">
      <c r="B51" s="27" t="s">
        <v>123</v>
      </c>
      <c r="C51" s="413">
        <f>C27-C50</f>
        <v>863</v>
      </c>
      <c r="D51" s="413">
        <f>SUM(D27-D50)</f>
        <v>378</v>
      </c>
      <c r="E51" s="33" t="s">
        <v>302</v>
      </c>
      <c r="G51" s="537">
        <f>D51</f>
        <v>378</v>
      </c>
      <c r="H51" s="538" t="str">
        <f>CONCATENATE("",E1-1," Ending Cash Balance (est.)")</f>
        <v>2011 Ending Cash Balance (est.)</v>
      </c>
      <c r="I51" s="539"/>
      <c r="J51" s="536"/>
    </row>
    <row r="52" spans="2:10" ht="15.75">
      <c r="B52" s="48" t="str">
        <f>CONCATENATE("",E1-2,"/",E1-1," Budget Authority Amount:")</f>
        <v>2010/2011 Budget Authority Amount:</v>
      </c>
      <c r="C52" s="143">
        <v>13243</v>
      </c>
      <c r="D52" s="172">
        <f>inputPrYr!D16</f>
        <v>13194</v>
      </c>
      <c r="E52" s="33" t="s">
        <v>302</v>
      </c>
      <c r="F52" s="50"/>
      <c r="G52" s="537">
        <f>E26</f>
        <v>941</v>
      </c>
      <c r="H52" s="540" t="str">
        <f>CONCATENATE("",E1," Non-AV Receipts (est.)")</f>
        <v>2012 Non-AV Receipts (est.)</v>
      </c>
      <c r="I52" s="540"/>
      <c r="J52" s="536"/>
    </row>
    <row r="53" spans="2:10" ht="15.75">
      <c r="B53" s="48"/>
      <c r="C53" s="652" t="s">
        <v>646</v>
      </c>
      <c r="D53" s="653"/>
      <c r="E53" s="34"/>
      <c r="F53" s="533">
        <f>IF(E50/0.95-E50&lt;E53,"Exceeds 5%","")</f>
      </c>
      <c r="G53" s="541">
        <f>E57</f>
        <v>11875</v>
      </c>
      <c r="H53" s="540" t="str">
        <f>CONCATENATE("",E1," Ad Valorem Tax (est.)")</f>
        <v>2012 Ad Valorem Tax (est.)</v>
      </c>
      <c r="I53" s="540"/>
      <c r="J53" s="536"/>
    </row>
    <row r="54" spans="2:10" ht="15.75">
      <c r="B54" s="436" t="str">
        <f>CONCATENATE(C72,"     ",D72)</f>
        <v>     </v>
      </c>
      <c r="C54" s="654">
        <v>4</v>
      </c>
      <c r="D54" s="655"/>
      <c r="E54" s="32">
        <f>E50+E53</f>
        <v>13194</v>
      </c>
      <c r="G54" s="537">
        <f>SUM(G51:G53)</f>
        <v>13194</v>
      </c>
      <c r="H54" s="540" t="str">
        <f>CONCATENATE("Total ",E1," Resources Available")</f>
        <v>Total 2012 Resources Available</v>
      </c>
      <c r="I54" s="539"/>
      <c r="J54" s="536"/>
    </row>
    <row r="55" spans="2:10" ht="15.75">
      <c r="B55" s="436" t="str">
        <f>CONCATENATE(C73,"     ",D73)</f>
        <v>     </v>
      </c>
      <c r="C55" s="60"/>
      <c r="D55" s="52" t="s">
        <v>28</v>
      </c>
      <c r="E55" s="46">
        <f>IF(E54-E27&gt;0,E54-E27,0)</f>
        <v>11875</v>
      </c>
      <c r="G55" s="542"/>
      <c r="H55" s="540"/>
      <c r="I55" s="540"/>
      <c r="J55" s="536"/>
    </row>
    <row r="56" spans="2:10" ht="15.75">
      <c r="B56" s="52"/>
      <c r="C56" s="440" t="s">
        <v>648</v>
      </c>
      <c r="D56" s="432">
        <f>inputOth!$E$40</f>
        <v>0</v>
      </c>
      <c r="E56" s="32">
        <f>ROUND(IF(D56&gt;0,(E55*D56),0),0)</f>
        <v>0</v>
      </c>
      <c r="G56" s="541">
        <f>C50*0.05+C50</f>
        <v>13905.15</v>
      </c>
      <c r="H56" s="540" t="str">
        <f>CONCATENATE("Less ",E1-2," Expenditures + 5%")</f>
        <v>Less 2010 Expenditures + 5%</v>
      </c>
      <c r="I56" s="539"/>
      <c r="J56" s="536"/>
    </row>
    <row r="57" spans="2:10" ht="15.75">
      <c r="B57" s="14"/>
      <c r="C57" s="650" t="str">
        <f>CONCATENATE("Amount of  ",$E$1-1," Ad Valorem Tax")</f>
        <v>Amount of  2011 Ad Valorem Tax</v>
      </c>
      <c r="D57" s="651"/>
      <c r="E57" s="46">
        <f>E55+E56</f>
        <v>11875</v>
      </c>
      <c r="G57" s="543">
        <f>G54-G56</f>
        <v>-711.1499999999996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5.291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HOOSIER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9">
      <selection activeCell="B22" sqref="B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HOOSIER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101</v>
      </c>
      <c r="D6" s="418">
        <f>C44</f>
        <v>0</v>
      </c>
      <c r="E6" s="32">
        <f>D44</f>
        <v>0</v>
      </c>
    </row>
    <row r="7" spans="2:5" ht="15.75">
      <c r="B7" s="27" t="s">
        <v>124</v>
      </c>
      <c r="C7" s="418"/>
      <c r="D7" s="418"/>
      <c r="E7" s="33"/>
    </row>
    <row r="8" spans="2:5" ht="15.75">
      <c r="B8" s="27" t="s">
        <v>16</v>
      </c>
      <c r="C8" s="29">
        <v>48532</v>
      </c>
      <c r="D8" s="418">
        <f>inputPrYr!E18</f>
        <v>49933</v>
      </c>
      <c r="E8" s="33" t="s">
        <v>302</v>
      </c>
    </row>
    <row r="9" spans="2:5" ht="15.75">
      <c r="B9" s="27" t="s">
        <v>17</v>
      </c>
      <c r="C9" s="29">
        <v>70</v>
      </c>
      <c r="D9" s="29"/>
      <c r="E9" s="34"/>
    </row>
    <row r="10" spans="2:5" ht="15.75">
      <c r="B10" s="27" t="s">
        <v>18</v>
      </c>
      <c r="C10" s="29">
        <v>4834</v>
      </c>
      <c r="D10" s="29">
        <v>3509</v>
      </c>
      <c r="E10" s="32">
        <f>mvalloc!G13</f>
        <v>3757</v>
      </c>
    </row>
    <row r="11" spans="2:5" ht="15.75">
      <c r="B11" s="27" t="s">
        <v>19</v>
      </c>
      <c r="C11" s="29">
        <v>40</v>
      </c>
      <c r="D11" s="29">
        <v>38</v>
      </c>
      <c r="E11" s="32">
        <f>mvalloc!I13</f>
        <v>30</v>
      </c>
    </row>
    <row r="12" spans="2:5" ht="15.75">
      <c r="B12" s="27" t="s">
        <v>103</v>
      </c>
      <c r="C12" s="29">
        <v>911</v>
      </c>
      <c r="D12" s="29">
        <v>145</v>
      </c>
      <c r="E12" s="32">
        <f>mvalloc!J13</f>
        <v>169</v>
      </c>
    </row>
    <row r="13" spans="2:5" ht="15.75">
      <c r="B13" s="27" t="s">
        <v>167</v>
      </c>
      <c r="C13" s="29"/>
      <c r="D13" s="29">
        <v>0</v>
      </c>
      <c r="E13" s="32">
        <f>mvalloc!K13</f>
        <v>0</v>
      </c>
    </row>
    <row r="14" spans="2:5" ht="15.75">
      <c r="B14" s="27" t="s">
        <v>104</v>
      </c>
      <c r="C14" s="29">
        <v>1817</v>
      </c>
      <c r="D14" s="29">
        <v>1651</v>
      </c>
      <c r="E14" s="32">
        <f>inputOth!E36</f>
        <v>1650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56204</v>
      </c>
      <c r="D23" s="420">
        <f>SUM(D8:D21)</f>
        <v>55276</v>
      </c>
      <c r="E23" s="42">
        <f>SUM(E8:E21)</f>
        <v>5606</v>
      </c>
    </row>
    <row r="24" spans="2:5" ht="15.75">
      <c r="B24" s="43" t="s">
        <v>24</v>
      </c>
      <c r="C24" s="420">
        <f>C23+C6</f>
        <v>56305</v>
      </c>
      <c r="D24" s="420">
        <f>D23+D6</f>
        <v>55276</v>
      </c>
      <c r="E24" s="42">
        <f>E23+E6</f>
        <v>5606</v>
      </c>
    </row>
    <row r="25" spans="2:5" ht="15.75">
      <c r="B25" s="27" t="s">
        <v>25</v>
      </c>
      <c r="C25" s="418"/>
      <c r="D25" s="418"/>
      <c r="E25" s="32"/>
    </row>
    <row r="26" spans="2:5" ht="15.75">
      <c r="B26" s="38" t="s">
        <v>105</v>
      </c>
      <c r="C26" s="29"/>
      <c r="D26" s="29">
        <v>1440</v>
      </c>
      <c r="E26" s="34">
        <v>1440</v>
      </c>
    </row>
    <row r="27" spans="2:5" ht="15.75">
      <c r="B27" s="38" t="s">
        <v>129</v>
      </c>
      <c r="C27" s="29">
        <f>4488+2473</f>
        <v>6961</v>
      </c>
      <c r="D27" s="29">
        <v>13111</v>
      </c>
      <c r="E27" s="34">
        <v>13111</v>
      </c>
    </row>
    <row r="28" spans="2:5" ht="15.75">
      <c r="B28" s="37" t="s">
        <v>106</v>
      </c>
      <c r="C28" s="29">
        <f>392+191</f>
        <v>583</v>
      </c>
      <c r="D28" s="29">
        <v>2450</v>
      </c>
      <c r="E28" s="34">
        <v>2450</v>
      </c>
    </row>
    <row r="29" spans="2:5" ht="15.75">
      <c r="B29" s="38" t="s">
        <v>131</v>
      </c>
      <c r="C29" s="29">
        <v>9580</v>
      </c>
      <c r="D29" s="29">
        <v>5011</v>
      </c>
      <c r="E29" s="34">
        <v>5578</v>
      </c>
    </row>
    <row r="30" spans="2:5" ht="15.75">
      <c r="B30" s="38" t="s">
        <v>109</v>
      </c>
      <c r="C30" s="29">
        <v>14037</v>
      </c>
      <c r="D30" s="29">
        <v>12032</v>
      </c>
      <c r="E30" s="34">
        <v>12032</v>
      </c>
    </row>
    <row r="31" spans="2:5" ht="15.75">
      <c r="B31" s="38" t="s">
        <v>107</v>
      </c>
      <c r="C31" s="29">
        <f>11691+437</f>
        <v>12128</v>
      </c>
      <c r="D31" s="29">
        <v>12824</v>
      </c>
      <c r="E31" s="34">
        <v>12824</v>
      </c>
    </row>
    <row r="32" spans="2:5" ht="15.75">
      <c r="B32" s="38" t="s">
        <v>132</v>
      </c>
      <c r="C32" s="29"/>
      <c r="D32" s="29"/>
      <c r="E32" s="34"/>
    </row>
    <row r="33" spans="2:5" ht="15.75">
      <c r="B33" s="38" t="s">
        <v>816</v>
      </c>
      <c r="C33" s="29"/>
      <c r="D33" s="29"/>
      <c r="E33" s="34"/>
    </row>
    <row r="34" spans="2:5" ht="15.75">
      <c r="B34" s="37" t="s">
        <v>817</v>
      </c>
      <c r="C34" s="29"/>
      <c r="D34" s="29"/>
      <c r="E34" s="34"/>
    </row>
    <row r="35" spans="2:5" ht="15.75">
      <c r="B35" s="37" t="s">
        <v>821</v>
      </c>
      <c r="C35" s="29">
        <v>6100</v>
      </c>
      <c r="D35" s="29">
        <v>6301</v>
      </c>
      <c r="E35" s="34">
        <v>6301</v>
      </c>
    </row>
    <row r="36" spans="2:5" ht="15.75">
      <c r="B36" s="38" t="s">
        <v>822</v>
      </c>
      <c r="C36" s="29">
        <v>1200</v>
      </c>
      <c r="D36" s="29">
        <v>1200</v>
      </c>
      <c r="E36" s="34">
        <v>1200</v>
      </c>
    </row>
    <row r="37" spans="2:5" ht="15.75">
      <c r="B37" s="38"/>
      <c r="C37" s="29"/>
      <c r="D37" s="29"/>
      <c r="E37" s="34" t="s">
        <v>290</v>
      </c>
    </row>
    <row r="38" spans="2:5" ht="15.75">
      <c r="B38" s="27" t="s">
        <v>108</v>
      </c>
      <c r="C38" s="29">
        <v>5716</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907</v>
      </c>
      <c r="E40" s="46">
        <f>nhood!E8</f>
        <v>964</v>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5606</v>
      </c>
      <c r="H42" s="540" t="str">
        <f>CONCATENATE("",E1," Non-AV Receipts (est.)")</f>
        <v>2012 Non-AV Receipts (est.)</v>
      </c>
      <c r="I42" s="540"/>
      <c r="J42" s="536"/>
    </row>
    <row r="43" spans="2:10" ht="15.75">
      <c r="B43" s="43" t="s">
        <v>26</v>
      </c>
      <c r="C43" s="420">
        <f>SUM(C26:C38,C40:C41)</f>
        <v>56305</v>
      </c>
      <c r="D43" s="420">
        <f>SUM(D26:D38,D40:D41)</f>
        <v>55276</v>
      </c>
      <c r="E43" s="42">
        <f>SUM(E26:E38,E40:E41)</f>
        <v>55900</v>
      </c>
      <c r="G43" s="541">
        <f>E50</f>
        <v>50294</v>
      </c>
      <c r="H43" s="540" t="str">
        <f>CONCATENATE("",E1," Ad Valorem Tax (est.)")</f>
        <v>2012 Ad Valorem Tax (est.)</v>
      </c>
      <c r="I43" s="540"/>
      <c r="J43" s="536"/>
    </row>
    <row r="44" spans="2:10" ht="15.75">
      <c r="B44" s="27" t="s">
        <v>123</v>
      </c>
      <c r="C44" s="413">
        <f>C24-C43</f>
        <v>0</v>
      </c>
      <c r="D44" s="413">
        <f>D24-D43</f>
        <v>0</v>
      </c>
      <c r="E44" s="33" t="s">
        <v>302</v>
      </c>
      <c r="G44" s="537">
        <f>SUM(G41:G43)</f>
        <v>55900</v>
      </c>
      <c r="H44" s="540" t="str">
        <f>CONCATENATE("Total ",E1," Resources Available")</f>
        <v>Total 2012 Resources Available</v>
      </c>
      <c r="I44" s="539"/>
      <c r="J44" s="536"/>
    </row>
    <row r="45" spans="2:10" ht="15.75">
      <c r="B45" s="48" t="str">
        <f>CONCATENATE("",E1-2,"/",E1-1," Budget Authority Amount:")</f>
        <v>2010/2011 Budget Authority Amount:</v>
      </c>
      <c r="C45" s="143">
        <v>56305</v>
      </c>
      <c r="D45" s="172">
        <f>inputPrYr!D18</f>
        <v>55276</v>
      </c>
      <c r="E45" s="33" t="s">
        <v>302</v>
      </c>
      <c r="F45" s="50"/>
      <c r="G45" s="542"/>
      <c r="H45" s="540"/>
      <c r="I45" s="540"/>
      <c r="J45" s="536"/>
    </row>
    <row r="46" spans="2:10" ht="15.75">
      <c r="B46" s="48"/>
      <c r="C46" s="652" t="s">
        <v>646</v>
      </c>
      <c r="D46" s="653"/>
      <c r="E46" s="34"/>
      <c r="F46" s="533">
        <f>IF(E43/0.95-E43&lt;E46,"Exceeds 5%","")</f>
      </c>
      <c r="G46" s="541">
        <f>C43*0.05+C43</f>
        <v>59120.25</v>
      </c>
      <c r="H46" s="540" t="str">
        <f>CONCATENATE("Less ",E1-2," Expenditures + 5%")</f>
        <v>Less 2010 Expenditures + 5%</v>
      </c>
      <c r="I46" s="539"/>
      <c r="J46" s="536"/>
    </row>
    <row r="47" spans="2:10" ht="15.75">
      <c r="B47" s="436" t="str">
        <f>CONCATENATE(C74,"     ",D74)</f>
        <v>     </v>
      </c>
      <c r="C47" s="654" t="s">
        <v>647</v>
      </c>
      <c r="D47" s="655"/>
      <c r="E47" s="32">
        <f>E43+E46</f>
        <v>55900</v>
      </c>
      <c r="G47" s="543">
        <f>G44-G46</f>
        <v>-3220.25</v>
      </c>
      <c r="H47" s="544" t="str">
        <f>CONCATENATE("Projected ",E1+1," Carryover (est.)")</f>
        <v>Projected 2013 Carryover (est.)</v>
      </c>
      <c r="I47" s="545"/>
      <c r="J47" s="546"/>
    </row>
    <row r="48" spans="2:5" ht="15.75">
      <c r="B48" s="436" t="str">
        <f>CONCATENATE(C75,"     ",D75)</f>
        <v>     </v>
      </c>
      <c r="C48" s="60"/>
      <c r="D48" s="52" t="s">
        <v>28</v>
      </c>
      <c r="E48" s="46">
        <f>IF(E47-E24&gt;0,E47-E24,0)</f>
        <v>50294</v>
      </c>
    </row>
    <row r="49" spans="2:10" ht="15.75">
      <c r="B49" s="52"/>
      <c r="C49" s="440" t="s">
        <v>648</v>
      </c>
      <c r="D49" s="432">
        <f>inputOth!$E$40</f>
        <v>0</v>
      </c>
      <c r="E49" s="32">
        <f>ROUND(IF(D49&gt;0,(E48*D49),0),0)</f>
        <v>0</v>
      </c>
      <c r="G49" s="560">
        <f>IF(inputOth!E7=0,"",ROUND(E50/inputOth!E7*1000,3))</f>
        <v>22.41</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50294</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23587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5716</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29303</v>
      </c>
      <c r="D63" s="14"/>
      <c r="E63" s="14"/>
    </row>
    <row r="64" spans="2:5" ht="15.75">
      <c r="B64" s="88" t="s">
        <v>26</v>
      </c>
      <c r="C64" s="600"/>
      <c r="D64" s="14"/>
      <c r="E64" s="14"/>
    </row>
    <row r="65" spans="2:5" ht="15.75">
      <c r="B65" s="88" t="s">
        <v>27</v>
      </c>
      <c r="C65" s="438">
        <f>SUM(C63-C64)</f>
        <v>29303</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HOOSIER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HOOSIER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819</v>
      </c>
      <c r="E2" s="19"/>
    </row>
    <row r="3" spans="1:5" ht="15.75">
      <c r="A3" s="79" t="s">
        <v>237</v>
      </c>
      <c r="B3" s="14"/>
      <c r="C3" s="14"/>
      <c r="D3" s="409" t="s">
        <v>818</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13194</v>
      </c>
      <c r="E16" s="200">
        <v>11890</v>
      </c>
    </row>
    <row r="17" spans="1:5" ht="15.75">
      <c r="A17" s="14"/>
      <c r="B17" s="83" t="s">
        <v>312</v>
      </c>
      <c r="C17" s="172" t="s">
        <v>157</v>
      </c>
      <c r="D17" s="200"/>
      <c r="E17" s="200"/>
    </row>
    <row r="18" spans="1:5" ht="15.75">
      <c r="A18" s="14"/>
      <c r="B18" s="83" t="s">
        <v>287</v>
      </c>
      <c r="C18" s="192" t="s">
        <v>327</v>
      </c>
      <c r="D18" s="200">
        <v>55276</v>
      </c>
      <c r="E18" s="200">
        <v>49933</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61823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68470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5.005</v>
      </c>
      <c r="E41" s="14"/>
    </row>
    <row r="42" spans="1:5" ht="15.75">
      <c r="A42" s="14"/>
      <c r="B42" s="96" t="str">
        <f t="shared" si="0"/>
        <v>Debt Service</v>
      </c>
      <c r="C42" s="14"/>
      <c r="D42" s="348"/>
      <c r="E42" s="14"/>
    </row>
    <row r="43" spans="1:5" ht="15.75">
      <c r="A43" s="14"/>
      <c r="B43" s="96" t="str">
        <f t="shared" si="0"/>
        <v>Road</v>
      </c>
      <c r="C43" s="14"/>
      <c r="D43" s="348">
        <v>22.975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27.98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60440</v>
      </c>
    </row>
    <row r="53" spans="1:5" ht="15.75">
      <c r="A53" s="353" t="str">
        <f>CONCATENATE("Assessed Valuation (",D5-2," budget column)")</f>
        <v>Assessed Valuation (2010 budget column)</v>
      </c>
      <c r="B53" s="354"/>
      <c r="C53" s="291"/>
      <c r="D53" s="28"/>
      <c r="E53" s="200">
        <v>2164119</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22" sqref="B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HOOSIER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12, 2011 at 8:00 A.M. at Brown's Spur Coop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Brown's Spur Coop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13243</v>
      </c>
      <c r="D17" s="592">
        <f>IF(inputPrYr!D41&gt;0,inputPrYr!D41,"  ")</f>
        <v>5.005</v>
      </c>
      <c r="E17" s="32">
        <f>IF(gen!$D$50&lt;&gt;0,gen!$D$50,"  ")</f>
        <v>13194</v>
      </c>
      <c r="F17" s="253">
        <f>IF(inputOth!D17&gt;0,inputOth!D17,"  ")</f>
        <v>5.328</v>
      </c>
      <c r="G17" s="32">
        <f>IF(gen!$E$50&lt;&gt;0,gen!$E$50,"  ")</f>
        <v>13194</v>
      </c>
      <c r="H17" s="32">
        <f>IF(gen!$E$57&lt;&gt;0,gen!$E$57," ")</f>
        <v>11875</v>
      </c>
      <c r="I17" s="594">
        <f>IF(gen!E57&gt;0,ROUND(H17/$G$35*1000,3)," ")</f>
        <v>5.291</v>
      </c>
      <c r="J17" s="160"/>
    </row>
    <row r="18" spans="2:10" ht="15.75">
      <c r="B18" s="96" t="s">
        <v>290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56305</v>
      </c>
      <c r="D19" s="592">
        <f>IF(inputPrYr!D43&gt;0,inputPrYr!D43,"  ")</f>
        <v>22.975</v>
      </c>
      <c r="E19" s="32">
        <f>IF(road!$D$43&lt;&gt;0,road!$D$43,"  ")</f>
        <v>55276</v>
      </c>
      <c r="F19" s="253">
        <f>IF(inputOth!D19&gt;0,inputOth!D19,"  ")</f>
        <v>22.373</v>
      </c>
      <c r="G19" s="32">
        <f>IF(road!$E$43&lt;&gt;0,road!$E$43,"  ")</f>
        <v>55900</v>
      </c>
      <c r="H19" s="32">
        <f>IF(road!$E$50&lt;&gt;0,road!$E$50,"  ")</f>
        <v>50294</v>
      </c>
      <c r="I19" s="594">
        <f>IF(road!E50&gt;0,ROUND(H19/$G$35*1000,3)," ")</f>
        <v>22.41</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2244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27.701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69548</v>
      </c>
      <c r="D30" s="529">
        <f t="shared" si="0"/>
        <v>27.98</v>
      </c>
      <c r="E30" s="595">
        <f t="shared" si="0"/>
        <v>68470</v>
      </c>
      <c r="F30" s="529">
        <f t="shared" si="0"/>
        <v>27.701</v>
      </c>
      <c r="G30" s="595">
        <f t="shared" si="0"/>
        <v>69094</v>
      </c>
      <c r="H30" s="595">
        <f t="shared" si="0"/>
        <v>62169</v>
      </c>
      <c r="I30" s="598">
        <f t="shared" si="0"/>
        <v>27.701</v>
      </c>
      <c r="K30" s="669" t="str">
        <f>CONCATENATE("Impact On Keeping The Same Mill Rate As For ",I1-1,"")</f>
        <v>Impact On Keeping The Same Mill Rate As For 2011</v>
      </c>
      <c r="L30" s="670"/>
      <c r="M30" s="670"/>
      <c r="N30" s="671"/>
    </row>
    <row r="31" spans="2:14" ht="15.75">
      <c r="B31" s="83" t="s">
        <v>44</v>
      </c>
      <c r="C31" s="32">
        <f>transfer!C29</f>
        <v>5716</v>
      </c>
      <c r="D31" s="14"/>
      <c r="E31" s="32">
        <f>transfer!D29</f>
        <v>0</v>
      </c>
      <c r="F31" s="62"/>
      <c r="G31" s="32">
        <f>transfer!E29</f>
        <v>0</v>
      </c>
      <c r="H31" s="14"/>
      <c r="I31" s="14"/>
      <c r="K31" s="575"/>
      <c r="L31" s="569"/>
      <c r="M31" s="569"/>
      <c r="N31" s="576"/>
    </row>
    <row r="32" spans="2:14" ht="16.5" thickBot="1">
      <c r="B32" s="83" t="s">
        <v>45</v>
      </c>
      <c r="C32" s="596">
        <f>C30-C31</f>
        <v>63832</v>
      </c>
      <c r="D32" s="14"/>
      <c r="E32" s="596">
        <f>E30-E31</f>
        <v>68470</v>
      </c>
      <c r="F32" s="14"/>
      <c r="G32" s="596">
        <f>G30-G31</f>
        <v>69094</v>
      </c>
      <c r="H32" s="14"/>
      <c r="I32" s="14"/>
      <c r="K32" s="575" t="str">
        <f>CONCATENATE("",I1," Ad Valorem Tax Revenue:")</f>
        <v>2012 Ad Valorem Tax Revenue:</v>
      </c>
      <c r="L32" s="569"/>
      <c r="M32" s="569"/>
      <c r="N32" s="570">
        <f>H30</f>
        <v>62169</v>
      </c>
    </row>
    <row r="33" spans="2:14" ht="16.5" thickTop="1">
      <c r="B33" s="83" t="s">
        <v>46</v>
      </c>
      <c r="C33" s="597">
        <f>inputPrYr!E52</f>
        <v>60440</v>
      </c>
      <c r="D33" s="62"/>
      <c r="E33" s="597">
        <f>inputPrYr!E25</f>
        <v>61823</v>
      </c>
      <c r="F33" s="14"/>
      <c r="G33" s="588" t="s">
        <v>302</v>
      </c>
      <c r="H33" s="14"/>
      <c r="I33" s="14"/>
      <c r="K33" s="575" t="str">
        <f>CONCATENATE("",I1-1," Ad Valorem Tax Revenue:")</f>
        <v>2011 Ad Valorem Tax Revenue:</v>
      </c>
      <c r="L33" s="569"/>
      <c r="M33" s="569"/>
      <c r="N33" s="583">
        <f>ROUND(G35*N25/1000,0)</f>
        <v>62169</v>
      </c>
    </row>
    <row r="34" spans="2:14" ht="15.75">
      <c r="B34" s="279" t="s">
        <v>47</v>
      </c>
      <c r="C34" s="55"/>
      <c r="D34" s="62"/>
      <c r="E34" s="55"/>
      <c r="F34" s="62"/>
      <c r="G34" s="14"/>
      <c r="H34" s="14"/>
      <c r="I34" s="14"/>
      <c r="K34" s="580" t="s">
        <v>747</v>
      </c>
      <c r="L34" s="581"/>
      <c r="M34" s="581"/>
      <c r="N34" s="573">
        <f>N32-N33</f>
        <v>0</v>
      </c>
    </row>
    <row r="35" spans="2:14" ht="15.75">
      <c r="B35" s="606" t="s">
        <v>48</v>
      </c>
      <c r="C35" s="31">
        <f>inputPrYr!E53</f>
        <v>2164119</v>
      </c>
      <c r="D35" s="14"/>
      <c r="E35" s="32">
        <f>inputOth!E28</f>
        <v>2231858</v>
      </c>
      <c r="F35" s="14"/>
      <c r="G35" s="32">
        <f>inputOth!E7</f>
        <v>2244280</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27.701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B22" sqref="B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HOOSIER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11875</v>
      </c>
      <c r="D6" s="142">
        <f aca="true" t="shared" si="0" ref="D6:D14">IF(C6&gt;0,C6/$D$20,"")</f>
        <v>5.291229258381307</v>
      </c>
      <c r="E6" s="143">
        <f aca="true" t="shared" si="1" ref="E6:E14">IF(C6&gt;0,ROUND(D6*$D$24,0),"")</f>
        <v>228</v>
      </c>
      <c r="F6" s="140"/>
    </row>
    <row r="7" spans="1:6" ht="15.75">
      <c r="A7" s="14"/>
      <c r="B7" s="83" t="str">
        <f>inputPrYr!B17</f>
        <v>Debt Service</v>
      </c>
      <c r="C7" s="141"/>
      <c r="D7" s="142">
        <f t="shared" si="0"/>
      </c>
      <c r="E7" s="143">
        <f t="shared" si="1"/>
      </c>
      <c r="F7" s="140"/>
    </row>
    <row r="8" spans="1:6" ht="15.75">
      <c r="A8" s="14"/>
      <c r="B8" s="83" t="str">
        <f>inputPrYr!B18</f>
        <v>Road</v>
      </c>
      <c r="C8" s="141">
        <v>50294</v>
      </c>
      <c r="D8" s="142">
        <f t="shared" si="0"/>
        <v>22.409859732297218</v>
      </c>
      <c r="E8" s="143">
        <f t="shared" si="1"/>
        <v>964</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62169</v>
      </c>
      <c r="D15" s="146">
        <f>SUM(D6:D14)</f>
        <v>27.701088990678524</v>
      </c>
      <c r="E15" s="145">
        <f>SUM(E6:E14)</f>
        <v>1192</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2244280</v>
      </c>
      <c r="E18" s="14"/>
      <c r="F18" s="140"/>
    </row>
    <row r="19" spans="1:6" ht="15.75">
      <c r="A19" s="14"/>
      <c r="B19" s="14"/>
      <c r="C19" s="14"/>
      <c r="D19" s="14"/>
      <c r="E19" s="14"/>
      <c r="F19" s="140"/>
    </row>
    <row r="20" spans="1:6" ht="15.75">
      <c r="A20" s="14"/>
      <c r="B20" s="682" t="s">
        <v>379</v>
      </c>
      <c r="C20" s="682"/>
      <c r="D20" s="148">
        <f>IF(D18&gt;0,(D18*0.001),"")</f>
        <v>2244.28</v>
      </c>
      <c r="E20" s="14"/>
      <c r="F20" s="140"/>
    </row>
    <row r="21" spans="1:6" ht="15.75">
      <c r="A21" s="14"/>
      <c r="B21" s="48"/>
      <c r="C21" s="48"/>
      <c r="D21" s="149"/>
      <c r="E21" s="14"/>
      <c r="F21" s="140"/>
    </row>
    <row r="22" spans="1:6" ht="15.75">
      <c r="A22" s="680" t="s">
        <v>381</v>
      </c>
      <c r="B22" s="625"/>
      <c r="C22" s="625"/>
      <c r="D22" s="150">
        <f>inputOth!E13</f>
        <v>43028</v>
      </c>
      <c r="E22" s="151"/>
      <c r="F22" s="151"/>
    </row>
    <row r="23" spans="1:6" ht="15.75">
      <c r="A23" s="151"/>
      <c r="B23" s="151"/>
      <c r="C23" s="151"/>
      <c r="D23" s="152"/>
      <c r="E23" s="151"/>
      <c r="F23" s="151"/>
    </row>
    <row r="24" spans="1:6" ht="15.75">
      <c r="A24" s="151"/>
      <c r="B24" s="680" t="s">
        <v>382</v>
      </c>
      <c r="C24" s="681"/>
      <c r="D24" s="153">
        <f>IF(D22&gt;0,(D22*0.001),"")</f>
        <v>43.028</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HOOSIER TOWNSHIP </v>
      </c>
      <c r="I6">
        <f>CONCATENATE(I7)</f>
      </c>
    </row>
    <row r="7" spans="1:7" ht="15.75">
      <c r="A7" s="692" t="str">
        <f>CONCATENATE("   with respect to financing the ",inputPrYr!D5," annual budget for ",(inputPrYr!D2)," , ",(inputPrYr!D3)," , Kansas.")</f>
        <v>   with respect to financing the 2012 annual budget for HOOSIER TOWNSHIP , KINGMAN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HOOSIER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HOOSIER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HOOSIER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HOOSIER TOWNSHIP of KINGMAN COUNTY, Kansas that is our desire to notify the public of increased property taxes to finance the 2012 HOOSIER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HOOSIER TOWNSHIP Board, KINGMAN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HOOSIER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HOOSIER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2244280</v>
      </c>
    </row>
    <row r="8" spans="1:5" ht="15.75">
      <c r="A8" s="22" t="str">
        <f>CONCATENATE("New Improvements for ",E1-1,"")</f>
        <v>New Improvements for 2011</v>
      </c>
      <c r="B8" s="19"/>
      <c r="C8" s="19"/>
      <c r="D8" s="19"/>
      <c r="E8" s="309">
        <v>10113</v>
      </c>
    </row>
    <row r="9" spans="1:5" ht="15.75">
      <c r="A9" s="22" t="str">
        <f>CONCATENATE("Personal Property excluding oil, gas, and mobile homes - ",E1-1,"")</f>
        <v>Personal Property excluding oil, gas, and mobile homes - 2011</v>
      </c>
      <c r="B9" s="19"/>
      <c r="C9" s="19"/>
      <c r="D9" s="19"/>
      <c r="E9" s="309">
        <v>115312</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102009</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43028</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5.328</v>
      </c>
      <c r="E17" s="312"/>
    </row>
    <row r="18" spans="1:5" ht="15.75">
      <c r="A18" s="82" t="str">
        <f>inputPrYr!B17</f>
        <v>Debt Service</v>
      </c>
      <c r="B18" s="291"/>
      <c r="C18" s="19"/>
      <c r="D18" s="315"/>
      <c r="E18" s="312"/>
    </row>
    <row r="19" spans="1:5" ht="15.75">
      <c r="A19" s="82" t="str">
        <f>inputPrYr!B18</f>
        <v>Road</v>
      </c>
      <c r="B19" s="291"/>
      <c r="C19" s="19"/>
      <c r="D19" s="315">
        <v>22.373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27.701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2231858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4651</v>
      </c>
    </row>
    <row r="32" spans="1:5" ht="15.75">
      <c r="A32" s="322" t="s">
        <v>289</v>
      </c>
      <c r="B32" s="291"/>
      <c r="C32" s="291"/>
      <c r="D32" s="31"/>
      <c r="E32" s="34">
        <v>37</v>
      </c>
    </row>
    <row r="33" spans="1:5" ht="15.75">
      <c r="A33" s="322" t="s">
        <v>165</v>
      </c>
      <c r="B33" s="291"/>
      <c r="C33" s="291"/>
      <c r="D33" s="31"/>
      <c r="E33" s="34">
        <v>209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1650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3" sqref="C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823</v>
      </c>
      <c r="C5" s="387"/>
      <c r="D5" s="384" t="s">
        <v>802</v>
      </c>
      <c r="E5" s="383"/>
      <c r="F5" s="383"/>
    </row>
    <row r="6" spans="1:6" ht="15.75">
      <c r="A6" s="384"/>
      <c r="B6" s="388"/>
      <c r="C6" s="389"/>
      <c r="D6" s="384" t="s">
        <v>801</v>
      </c>
      <c r="E6" s="383"/>
      <c r="F6" s="383"/>
    </row>
    <row r="7" spans="1:6" ht="15.75">
      <c r="A7" s="384" t="s">
        <v>387</v>
      </c>
      <c r="B7" s="386" t="s">
        <v>824</v>
      </c>
      <c r="C7" s="390"/>
      <c r="D7" s="384"/>
      <c r="E7" s="383"/>
      <c r="F7" s="383"/>
    </row>
    <row r="8" spans="1:6" ht="15.75">
      <c r="A8" s="384"/>
      <c r="B8" s="384"/>
      <c r="C8" s="384"/>
      <c r="D8" s="384"/>
      <c r="E8" s="383"/>
      <c r="F8" s="383"/>
    </row>
    <row r="9" spans="1:6" ht="15.75">
      <c r="A9" s="384" t="s">
        <v>388</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825</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22" sqref="B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HOOSIER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814</v>
      </c>
      <c r="E17" s="19"/>
      <c r="F17" s="19"/>
      <c r="G17" s="281"/>
    </row>
    <row r="18" spans="2:7" s="14" customFormat="1" ht="15.75">
      <c r="B18" s="74" t="s">
        <v>145</v>
      </c>
      <c r="C18" s="28"/>
      <c r="D18" s="172" t="s">
        <v>814</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13194</v>
      </c>
      <c r="F20" s="172">
        <f>IF(gen!$E$57&lt;&gt;0,gen!$E$57,0)</f>
        <v>11875</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55900</v>
      </c>
      <c r="F22" s="172">
        <f>IF(road!$E$50&lt;&gt;0,road!$E$50,"  ")</f>
        <v>50294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69094</v>
      </c>
      <c r="F33" s="292">
        <f>SUM(F20:F28)</f>
        <v>62169</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B22" sqref="B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HOOSIER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61823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61823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10113</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115312</v>
      </c>
      <c r="F14" s="270"/>
      <c r="G14" s="55"/>
      <c r="H14" s="55"/>
      <c r="I14" s="53"/>
      <c r="J14" s="55"/>
    </row>
    <row r="15" spans="1:10" ht="15.75">
      <c r="A15" s="269"/>
      <c r="B15" s="14" t="s">
        <v>91</v>
      </c>
      <c r="C15" s="14" t="str">
        <f>CONCATENATE("Personal Property ",J1-2,"")</f>
        <v>Personal Property 2010</v>
      </c>
      <c r="D15" s="269" t="s">
        <v>86</v>
      </c>
      <c r="E15" s="273">
        <f>inputOth!E11</f>
        <v>102009</v>
      </c>
      <c r="F15" s="270"/>
      <c r="G15" s="53"/>
      <c r="H15" s="53"/>
      <c r="I15" s="55"/>
      <c r="J15" s="55"/>
    </row>
    <row r="16" spans="1:10" ht="15.75">
      <c r="A16" s="269"/>
      <c r="B16" s="14" t="s">
        <v>92</v>
      </c>
      <c r="C16" s="14" t="s">
        <v>112</v>
      </c>
      <c r="D16" s="14"/>
      <c r="E16" s="55"/>
      <c r="F16" s="55" t="s">
        <v>15</v>
      </c>
      <c r="G16" s="271">
        <f>IF(E14&gt;E15,E14-E15,0)</f>
        <v>13303</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23416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2244280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2220864</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0.010543644275381113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652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62475</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62475</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22" sqref="B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HOOSIER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11890</v>
      </c>
      <c r="E11" s="253">
        <f>IF(inputOth!D17&gt;0,inputOth!D17,"  ")</f>
        <v>5.328</v>
      </c>
      <c r="F11" s="254"/>
      <c r="G11" s="96">
        <f>IF(inputPrYr!E16=0,0,G22-SUM(G12:G19))</f>
        <v>894</v>
      </c>
      <c r="H11" s="255"/>
      <c r="I11" s="96">
        <f>IF(inputPrYr!E16=0,0,I24-SUM(I12:I19))</f>
        <v>7</v>
      </c>
      <c r="J11" s="96">
        <f>IF(inputPrYr!E16=0,0,J26-SUM(J12:J19))</f>
        <v>40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49933</v>
      </c>
      <c r="E13" s="253">
        <f>IF(inputOth!D19&gt;0,inputOth!D19,"  ")</f>
        <v>22.373</v>
      </c>
      <c r="F13" s="254"/>
      <c r="G13" s="96">
        <f>IF(inputPrYr!E18=0,0,ROUND(D13*$G$30,0))</f>
        <v>3757</v>
      </c>
      <c r="H13" s="255"/>
      <c r="I13" s="96">
        <f>IF(inputPrYr!$E$18=0,0,ROUND($D$13*$I$32,0))</f>
        <v>30</v>
      </c>
      <c r="J13" s="96">
        <f>IF(inputPrYr!E18=0,0,ROUND($D13*$J$34,0))</f>
        <v>169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61823</v>
      </c>
      <c r="E20" s="259">
        <f>SUM(E11:E19)</f>
        <v>27.701</v>
      </c>
      <c r="F20" s="260"/>
      <c r="G20" s="258">
        <f>SUM(G11:G19)</f>
        <v>4651</v>
      </c>
      <c r="H20" s="258"/>
      <c r="I20" s="258">
        <f>SUM(I11:I19)</f>
        <v>37</v>
      </c>
      <c r="J20" s="258">
        <f>SUM(J11:J19)</f>
        <v>209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4651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209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0.07523090112094205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0.00059848276531388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0.0033806188635297544</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HOOSIER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5716</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5716</v>
      </c>
      <c r="D27" s="245">
        <f>SUM(D10:D26)</f>
        <v>0</v>
      </c>
      <c r="E27" s="245">
        <f>SUM(E10:E26)</f>
        <v>0</v>
      </c>
      <c r="F27" s="140"/>
    </row>
    <row r="28" spans="1:6" ht="15.75">
      <c r="A28" s="140"/>
      <c r="B28" s="244" t="s">
        <v>633</v>
      </c>
      <c r="C28" s="140"/>
      <c r="D28" s="241"/>
      <c r="E28" s="241"/>
      <c r="F28" s="140"/>
    </row>
    <row r="29" spans="1:6" ht="15.75">
      <c r="A29" s="140"/>
      <c r="B29" s="192" t="s">
        <v>184</v>
      </c>
      <c r="C29" s="246">
        <f>C27</f>
        <v>5716</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2011-07-14T13:37:37Z</cp:lastPrinted>
  <dcterms:created xsi:type="dcterms:W3CDTF">1998-08-26T16:30:41Z</dcterms:created>
  <dcterms:modified xsi:type="dcterms:W3CDTF">2011-07-14T13:48:47Z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