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4" yWindow="65524" windowWidth="9636"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s>
  <definedNames>
    <definedName name="_xlnm.Print_Area" localSheetId="10">'gen'!$A$1:$G$60</definedName>
    <definedName name="_xlnm.Print_Area" localSheetId="1">'inputPrYr'!$A$1:$E$83</definedName>
    <definedName name="_xlnm.Print_Area" localSheetId="12">'road'!$A$1:$H$67</definedName>
  </definedNames>
  <calcPr fullCalcOnLoad="1"/>
</workbook>
</file>

<file path=xl/sharedStrings.xml><?xml version="1.0" encoding="utf-8"?>
<sst xmlns="http://schemas.openxmlformats.org/spreadsheetml/2006/main" count="1167" uniqueCount="699">
  <si>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</si>
  <si>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</si>
  <si>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</si>
  <si>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</si>
  <si>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</si>
  <si>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</si>
  <si>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</si>
  <si>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</si>
  <si>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</si>
  <si>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</si>
  <si>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</si>
  <si>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</si>
  <si>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</si>
  <si>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</si>
  <si>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</si>
  <si>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</si>
  <si>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</si>
  <si>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</si>
  <si>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</si>
  <si>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</si>
  <si>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</si>
  <si>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</si>
  <si>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</si>
  <si>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</si>
  <si>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</si>
  <si>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</si>
  <si>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</si>
  <si>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</si>
  <si>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</si>
  <si>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</si>
  <si>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</si>
  <si>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</si>
  <si>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</si>
  <si>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</si>
  <si>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</si>
  <si>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</si>
  <si>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</si>
  <si>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</si>
  <si>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</si>
  <si>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</si>
  <si>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</si>
  <si>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</si>
  <si>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</si>
  <si>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</si>
  <si>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</si>
  <si>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</si>
  <si>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</si>
  <si>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</si>
  <si>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</si>
  <si>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</si>
  <si>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</si>
  <si>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</si>
  <si>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</si>
  <si>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</si>
  <si>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</si>
  <si>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</si>
  <si>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</si>
  <si>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</si>
  <si>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</si>
  <si>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</si>
  <si>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</si>
  <si>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</si>
  <si>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</si>
  <si>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</si>
  <si>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</si>
  <si>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</si>
  <si>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</si>
  <si>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</si>
  <si>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</si>
  <si>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</si>
  <si>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</si>
  <si>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</si>
  <si>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</si>
  <si>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</si>
  <si>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</si>
  <si>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</si>
  <si>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</si>
  <si>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</si>
  <si>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</si>
  <si>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</si>
  <si>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</si>
  <si>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</si>
  <si>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</si>
  <si>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</si>
  <si>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</si>
  <si>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</si>
  <si>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</si>
  <si>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</si>
  <si>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</si>
  <si>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</si>
  <si>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</si>
  <si>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</si>
  <si>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</si>
  <si>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</si>
  <si>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</si>
  <si>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</si>
  <si>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</si>
  <si>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</si>
  <si>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</si>
  <si>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</si>
  <si>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</si>
  <si>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</si>
  <si>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</si>
  <si>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</si>
  <si>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</si>
  <si>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</si>
  <si>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</si>
  <si>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</si>
  <si>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</si>
  <si>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</si>
  <si>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</si>
  <si>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</si>
  <si>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</si>
  <si>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</si>
  <si>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</si>
  <si>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</si>
  <si>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</si>
  <si>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</si>
  <si>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</si>
  <si>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</si>
  <si>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</si>
  <si>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</si>
  <si>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</si>
  <si>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</si>
  <si>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</si>
  <si>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</si>
  <si>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</si>
  <si>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</si>
  <si>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</si>
  <si>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</si>
  <si>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</si>
  <si>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</si>
  <si>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</si>
  <si>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</si>
  <si>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</si>
  <si>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</si>
  <si>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</si>
  <si>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</si>
  <si>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</si>
  <si>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</si>
  <si>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</si>
  <si>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</si>
  <si>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</si>
  <si>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</si>
  <si>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</si>
  <si>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</si>
  <si>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</si>
  <si>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</si>
  <si>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</si>
  <si>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</si>
  <si>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</si>
  <si>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</si>
  <si>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</si>
  <si>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</si>
  <si>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</si>
  <si>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</si>
  <si>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</si>
  <si>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</si>
  <si>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</si>
  <si>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</si>
  <si>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</si>
  <si>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</si>
  <si>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</si>
  <si>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</si>
  <si>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</si>
  <si>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</si>
  <si>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</si>
  <si>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</si>
  <si>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</si>
  <si>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</si>
  <si>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</si>
  <si>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</si>
  <si>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</si>
  <si>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</si>
  <si>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</si>
  <si>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</si>
  <si>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</si>
  <si>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</si>
  <si>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</si>
  <si>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</si>
  <si>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</si>
  <si>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</si>
  <si>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</si>
  <si>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</si>
  <si>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</si>
  <si>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</si>
  <si>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</si>
  <si>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</si>
  <si>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</si>
  <si>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</si>
  <si>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</si>
  <si>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</si>
  <si>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</si>
  <si>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</si>
  <si>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</si>
  <si>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</si>
  <si>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</si>
  <si>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</si>
  <si>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</si>
  <si>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</si>
  <si>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</si>
  <si>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</si>
  <si>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</si>
  <si>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</si>
  <si>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</si>
  <si>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</si>
  <si>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</si>
  <si>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</si>
  <si>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</si>
  <si>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</si>
  <si>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</si>
  <si>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</si>
  <si>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</si>
  <si>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</si>
  <si>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</si>
  <si>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</si>
  <si>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</si>
  <si>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</si>
  <si>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</si>
  <si>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</si>
  <si>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</si>
  <si>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</si>
  <si>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</si>
  <si>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</si>
  <si>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</si>
  <si>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</si>
  <si>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</si>
  <si>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</si>
  <si>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</si>
  <si>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</si>
  <si>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</si>
  <si>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</si>
  <si>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</si>
  <si>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</si>
  <si>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</si>
  <si>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</si>
  <si>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</si>
  <si>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</si>
  <si>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</si>
  <si>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</si>
  <si>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</si>
  <si>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</si>
  <si>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</si>
  <si>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</si>
  <si>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</si>
  <si>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</si>
  <si>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</si>
  <si>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</si>
  <si>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</si>
  <si>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</si>
  <si>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</si>
  <si>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</si>
  <si>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</si>
  <si>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</si>
  <si>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</si>
  <si>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</si>
  <si>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</si>
  <si>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</si>
  <si>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</si>
  <si>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</si>
  <si>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</si>
  <si>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</si>
  <si>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</si>
  <si>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</si>
  <si>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</si>
  <si>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</si>
  <si>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</si>
  <si>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</si>
  <si>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</si>
  <si>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</si>
  <si>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</si>
  <si>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</si>
  <si>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</si>
  <si>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</si>
  <si>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</si>
  <si>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</si>
  <si>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</si>
  <si>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</si>
  <si>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</si>
  <si>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</si>
  <si>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</si>
  <si>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</si>
  <si>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</si>
  <si>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</si>
  <si>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</si>
  <si>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</si>
  <si>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</si>
  <si>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</si>
  <si>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</si>
  <si>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</si>
  <si>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</si>
  <si>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</si>
  <si>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</si>
  <si>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</si>
  <si>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</si>
  <si>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</si>
  <si>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</si>
  <si>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</si>
  <si>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</si>
  <si>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</si>
  <si>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</si>
  <si>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</si>
  <si>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General Expenses - Publishing etc.</t>
  </si>
  <si>
    <t xml:space="preserve">Mowing </t>
  </si>
  <si>
    <t>Fire Protection</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</si>
  <si>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</si>
  <si>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</si>
  <si>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</si>
  <si>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</si>
  <si>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</si>
  <si>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</si>
  <si>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</si>
  <si>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</si>
  <si>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</si>
  <si>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</si>
  <si>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</si>
  <si>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</si>
  <si>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</si>
  <si>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</si>
  <si>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</si>
  <si>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</si>
  <si>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</si>
  <si>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</si>
  <si>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</si>
  <si>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</si>
  <si>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</si>
  <si>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</si>
  <si>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</si>
  <si>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</si>
  <si>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</si>
  <si>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</si>
  <si>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</si>
  <si>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</si>
  <si>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</si>
  <si>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</si>
  <si>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</si>
  <si>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</si>
  <si>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</si>
  <si>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</si>
  <si>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</si>
  <si>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</si>
  <si>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</si>
  <si>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</si>
  <si>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</si>
  <si>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</si>
  <si>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</si>
  <si>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</si>
  <si>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</si>
  <si>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</si>
  <si>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</si>
  <si>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</si>
  <si>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</si>
  <si>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</si>
  <si>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</si>
  <si>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</si>
  <si>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</si>
  <si>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</si>
  <si>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</si>
  <si>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</si>
  <si>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</si>
  <si>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</si>
  <si>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</si>
  <si>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</si>
  <si>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</si>
  <si>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</si>
  <si>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</si>
  <si>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</si>
  <si>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</si>
  <si>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</si>
  <si>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</si>
  <si>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</si>
  <si>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</si>
  <si>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</si>
  <si>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</si>
  <si>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</si>
  <si>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</si>
  <si>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</si>
  <si>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</si>
  <si>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</si>
  <si>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</si>
  <si>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</si>
  <si>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</si>
  <si>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</si>
  <si>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</si>
  <si>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</si>
  <si>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</si>
  <si>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</si>
  <si>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</si>
  <si>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</si>
  <si>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</si>
  <si>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</si>
  <si>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</si>
  <si>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</si>
  <si>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</si>
  <si>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</si>
  <si>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</si>
  <si>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</si>
  <si>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</si>
  <si>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</si>
  <si>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</si>
  <si>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</si>
  <si>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</si>
  <si>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</si>
  <si>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</si>
  <si>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</si>
  <si>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</si>
  <si>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</si>
  <si>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</si>
  <si>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</si>
  <si>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</si>
  <si>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</si>
  <si>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</si>
  <si>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</si>
  <si>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</si>
  <si>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</si>
  <si>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</si>
  <si>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</si>
  <si>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</si>
  <si>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</si>
  <si>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</si>
  <si>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</si>
  <si>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</si>
  <si>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</si>
  <si>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</si>
  <si>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</si>
  <si>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</si>
  <si>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</si>
  <si>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</si>
  <si>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</si>
  <si>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</si>
  <si>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</si>
  <si>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</si>
  <si>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</si>
  <si>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</si>
  <si>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</si>
  <si>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</si>
  <si>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</si>
  <si>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</si>
  <si>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</si>
  <si>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12b.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</si>
  <si>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</si>
  <si>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</si>
  <si>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</si>
  <si>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</si>
  <si>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</si>
  <si>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</si>
  <si>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</si>
  <si>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</si>
  <si>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</si>
  <si>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</si>
  <si>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</si>
  <si>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</si>
  <si>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</si>
  <si>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</si>
  <si>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</si>
  <si>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</si>
  <si>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</si>
  <si>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</si>
  <si>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</si>
  <si>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</si>
  <si>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t>
  </si>
  <si>
    <t>b</t>
  </si>
  <si>
    <t>c</t>
  </si>
  <si>
    <t>d</t>
  </si>
  <si>
    <t>e</t>
  </si>
  <si>
    <t>The following were changed to this spreadsheet on 4/15/10</t>
  </si>
  <si>
    <t>1. Changed schedule of transfers statute column to allow for statute to pop-up if transfers are shown in current/proposed columns</t>
  </si>
  <si>
    <t>JEWELL COUNTY</t>
  </si>
  <si>
    <t xml:space="preserve">Carla J Waugh, Jewell County Clerk </t>
  </si>
  <si>
    <t>from a Township Officer</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</si>
  <si>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</si>
  <si>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</si>
  <si>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</si>
  <si>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</si>
  <si>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</si>
  <si>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</si>
  <si>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</si>
  <si>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</si>
  <si>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</si>
  <si>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</si>
  <si>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</si>
  <si>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</si>
  <si>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</si>
  <si>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</si>
  <si>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</si>
  <si>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</si>
  <si>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</si>
  <si>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</si>
  <si>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</si>
  <si>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</si>
  <si>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</si>
  <si>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</si>
  <si>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</si>
  <si>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</si>
  <si>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</si>
  <si>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</si>
  <si>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</si>
  <si>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</si>
  <si>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</si>
  <si>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</si>
  <si>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</si>
  <si>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</si>
  <si>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</si>
  <si>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</si>
  <si>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</si>
  <si>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</si>
  <si>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</si>
  <si>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</si>
  <si>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</si>
  <si>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</si>
  <si>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</si>
  <si>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</si>
  <si>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</si>
  <si>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</si>
  <si>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</si>
  <si>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</si>
  <si>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</si>
  <si>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</si>
  <si>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</si>
  <si>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</si>
  <si>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</si>
  <si>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</si>
  <si>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</si>
  <si>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</si>
  <si>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</si>
  <si>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</si>
  <si>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</si>
  <si>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</si>
  <si>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</si>
  <si>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</si>
  <si>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</si>
  <si>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</si>
  <si>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</si>
  <si>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</si>
  <si>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</si>
  <si>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</si>
  <si>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</si>
  <si>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</si>
  <si>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</si>
  <si>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</si>
  <si>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</si>
  <si>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</si>
  <si>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</si>
  <si>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</si>
  <si>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</si>
  <si>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</si>
  <si>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</si>
  <si>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</si>
  <si>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</si>
  <si>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</si>
  <si>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</si>
  <si>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</si>
  <si>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</si>
  <si>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</si>
  <si>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</si>
  <si>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</si>
  <si>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</si>
  <si>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</si>
  <si>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</si>
  <si>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</si>
  <si>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</si>
  <si>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</si>
  <si>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</si>
  <si>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</si>
  <si>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</si>
  <si>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</si>
  <si>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</si>
  <si>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</si>
  <si>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</si>
  <si>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</si>
  <si>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</si>
  <si>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</si>
  <si>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</si>
  <si>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</si>
  <si>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</si>
  <si>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</si>
  <si>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</si>
  <si>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</si>
  <si>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</si>
  <si>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</si>
  <si>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</si>
  <si>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</si>
  <si>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</si>
  <si>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</si>
  <si>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</si>
  <si>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</si>
  <si>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</si>
  <si>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</si>
  <si>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</si>
  <si>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</si>
  <si>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</si>
  <si>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</si>
  <si>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</si>
  <si>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</si>
  <si>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</si>
  <si>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</si>
  <si>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</si>
  <si>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</si>
  <si>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</si>
  <si>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</si>
  <si>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</si>
  <si>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</si>
  <si>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</si>
  <si>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</si>
  <si>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</si>
  <si>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</si>
  <si>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</si>
  <si>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</si>
  <si>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</si>
  <si>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</si>
  <si>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</si>
  <si>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</si>
  <si>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</si>
  <si>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</si>
  <si>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</si>
  <si>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</si>
  <si>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</si>
  <si>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</si>
  <si>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</si>
  <si>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</si>
  <si>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</si>
  <si>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</si>
  <si>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</si>
  <si>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</si>
  <si>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</si>
  <si>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</si>
  <si>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</si>
  <si>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</si>
  <si>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</si>
  <si>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</si>
  <si>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</si>
  <si>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</si>
  <si>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</si>
  <si>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</si>
  <si>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</si>
  <si>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</si>
  <si>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</si>
  <si>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</si>
  <si>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</si>
  <si>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</si>
  <si>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</si>
  <si>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</si>
  <si>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</si>
  <si>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</si>
  <si>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</si>
  <si>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</si>
  <si>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</si>
  <si>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</si>
  <si>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</si>
  <si>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</si>
  <si>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</si>
  <si>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</si>
  <si>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</si>
  <si>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</si>
  <si>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</si>
  <si>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</si>
  <si>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</si>
  <si>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</si>
  <si>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</si>
  <si>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</si>
  <si>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</si>
  <si>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</si>
  <si>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</si>
  <si>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</si>
  <si>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</si>
  <si>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</si>
  <si>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</si>
  <si>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</si>
  <si>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</si>
  <si>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</si>
  <si>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</si>
  <si>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</si>
  <si>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</si>
  <si>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</si>
  <si>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</si>
  <si>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</si>
  <si>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</si>
  <si>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</si>
  <si>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</si>
  <si>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</si>
  <si>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</si>
  <si>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</si>
  <si>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</si>
  <si>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</si>
  <si>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</si>
  <si>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</si>
  <si>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</si>
  <si>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</si>
  <si>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</si>
  <si>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</si>
  <si>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Fire</t>
  </si>
  <si>
    <t>Unpaid bills for 2010</t>
  </si>
  <si>
    <t>Fire Protection - City of Jewell</t>
  </si>
  <si>
    <t>ODESSA TOWNSHIP</t>
  </si>
  <si>
    <t>August 2, 2011</t>
  </si>
  <si>
    <t>7:00 P.M.</t>
  </si>
  <si>
    <t>Marion Atwood's Residence</t>
  </si>
  <si>
    <t>Richard Schlaefli</t>
  </si>
  <si>
    <t>No</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</si>
</sst>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3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3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37" fontId="6" fillId="34" borderId="16"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6" fillId="34" borderId="11" xfId="0" applyFont="1" applyFill="1" applyBorder="1" applyAlignment="1">
      <alignment vertical="center"/>
    </xf>
    <xf numFmtId="0" fontId="26" fillId="34" borderId="15" xfId="0" applyFont="1" applyFill="1" applyBorder="1" applyAlignment="1">
      <alignment horizontal="center" vertical="center"/>
    </xf>
    <xf numFmtId="0" fontId="26" fillId="34" borderId="19" xfId="0" applyFont="1" applyFill="1" applyBorder="1" applyAlignment="1">
      <alignment vertical="center"/>
    </xf>
    <xf numFmtId="0" fontId="26"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6" fillId="34" borderId="18" xfId="0" applyFont="1" applyFill="1" applyBorder="1" applyAlignment="1">
      <alignment vertical="center"/>
    </xf>
    <xf numFmtId="3" fontId="26" fillId="33" borderId="16"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6" borderId="16"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6" xfId="0" applyFont="1" applyFill="1" applyBorder="1" applyAlignment="1" applyProtection="1">
      <alignment vertical="center"/>
      <protection locked="0"/>
    </xf>
    <xf numFmtId="0" fontId="26" fillId="33" borderId="19" xfId="0" applyFont="1" applyFill="1" applyBorder="1" applyAlignment="1" applyProtection="1">
      <alignment vertical="center"/>
      <protection locked="0"/>
    </xf>
    <xf numFmtId="3" fontId="26" fillId="33" borderId="19"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2" xfId="0" applyNumberFormat="1" applyFont="1" applyFill="1" applyBorder="1" applyAlignment="1" applyProtection="1">
      <alignment horizontal="center" vertical="center"/>
      <protection locked="0"/>
    </xf>
    <xf numFmtId="3" fontId="26" fillId="33" borderId="15" xfId="0" applyNumberFormat="1" applyFont="1" applyFill="1" applyBorder="1" applyAlignment="1" applyProtection="1">
      <alignment horizontal="center" vertical="center"/>
      <protection locked="0"/>
    </xf>
    <xf numFmtId="0" fontId="26" fillId="33" borderId="15"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6" borderId="13" xfId="0" applyNumberFormat="1" applyFont="1" applyFill="1" applyBorder="1" applyAlignment="1">
      <alignment horizontal="center" vertical="center"/>
    </xf>
    <xf numFmtId="3" fontId="26"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30"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165" fontId="6" fillId="36"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37" fontId="6" fillId="34" borderId="0" xfId="293" applyNumberFormat="1" applyFont="1" applyFill="1" applyAlignment="1" applyProtection="1">
      <alignment vertical="center"/>
      <protection/>
    </xf>
    <xf numFmtId="0" fontId="6" fillId="34" borderId="0" xfId="293" applyFont="1" applyFill="1" applyAlignment="1" applyProtection="1">
      <alignment vertical="center"/>
      <protection/>
    </xf>
    <xf numFmtId="0" fontId="6" fillId="0" borderId="0" xfId="293" applyFont="1" applyAlignment="1" applyProtection="1">
      <alignment vertical="center"/>
      <protection locked="0"/>
    </xf>
    <xf numFmtId="0" fontId="5" fillId="34" borderId="0" xfId="294" applyFont="1" applyFill="1" applyAlignment="1" applyProtection="1">
      <alignment horizontal="centerContinuous" vertical="center"/>
      <protection/>
    </xf>
    <xf numFmtId="0" fontId="6" fillId="34" borderId="0" xfId="29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293" applyFont="1" applyFill="1" applyBorder="1" applyAlignment="1" applyProtection="1">
      <alignment horizontal="left" vertical="center"/>
      <protection/>
    </xf>
    <xf numFmtId="0" fontId="5" fillId="34" borderId="17" xfId="293" applyFont="1" applyFill="1" applyBorder="1" applyAlignment="1" applyProtection="1">
      <alignment vertical="center"/>
      <protection/>
    </xf>
    <xf numFmtId="0" fontId="5" fillId="34" borderId="24" xfId="293" applyFont="1" applyFill="1" applyBorder="1" applyAlignment="1" applyProtection="1">
      <alignment vertical="center"/>
      <protection/>
    </xf>
    <xf numFmtId="3" fontId="5" fillId="34" borderId="19" xfId="293" applyNumberFormat="1" applyFont="1" applyFill="1" applyBorder="1" applyAlignment="1" applyProtection="1">
      <alignment vertical="center"/>
      <protection/>
    </xf>
    <xf numFmtId="37" fontId="5" fillId="36" borderId="16" xfId="293" applyNumberFormat="1" applyFont="1" applyFill="1" applyBorder="1" applyAlignment="1" applyProtection="1">
      <alignment vertical="center"/>
      <protection/>
    </xf>
    <xf numFmtId="0" fontId="5" fillId="34" borderId="19" xfId="293" applyFont="1" applyFill="1" applyBorder="1" applyAlignment="1" applyProtection="1">
      <alignment vertical="center"/>
      <protection/>
    </xf>
    <xf numFmtId="0" fontId="6" fillId="34" borderId="0" xfId="294" applyFont="1" applyFill="1" applyAlignment="1" applyProtection="1">
      <alignment horizontal="centerContinuous" vertical="center"/>
      <protection/>
    </xf>
    <xf numFmtId="0" fontId="6" fillId="34" borderId="0" xfId="294" applyFont="1" applyFill="1" applyAlignment="1" applyProtection="1">
      <alignment vertical="center"/>
      <protection/>
    </xf>
    <xf numFmtId="0" fontId="6" fillId="0" borderId="0" xfId="29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294" applyFont="1" applyFill="1" applyBorder="1" applyAlignment="1" applyProtection="1">
      <alignment vertical="center"/>
      <protection/>
    </xf>
    <xf numFmtId="0" fontId="6" fillId="34" borderId="0" xfId="294"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29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29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xf>
    <xf numFmtId="0" fontId="31"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7"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14"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244" applyFont="1" applyAlignment="1">
      <alignment vertical="center"/>
      <protection/>
    </xf>
    <xf numFmtId="0" fontId="6" fillId="0" borderId="0" xfId="270"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5" fillId="0" borderId="0" xfId="0" applyFont="1" applyAlignment="1">
      <alignment horizontal="center"/>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6"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6" fillId="0" borderId="0" xfId="280" applyFont="1" applyAlignment="1">
      <alignment horizontal="left" vertical="center"/>
      <protection/>
    </xf>
    <xf numFmtId="183" fontId="26"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4" fillId="0" borderId="0" xfId="139" applyFont="1">
      <alignment/>
      <protection/>
    </xf>
    <xf numFmtId="0" fontId="4" fillId="0" borderId="0" xfId="139" applyFont="1" applyFill="1">
      <alignment/>
      <protection/>
    </xf>
    <xf numFmtId="0" fontId="6" fillId="0" borderId="0" xfId="112"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09" applyFont="1" applyAlignment="1">
      <alignment vertical="center" wrapText="1"/>
      <protection/>
    </xf>
    <xf numFmtId="0" fontId="6" fillId="0" borderId="0" xfId="287" applyFont="1" applyAlignment="1">
      <alignment vertical="center"/>
      <protection/>
    </xf>
    <xf numFmtId="0" fontId="7" fillId="0" borderId="0" xfId="105" applyFont="1" applyAlignment="1">
      <alignment vertical="center"/>
      <protection/>
    </xf>
    <xf numFmtId="0" fontId="6" fillId="0" borderId="0" xfId="109" applyFont="1" applyAlignment="1">
      <alignment vertical="center"/>
      <protection/>
    </xf>
    <xf numFmtId="0" fontId="6" fillId="34" borderId="0" xfId="0" applyFont="1" applyFill="1" applyAlignment="1">
      <alignment/>
    </xf>
    <xf numFmtId="0" fontId="7" fillId="0" borderId="0" xfId="104"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5"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5"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9"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xf>
    <xf numFmtId="0" fontId="24" fillId="35"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5"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19" xfId="0" applyFont="1" applyBorder="1" applyAlignment="1">
      <alignment vertical="center"/>
    </xf>
    <xf numFmtId="0" fontId="6" fillId="34" borderId="0" xfId="58" applyNumberFormat="1" applyFont="1" applyFill="1" applyBorder="1" applyAlignment="1" applyProtection="1">
      <alignment horizontal="right" vertical="center"/>
      <protection/>
    </xf>
    <xf numFmtId="0" fontId="6" fillId="0" borderId="0" xfId="58" applyFont="1" applyAlignment="1" applyProtection="1">
      <alignment horizontal="right" vertical="center"/>
      <protection/>
    </xf>
    <xf numFmtId="0" fontId="6" fillId="0" borderId="20" xfId="58"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1" fontId="6" fillId="34" borderId="17" xfId="0" applyNumberFormat="1" applyFont="1" applyFill="1" applyBorder="1" applyAlignment="1" applyProtection="1">
      <alignment horizontal="center" vertical="center"/>
      <protection/>
    </xf>
    <xf numFmtId="1" fontId="6" fillId="34" borderId="19"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locked="0"/>
    </xf>
    <xf numFmtId="0" fontId="24" fillId="0" borderId="15" xfId="0" applyFont="1" applyBorder="1" applyAlignment="1">
      <alignment horizontal="center" vertical="center"/>
    </xf>
    <xf numFmtId="0" fontId="24" fillId="35" borderId="15" xfId="0" applyFont="1" applyFill="1" applyBorder="1" applyAlignment="1">
      <alignment horizontal="center"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0" fillId="0" borderId="15" xfId="0" applyBorder="1" applyAlignment="1" applyProtection="1">
      <alignment vertical="center"/>
      <protection locked="0"/>
    </xf>
    <xf numFmtId="3" fontId="5" fillId="36" borderId="14"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6" fillId="36" borderId="14" xfId="0" applyNumberFormat="1" applyFont="1" applyFill="1" applyBorder="1" applyAlignment="1" applyProtection="1">
      <alignment horizontal="right" vertical="center"/>
      <protection/>
    </xf>
    <xf numFmtId="3" fontId="6" fillId="36" borderId="15"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5" fillId="36" borderId="15"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0" fontId="18" fillId="34" borderId="25" xfId="0" applyFont="1" applyFill="1" applyBorder="1" applyAlignment="1" applyProtection="1">
      <alignment vertical="center" wrapText="1"/>
      <protection/>
    </xf>
    <xf numFmtId="0" fontId="0" fillId="0" borderId="0" xfId="0" applyAlignment="1">
      <alignment vertical="center" wrapText="1"/>
    </xf>
    <xf numFmtId="0" fontId="0" fillId="0" borderId="25" xfId="0" applyBorder="1" applyAlignment="1">
      <alignment vertical="center" wrapText="1"/>
    </xf>
    <xf numFmtId="3" fontId="18" fillId="37" borderId="14" xfId="0" applyNumberFormat="1" applyFont="1" applyFill="1" applyBorder="1" applyAlignment="1" applyProtection="1">
      <alignment horizontal="center" vertical="center"/>
      <protection/>
    </xf>
    <xf numFmtId="0" fontId="24" fillId="37" borderId="15" xfId="0" applyFont="1" applyFill="1" applyBorder="1" applyAlignment="1" applyProtection="1">
      <alignment horizontal="center" vertical="center"/>
      <protection/>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cellXfs>
  <cellStyles count="2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rmal_debt" xfId="293"/>
    <cellStyle name="Normal_lpform" xfId="294"/>
    <cellStyle name="Note" xfId="295"/>
    <cellStyle name="Output" xfId="296"/>
    <cellStyle name="Percent" xfId="297"/>
    <cellStyle name="Title" xfId="298"/>
    <cellStyle name="Total" xfId="299"/>
    <cellStyle name="Warning Text" xfId="300"/>
  </cellStyles>
  <dxfs count="12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03" customWidth="1"/>
    <col min="2" max="16384" width="8.796875" style="103" customWidth="1"/>
  </cols>
  <sheetData>
    <row r="1" ht="15">
      <c r="A1" s="387" t="s">
        <v>673</v>
      </c>
    </row>
    <row r="3" ht="34.5" customHeight="1">
      <c r="A3" s="386" t="s">
        <v>662</v>
      </c>
    </row>
    <row r="4" ht="15">
      <c r="A4" s="389"/>
    </row>
    <row r="5" ht="52.5" customHeight="1">
      <c r="A5" s="385" t="s">
        <v>133</v>
      </c>
    </row>
    <row r="6" ht="15">
      <c r="A6" s="385"/>
    </row>
    <row r="7" ht="34.5" customHeight="1">
      <c r="A7" s="385" t="s">
        <v>151</v>
      </c>
    </row>
    <row r="8" ht="15">
      <c r="A8" s="385"/>
    </row>
    <row r="9" ht="15">
      <c r="A9" s="385" t="s">
        <v>663</v>
      </c>
    </row>
    <row r="12" ht="15">
      <c r="A12" s="387" t="s">
        <v>24</v>
      </c>
    </row>
    <row r="13" ht="15">
      <c r="A13" s="387"/>
    </row>
    <row r="14" ht="18.75" customHeight="1">
      <c r="A14" s="389" t="s">
        <v>26</v>
      </c>
    </row>
    <row r="16" ht="39" customHeight="1">
      <c r="A16" s="390" t="s">
        <v>165</v>
      </c>
    </row>
    <row r="17" ht="9.75" customHeight="1">
      <c r="A17" s="390"/>
    </row>
    <row r="20" ht="15">
      <c r="A20" s="387" t="s">
        <v>664</v>
      </c>
    </row>
    <row r="22" ht="34.5" customHeight="1">
      <c r="A22" s="385" t="s">
        <v>27</v>
      </c>
    </row>
    <row r="23" ht="9.75" customHeight="1">
      <c r="A23" s="385"/>
    </row>
    <row r="24" ht="15">
      <c r="A24" s="391" t="s">
        <v>665</v>
      </c>
    </row>
    <row r="25" ht="15">
      <c r="A25" s="385"/>
    </row>
    <row r="26" ht="17.25" customHeight="1">
      <c r="A26" s="392" t="s">
        <v>666</v>
      </c>
    </row>
    <row r="27" ht="17.25" customHeight="1">
      <c r="A27" s="393"/>
    </row>
    <row r="28" ht="87.75" customHeight="1">
      <c r="A28" s="394" t="s">
        <v>689</v>
      </c>
    </row>
    <row r="30" ht="15">
      <c r="A30" s="395" t="s">
        <v>667</v>
      </c>
    </row>
    <row r="32" ht="15">
      <c r="A32" s="148" t="s">
        <v>25</v>
      </c>
    </row>
    <row r="34" ht="15">
      <c r="A34" s="385" t="s">
        <v>668</v>
      </c>
    </row>
    <row r="37" ht="15">
      <c r="A37" s="387" t="s">
        <v>669</v>
      </c>
    </row>
    <row r="39" ht="78" customHeight="1">
      <c r="A39" s="385" t="s">
        <v>670</v>
      </c>
    </row>
    <row r="40" ht="57.75" customHeight="1">
      <c r="A40" s="396" t="s">
        <v>671</v>
      </c>
    </row>
    <row r="41" ht="10.5" customHeight="1">
      <c r="A41" s="385"/>
    </row>
    <row r="42" ht="74.25" customHeight="1">
      <c r="A42" s="385" t="s">
        <v>7</v>
      </c>
    </row>
    <row r="43" ht="59.25" customHeight="1">
      <c r="A43" s="385" t="s">
        <v>672</v>
      </c>
    </row>
    <row r="44" ht="84.75" customHeight="1">
      <c r="A44" s="385" t="s">
        <v>69</v>
      </c>
    </row>
    <row r="45" ht="12" customHeight="1">
      <c r="A45" s="385"/>
    </row>
    <row r="46" ht="73.5" customHeight="1">
      <c r="A46" s="422" t="s">
        <v>408</v>
      </c>
    </row>
    <row r="47" ht="69.75" customHeight="1">
      <c r="A47" s="418" t="s">
        <v>409</v>
      </c>
    </row>
    <row r="48" ht="12" customHeight="1">
      <c r="A48" s="385"/>
    </row>
    <row r="49" ht="68.25" customHeight="1">
      <c r="A49" s="385" t="s">
        <v>410</v>
      </c>
    </row>
    <row r="50" ht="74.25" customHeight="1">
      <c r="A50" s="385" t="s">
        <v>411</v>
      </c>
    </row>
    <row r="51" ht="50.25" customHeight="1">
      <c r="A51" s="385" t="s">
        <v>412</v>
      </c>
    </row>
    <row r="52" ht="15.75" customHeight="1"/>
    <row r="53" ht="80.25" customHeight="1">
      <c r="A53" s="385" t="s">
        <v>413</v>
      </c>
    </row>
    <row r="54" ht="40.5" customHeight="1">
      <c r="A54" s="385" t="s">
        <v>414</v>
      </c>
    </row>
    <row r="55" ht="45" customHeight="1">
      <c r="A55" s="385" t="s">
        <v>415</v>
      </c>
    </row>
    <row r="56" ht="15">
      <c r="A56" s="385"/>
    </row>
    <row r="57" ht="68.25" customHeight="1">
      <c r="A57" s="385" t="s">
        <v>416</v>
      </c>
    </row>
    <row r="58" ht="15">
      <c r="A58" s="385"/>
    </row>
    <row r="59" ht="40.5" customHeight="1">
      <c r="A59" s="385" t="s">
        <v>417</v>
      </c>
    </row>
    <row r="60" ht="34.5" customHeight="1">
      <c r="A60" s="385" t="s">
        <v>448</v>
      </c>
    </row>
    <row r="61" ht="77.25" customHeight="1">
      <c r="A61" s="385" t="s">
        <v>449</v>
      </c>
    </row>
    <row r="62" ht="41.25" customHeight="1">
      <c r="A62" s="385" t="s">
        <v>446</v>
      </c>
    </row>
    <row r="63" ht="41.25" customHeight="1">
      <c r="A63" s="385" t="s">
        <v>447</v>
      </c>
    </row>
    <row r="64" ht="9" customHeight="1">
      <c r="A64" s="385"/>
    </row>
    <row r="65" ht="58.5" customHeight="1">
      <c r="A65" s="385" t="s">
        <v>418</v>
      </c>
    </row>
    <row r="66" ht="9.75" customHeight="1"/>
    <row r="67" s="385" customFormat="1" ht="69" customHeight="1">
      <c r="A67" s="385" t="s">
        <v>419</v>
      </c>
    </row>
    <row r="68" ht="6.75" customHeight="1"/>
    <row r="69" ht="70.5" customHeight="1">
      <c r="A69" s="385" t="s">
        <v>420</v>
      </c>
    </row>
    <row r="70" ht="60" customHeight="1">
      <c r="A70" s="385" t="s">
        <v>421</v>
      </c>
    </row>
    <row r="71" ht="117.75" customHeight="1">
      <c r="A71" s="385" t="s">
        <v>422</v>
      </c>
    </row>
    <row r="72" ht="59.25" customHeight="1">
      <c r="A72" s="385" t="s">
        <v>423</v>
      </c>
    </row>
    <row r="73" ht="84.75" customHeight="1">
      <c r="A73" s="385" t="s">
        <v>424</v>
      </c>
    </row>
    <row r="74" ht="102.75" customHeight="1">
      <c r="A74" s="385" t="s">
        <v>425</v>
      </c>
    </row>
    <row r="75" ht="102.75" customHeight="1">
      <c r="A75" s="397" t="s">
        <v>426</v>
      </c>
    </row>
    <row r="76" ht="84.75" customHeight="1">
      <c r="A76" s="388" t="s">
        <v>427</v>
      </c>
    </row>
    <row r="77" ht="115.5" customHeight="1">
      <c r="A77" s="385" t="s">
        <v>428</v>
      </c>
    </row>
    <row r="78" ht="78" customHeight="1">
      <c r="A78" s="397" t="s">
        <v>429</v>
      </c>
    </row>
    <row r="79" ht="124.5" customHeight="1">
      <c r="A79" s="397" t="s">
        <v>430</v>
      </c>
    </row>
    <row r="80" ht="138" customHeight="1">
      <c r="A80" s="385" t="s">
        <v>431</v>
      </c>
    </row>
    <row r="81" ht="147" customHeight="1">
      <c r="A81" s="385" t="s">
        <v>432</v>
      </c>
    </row>
    <row r="82" ht="101.25" customHeight="1">
      <c r="A82" s="385" t="s">
        <v>433</v>
      </c>
    </row>
    <row r="84" ht="102.75" customHeight="1">
      <c r="A84" s="385" t="s">
        <v>434</v>
      </c>
    </row>
    <row r="85" ht="89.25" customHeight="1">
      <c r="A85" s="397" t="s">
        <v>435</v>
      </c>
    </row>
    <row r="86" ht="57" customHeight="1">
      <c r="A86" s="397" t="s">
        <v>436</v>
      </c>
    </row>
    <row r="87" ht="20.25" customHeight="1">
      <c r="A87" s="385" t="s">
        <v>437</v>
      </c>
    </row>
    <row r="89" ht="53.25" customHeight="1">
      <c r="A89" s="385" t="s">
        <v>438</v>
      </c>
    </row>
    <row r="90" ht="21" customHeight="1">
      <c r="A90" s="385" t="s">
        <v>442</v>
      </c>
    </row>
    <row r="91" ht="33.75" customHeight="1">
      <c r="A91" s="385" t="s">
        <v>439</v>
      </c>
    </row>
    <row r="92" ht="51.75" customHeight="1">
      <c r="A92" s="385" t="s">
        <v>440</v>
      </c>
    </row>
    <row r="93" ht="14.25" customHeight="1"/>
    <row r="94" ht="69.75" customHeight="1">
      <c r="A94" s="385" t="s">
        <v>441</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197" customWidth="1"/>
    <col min="2" max="2" width="8.796875" style="197" customWidth="1"/>
    <col min="3" max="3" width="7.8984375" style="197" customWidth="1"/>
    <col min="4" max="4" width="8.796875" style="197" customWidth="1"/>
    <col min="5" max="5" width="16.19921875" style="197" customWidth="1"/>
    <col min="6" max="16384" width="8.796875" style="197" customWidth="1"/>
  </cols>
  <sheetData>
    <row r="1" spans="1:11" ht="15">
      <c r="A1" s="195" t="str">
        <f>inputPrYr!$D$2</f>
        <v>ODESSA TOWNSHIP</v>
      </c>
      <c r="B1" s="196"/>
      <c r="C1" s="196"/>
      <c r="D1" s="196"/>
      <c r="E1" s="196"/>
      <c r="F1" s="196"/>
      <c r="G1" s="196"/>
      <c r="H1" s="196"/>
      <c r="I1" s="14"/>
      <c r="J1" s="14"/>
      <c r="K1" s="15">
        <f>inputPrYr!D5</f>
        <v>2012</v>
      </c>
    </row>
    <row r="2" spans="1:11" ht="15">
      <c r="A2" s="195" t="str">
        <f>inputPrYr!$D$3</f>
        <v>JEWELL COUNTY</v>
      </c>
      <c r="B2" s="196"/>
      <c r="C2" s="196"/>
      <c r="D2" s="196"/>
      <c r="E2" s="196"/>
      <c r="F2" s="196"/>
      <c r="G2" s="196"/>
      <c r="H2" s="196"/>
      <c r="I2" s="14"/>
      <c r="J2" s="14"/>
      <c r="K2" s="59"/>
    </row>
    <row r="3" spans="1:11" ht="15">
      <c r="A3" s="198" t="s">
        <v>553</v>
      </c>
      <c r="B3" s="199"/>
      <c r="C3" s="199"/>
      <c r="D3" s="172"/>
      <c r="E3" s="199"/>
      <c r="F3" s="199"/>
      <c r="G3" s="199"/>
      <c r="H3" s="199"/>
      <c r="I3" s="199"/>
      <c r="J3" s="199"/>
      <c r="K3" s="199"/>
    </row>
    <row r="4" spans="1:11" ht="15">
      <c r="A4" s="196"/>
      <c r="B4" s="196"/>
      <c r="C4" s="196"/>
      <c r="D4" s="196"/>
      <c r="E4" s="196"/>
      <c r="F4" s="196"/>
      <c r="G4" s="196"/>
      <c r="H4" s="196"/>
      <c r="I4" s="196"/>
      <c r="J4" s="196"/>
      <c r="K4" s="196"/>
    </row>
    <row r="5" spans="1:11" ht="15">
      <c r="A5" s="14"/>
      <c r="B5" s="200" t="s">
        <v>528</v>
      </c>
      <c r="C5" s="200" t="s">
        <v>536</v>
      </c>
      <c r="D5" s="200"/>
      <c r="E5" s="200" t="s">
        <v>475</v>
      </c>
      <c r="F5" s="201"/>
      <c r="G5" s="202"/>
      <c r="H5" s="201" t="s">
        <v>529</v>
      </c>
      <c r="I5" s="202"/>
      <c r="J5" s="201" t="s">
        <v>529</v>
      </c>
      <c r="K5" s="202"/>
    </row>
    <row r="6" spans="1:11" ht="15">
      <c r="A6" s="14"/>
      <c r="B6" s="203" t="s">
        <v>530</v>
      </c>
      <c r="C6" s="203" t="s">
        <v>474</v>
      </c>
      <c r="D6" s="203" t="s">
        <v>475</v>
      </c>
      <c r="E6" s="203" t="s">
        <v>602</v>
      </c>
      <c r="F6" s="204" t="s">
        <v>531</v>
      </c>
      <c r="G6" s="205"/>
      <c r="H6" s="204">
        <f>K1-1</f>
        <v>2011</v>
      </c>
      <c r="I6" s="205"/>
      <c r="J6" s="204">
        <f>K1</f>
        <v>2012</v>
      </c>
      <c r="K6" s="205"/>
    </row>
    <row r="7" spans="1:11" ht="15">
      <c r="A7" s="206" t="s">
        <v>532</v>
      </c>
      <c r="B7" s="207" t="s">
        <v>533</v>
      </c>
      <c r="C7" s="207" t="s">
        <v>500</v>
      </c>
      <c r="D7" s="207" t="s">
        <v>534</v>
      </c>
      <c r="E7" s="208" t="str">
        <f>CONCATENATE("Jan 1,",K1-1,"")</f>
        <v>Jan 1,2011</v>
      </c>
      <c r="F7" s="209" t="s">
        <v>536</v>
      </c>
      <c r="G7" s="209" t="s">
        <v>537</v>
      </c>
      <c r="H7" s="209" t="s">
        <v>536</v>
      </c>
      <c r="I7" s="209" t="s">
        <v>537</v>
      </c>
      <c r="J7" s="209" t="s">
        <v>536</v>
      </c>
      <c r="K7" s="209" t="s">
        <v>537</v>
      </c>
    </row>
    <row r="8" spans="1:11" ht="15">
      <c r="A8" s="210" t="s">
        <v>523</v>
      </c>
      <c r="B8" s="211"/>
      <c r="C8" s="210"/>
      <c r="D8" s="210"/>
      <c r="E8" s="210"/>
      <c r="F8" s="212"/>
      <c r="G8" s="212"/>
      <c r="H8" s="210"/>
      <c r="I8" s="210"/>
      <c r="J8" s="210"/>
      <c r="K8" s="213"/>
    </row>
    <row r="9" spans="1:11" ht="15">
      <c r="A9" s="214"/>
      <c r="B9" s="430"/>
      <c r="C9" s="216"/>
      <c r="D9" s="35"/>
      <c r="E9" s="217"/>
      <c r="F9" s="218"/>
      <c r="G9" s="218"/>
      <c r="H9" s="217"/>
      <c r="I9" s="217"/>
      <c r="J9" s="217"/>
      <c r="K9" s="217"/>
    </row>
    <row r="10" spans="1:11" ht="15">
      <c r="A10" s="214"/>
      <c r="B10" s="430"/>
      <c r="C10" s="216"/>
      <c r="D10" s="35"/>
      <c r="E10" s="217"/>
      <c r="F10" s="218"/>
      <c r="G10" s="218"/>
      <c r="H10" s="217"/>
      <c r="I10" s="217"/>
      <c r="J10" s="217"/>
      <c r="K10" s="217"/>
    </row>
    <row r="11" spans="1:11" ht="15">
      <c r="A11" s="95" t="s">
        <v>636</v>
      </c>
      <c r="B11" s="219"/>
      <c r="C11" s="220"/>
      <c r="D11" s="33"/>
      <c r="E11" s="186">
        <f>SUM(E9:E10)</f>
        <v>0</v>
      </c>
      <c r="F11" s="221"/>
      <c r="G11" s="221"/>
      <c r="H11" s="186">
        <f>SUM(H9:H10)</f>
        <v>0</v>
      </c>
      <c r="I11" s="186">
        <f>SUM(I9:I10)</f>
        <v>0</v>
      </c>
      <c r="J11" s="186">
        <f>SUM(J9:J10)</f>
        <v>0</v>
      </c>
      <c r="K11" s="186">
        <f>SUM(K9:K10)</f>
        <v>0</v>
      </c>
    </row>
    <row r="12" spans="1:11" ht="15">
      <c r="A12" s="95" t="s">
        <v>492</v>
      </c>
      <c r="B12" s="219"/>
      <c r="C12" s="220"/>
      <c r="D12" s="33"/>
      <c r="E12" s="110"/>
      <c r="F12" s="221"/>
      <c r="G12" s="221"/>
      <c r="H12" s="110"/>
      <c r="I12" s="110"/>
      <c r="J12" s="110"/>
      <c r="K12" s="110"/>
    </row>
    <row r="13" spans="1:11" ht="15">
      <c r="A13" s="214"/>
      <c r="B13" s="430"/>
      <c r="C13" s="216"/>
      <c r="D13" s="35"/>
      <c r="E13" s="217"/>
      <c r="F13" s="218"/>
      <c r="G13" s="218"/>
      <c r="H13" s="217"/>
      <c r="I13" s="217"/>
      <c r="J13" s="217"/>
      <c r="K13" s="217"/>
    </row>
    <row r="14" spans="1:11" ht="15">
      <c r="A14" s="214"/>
      <c r="B14" s="430"/>
      <c r="C14" s="216"/>
      <c r="D14" s="35"/>
      <c r="E14" s="217"/>
      <c r="F14" s="218"/>
      <c r="G14" s="218"/>
      <c r="H14" s="217"/>
      <c r="I14" s="217"/>
      <c r="J14" s="217"/>
      <c r="K14" s="217"/>
    </row>
    <row r="15" spans="1:11" ht="15">
      <c r="A15" s="95" t="s">
        <v>637</v>
      </c>
      <c r="B15" s="219"/>
      <c r="C15" s="220"/>
      <c r="D15" s="33"/>
      <c r="E15" s="186">
        <f>SUM(E13:E14)</f>
        <v>0</v>
      </c>
      <c r="F15" s="221"/>
      <c r="G15" s="221"/>
      <c r="H15" s="186">
        <f>SUM(H13:H14)</f>
        <v>0</v>
      </c>
      <c r="I15" s="186">
        <f>SUM(I13:I14)</f>
        <v>0</v>
      </c>
      <c r="J15" s="186">
        <f>SUM(J13:J14)</f>
        <v>0</v>
      </c>
      <c r="K15" s="186">
        <f>SUM(K13:K14)</f>
        <v>0</v>
      </c>
    </row>
    <row r="16" spans="1:11" ht="15">
      <c r="A16" s="222" t="s">
        <v>555</v>
      </c>
      <c r="B16" s="223"/>
      <c r="C16" s="224"/>
      <c r="D16" s="225"/>
      <c r="E16" s="226">
        <f>SUM(E11+E15)</f>
        <v>0</v>
      </c>
      <c r="F16" s="223"/>
      <c r="G16" s="227"/>
      <c r="H16" s="226">
        <f>SUM(H11+H15)</f>
        <v>0</v>
      </c>
      <c r="I16" s="226">
        <f>SUM(I11+I15)</f>
        <v>0</v>
      </c>
      <c r="J16" s="226">
        <f>SUM(J11+J15)</f>
        <v>0</v>
      </c>
      <c r="K16" s="226">
        <f>SUM(K11+K15)</f>
        <v>0</v>
      </c>
    </row>
    <row r="17" spans="1:24" ht="15">
      <c r="A17" s="14"/>
      <c r="B17" s="14"/>
      <c r="C17" s="19"/>
      <c r="D17" s="19"/>
      <c r="E17" s="19"/>
      <c r="F17" s="19"/>
      <c r="G17" s="19"/>
      <c r="H17" s="19"/>
      <c r="I17" s="19"/>
      <c r="J17" s="19"/>
      <c r="K17" s="19"/>
      <c r="L17" s="103"/>
      <c r="M17" s="103"/>
      <c r="N17" s="103"/>
      <c r="O17" s="103"/>
      <c r="P17" s="103"/>
      <c r="Q17" s="103"/>
      <c r="R17" s="103"/>
      <c r="S17" s="103"/>
      <c r="T17" s="103"/>
      <c r="U17" s="103"/>
      <c r="V17" s="103"/>
      <c r="W17" s="103"/>
      <c r="X17" s="103"/>
    </row>
    <row r="18" spans="1:11" s="230" customFormat="1" ht="15">
      <c r="A18" s="198" t="s">
        <v>552</v>
      </c>
      <c r="B18" s="228"/>
      <c r="C18" s="228"/>
      <c r="D18" s="228"/>
      <c r="E18" s="172"/>
      <c r="F18" s="228"/>
      <c r="G18" s="228"/>
      <c r="H18" s="228"/>
      <c r="I18" s="228"/>
      <c r="J18" s="228"/>
      <c r="K18" s="229"/>
    </row>
    <row r="19" spans="1:11" s="230" customFormat="1" ht="15">
      <c r="A19" s="19"/>
      <c r="B19" s="231"/>
      <c r="C19" s="231"/>
      <c r="D19" s="231"/>
      <c r="E19" s="231"/>
      <c r="F19" s="231"/>
      <c r="G19" s="231"/>
      <c r="H19" s="231"/>
      <c r="I19" s="232"/>
      <c r="J19" s="232"/>
      <c r="K19" s="229"/>
    </row>
    <row r="20" spans="1:11" s="230" customFormat="1" ht="15">
      <c r="A20" s="182"/>
      <c r="B20" s="182"/>
      <c r="C20" s="200" t="s">
        <v>535</v>
      </c>
      <c r="D20" s="182"/>
      <c r="E20" s="200" t="s">
        <v>84</v>
      </c>
      <c r="F20" s="182"/>
      <c r="G20" s="182"/>
      <c r="H20" s="182"/>
      <c r="I20" s="233"/>
      <c r="J20" s="234"/>
      <c r="K20" s="229"/>
    </row>
    <row r="21" spans="1:11" s="230" customFormat="1" ht="15">
      <c r="A21" s="235"/>
      <c r="B21" s="203"/>
      <c r="C21" s="203" t="s">
        <v>530</v>
      </c>
      <c r="D21" s="203" t="s">
        <v>536</v>
      </c>
      <c r="E21" s="203" t="s">
        <v>475</v>
      </c>
      <c r="F21" s="203" t="s">
        <v>537</v>
      </c>
      <c r="G21" s="203" t="s">
        <v>538</v>
      </c>
      <c r="H21" s="203" t="s">
        <v>538</v>
      </c>
      <c r="I21" s="229"/>
      <c r="J21" s="229"/>
      <c r="K21" s="229"/>
    </row>
    <row r="22" spans="1:11" s="230" customFormat="1" ht="15">
      <c r="A22" s="235"/>
      <c r="B22" s="203" t="s">
        <v>539</v>
      </c>
      <c r="C22" s="203" t="s">
        <v>540</v>
      </c>
      <c r="D22" s="203" t="s">
        <v>474</v>
      </c>
      <c r="E22" s="203" t="s">
        <v>541</v>
      </c>
      <c r="F22" s="203" t="s">
        <v>586</v>
      </c>
      <c r="G22" s="203" t="s">
        <v>542</v>
      </c>
      <c r="H22" s="203" t="s">
        <v>542</v>
      </c>
      <c r="I22" s="229"/>
      <c r="J22" s="229"/>
      <c r="K22" s="229"/>
    </row>
    <row r="23" spans="1:11" s="230" customFormat="1" ht="15">
      <c r="A23" s="236" t="s">
        <v>543</v>
      </c>
      <c r="B23" s="207" t="s">
        <v>528</v>
      </c>
      <c r="C23" s="237" t="s">
        <v>544</v>
      </c>
      <c r="D23" s="207" t="s">
        <v>500</v>
      </c>
      <c r="E23" s="237" t="s">
        <v>603</v>
      </c>
      <c r="F23" s="208" t="str">
        <f>CONCATENATE("Jan 1,",K1-1,"")</f>
        <v>Jan 1,2011</v>
      </c>
      <c r="G23" s="207">
        <f>K1-1</f>
        <v>2011</v>
      </c>
      <c r="H23" s="207">
        <f>K1</f>
        <v>2012</v>
      </c>
      <c r="I23" s="229"/>
      <c r="J23" s="229"/>
      <c r="K23" s="229"/>
    </row>
    <row r="24" spans="1:11" s="230" customFormat="1" ht="15">
      <c r="A24" s="214"/>
      <c r="B24" s="215"/>
      <c r="C24" s="238"/>
      <c r="D24" s="216"/>
      <c r="E24" s="35"/>
      <c r="F24" s="35"/>
      <c r="G24" s="35"/>
      <c r="H24" s="35"/>
      <c r="I24" s="229"/>
      <c r="J24" s="229"/>
      <c r="K24" s="229"/>
    </row>
    <row r="25" spans="1:11" s="230" customFormat="1" ht="15">
      <c r="A25" s="214"/>
      <c r="B25" s="215"/>
      <c r="C25" s="238"/>
      <c r="D25" s="216"/>
      <c r="E25" s="35"/>
      <c r="F25" s="35"/>
      <c r="G25" s="35"/>
      <c r="H25" s="35"/>
      <c r="I25" s="229"/>
      <c r="J25" s="229"/>
      <c r="K25" s="229"/>
    </row>
    <row r="26" spans="1:11" s="230" customFormat="1" ht="15">
      <c r="A26" s="214"/>
      <c r="B26" s="215"/>
      <c r="C26" s="238"/>
      <c r="D26" s="216"/>
      <c r="E26" s="35"/>
      <c r="F26" s="35"/>
      <c r="G26" s="35"/>
      <c r="H26" s="35"/>
      <c r="I26" s="229"/>
      <c r="J26" s="229"/>
      <c r="K26" s="229"/>
    </row>
    <row r="27" spans="1:11" s="230" customFormat="1" ht="15">
      <c r="A27" s="214"/>
      <c r="B27" s="215"/>
      <c r="C27" s="238"/>
      <c r="D27" s="216"/>
      <c r="E27" s="35"/>
      <c r="F27" s="35"/>
      <c r="G27" s="35"/>
      <c r="H27" s="35"/>
      <c r="I27" s="229"/>
      <c r="J27" s="229"/>
      <c r="K27" s="229"/>
    </row>
    <row r="28" spans="1:11" s="230" customFormat="1" ht="15">
      <c r="A28" s="214"/>
      <c r="B28" s="215"/>
      <c r="C28" s="238"/>
      <c r="D28" s="216"/>
      <c r="E28" s="35"/>
      <c r="F28" s="35"/>
      <c r="G28" s="35"/>
      <c r="H28" s="35"/>
      <c r="I28" s="229"/>
      <c r="J28" s="229"/>
      <c r="K28" s="229"/>
    </row>
    <row r="29" spans="1:11" s="230" customFormat="1" ht="15">
      <c r="A29" s="214"/>
      <c r="B29" s="215"/>
      <c r="C29" s="238"/>
      <c r="D29" s="216"/>
      <c r="E29" s="35"/>
      <c r="F29" s="35"/>
      <c r="G29" s="35"/>
      <c r="H29" s="35"/>
      <c r="I29" s="229"/>
      <c r="J29" s="229"/>
      <c r="K29" s="229"/>
    </row>
    <row r="30" spans="1:11" s="230" customFormat="1" ht="15">
      <c r="A30" s="214"/>
      <c r="B30" s="215"/>
      <c r="C30" s="238"/>
      <c r="D30" s="216"/>
      <c r="E30" s="35"/>
      <c r="F30" s="35"/>
      <c r="G30" s="35"/>
      <c r="H30" s="35"/>
      <c r="I30" s="229"/>
      <c r="J30" s="229"/>
      <c r="K30" s="229"/>
    </row>
    <row r="31" spans="1:11" s="230" customFormat="1" ht="15">
      <c r="A31" s="214"/>
      <c r="B31" s="215"/>
      <c r="C31" s="238"/>
      <c r="D31" s="216"/>
      <c r="E31" s="35"/>
      <c r="F31" s="35"/>
      <c r="G31" s="35"/>
      <c r="H31" s="35"/>
      <c r="I31" s="229"/>
      <c r="J31" s="229"/>
      <c r="K31" s="229"/>
    </row>
    <row r="32" spans="1:11" s="230" customFormat="1" ht="15">
      <c r="A32" s="214"/>
      <c r="B32" s="215"/>
      <c r="C32" s="238"/>
      <c r="D32" s="216"/>
      <c r="E32" s="35"/>
      <c r="F32" s="35"/>
      <c r="G32" s="35"/>
      <c r="H32" s="35"/>
      <c r="I32" s="229"/>
      <c r="J32" s="229"/>
      <c r="K32" s="229"/>
    </row>
    <row r="33" spans="1:11" s="230" customFormat="1" ht="15">
      <c r="A33" s="214"/>
      <c r="B33" s="215"/>
      <c r="C33" s="238"/>
      <c r="D33" s="216"/>
      <c r="E33" s="35"/>
      <c r="F33" s="35"/>
      <c r="G33" s="35"/>
      <c r="H33" s="35"/>
      <c r="I33" s="229"/>
      <c r="J33" s="229"/>
      <c r="K33" s="229"/>
    </row>
    <row r="34" spans="1:11" s="230" customFormat="1" ht="15">
      <c r="A34" s="214"/>
      <c r="B34" s="215"/>
      <c r="C34" s="238"/>
      <c r="D34" s="216"/>
      <c r="E34" s="35"/>
      <c r="F34" s="35"/>
      <c r="G34" s="35"/>
      <c r="H34" s="35"/>
      <c r="I34" s="229"/>
      <c r="J34" s="229"/>
      <c r="K34" s="229"/>
    </row>
    <row r="35" spans="1:11" s="230" customFormat="1" ht="15">
      <c r="A35" s="214"/>
      <c r="B35" s="215"/>
      <c r="C35" s="238"/>
      <c r="D35" s="216"/>
      <c r="E35" s="35"/>
      <c r="F35" s="35"/>
      <c r="G35" s="35"/>
      <c r="H35" s="35"/>
      <c r="I35" s="229"/>
      <c r="J35" s="229"/>
      <c r="K35" s="229"/>
    </row>
    <row r="36" spans="1:11" ht="15">
      <c r="A36" s="222" t="s">
        <v>555</v>
      </c>
      <c r="B36" s="223"/>
      <c r="C36" s="224"/>
      <c r="D36" s="239"/>
      <c r="E36" s="227"/>
      <c r="F36" s="226">
        <f>SUM(F24:F35)</f>
        <v>0</v>
      </c>
      <c r="G36" s="226">
        <f>SUM(G24:G35)</f>
        <v>0</v>
      </c>
      <c r="H36" s="226">
        <f>SUM(H24:H35)</f>
        <v>0</v>
      </c>
      <c r="I36" s="196"/>
      <c r="J36" s="196"/>
      <c r="K36" s="240"/>
    </row>
    <row r="37" spans="1:11" ht="15">
      <c r="A37" s="196"/>
      <c r="B37" s="196"/>
      <c r="C37" s="196"/>
      <c r="D37" s="196"/>
      <c r="E37" s="196"/>
      <c r="F37" s="196"/>
      <c r="G37" s="196"/>
      <c r="H37" s="196"/>
      <c r="I37" s="196"/>
      <c r="J37" s="196"/>
      <c r="K37" s="196"/>
    </row>
    <row r="38" spans="1:11" ht="15">
      <c r="A38" s="241" t="s">
        <v>49</v>
      </c>
      <c r="B38" s="241"/>
      <c r="C38" s="241"/>
      <c r="D38" s="241"/>
      <c r="E38" s="241"/>
      <c r="F38" s="241"/>
      <c r="G38" s="241"/>
      <c r="H38" s="196"/>
      <c r="I38" s="196"/>
      <c r="J38" s="196"/>
      <c r="K38" s="196"/>
    </row>
    <row r="39" ht="15">
      <c r="A39" s="242"/>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31">
      <selection activeCell="G30" sqref="G30"/>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ODESSA TOWNSHIP</v>
      </c>
      <c r="B1" s="14"/>
      <c r="C1" s="14"/>
      <c r="D1" s="14"/>
      <c r="E1" s="14"/>
      <c r="F1" s="14"/>
      <c r="G1" s="15">
        <f>inputPrYr!D5</f>
        <v>2012</v>
      </c>
    </row>
    <row r="2" spans="1:7" ht="15">
      <c r="A2" s="17" t="s">
        <v>547</v>
      </c>
      <c r="B2" s="14"/>
      <c r="C2" s="14"/>
      <c r="D2" s="14"/>
      <c r="E2" s="14"/>
      <c r="F2" s="14"/>
      <c r="G2" s="18"/>
    </row>
    <row r="3" spans="1:7" ht="15">
      <c r="A3" s="14"/>
      <c r="B3" s="19"/>
      <c r="C3" s="20"/>
      <c r="D3" s="20"/>
      <c r="E3" s="20"/>
      <c r="F3" s="20"/>
      <c r="G3" s="21"/>
    </row>
    <row r="4" spans="1:7" ht="15">
      <c r="A4" s="22" t="s">
        <v>481</v>
      </c>
      <c r="B4" s="19"/>
      <c r="C4" s="489" t="s">
        <v>482</v>
      </c>
      <c r="D4" s="490"/>
      <c r="E4" s="493" t="s">
        <v>483</v>
      </c>
      <c r="F4" s="494"/>
      <c r="G4" s="23" t="s">
        <v>484</v>
      </c>
    </row>
    <row r="5" spans="1:7" ht="15">
      <c r="A5" s="24" t="str">
        <f>inputPrYr!B16</f>
        <v>General</v>
      </c>
      <c r="B5" s="25"/>
      <c r="C5" s="491" t="str">
        <f>CONCATENATE("Actual ",$G$1-2,"")</f>
        <v>Actual 2010</v>
      </c>
      <c r="D5" s="492"/>
      <c r="E5" s="491" t="str">
        <f>CONCATENATE("Estimate ",$G$1-1,"")</f>
        <v>Estimate 2011</v>
      </c>
      <c r="F5" s="492"/>
      <c r="G5" s="27" t="str">
        <f>CONCATENATE("Year ",$G$1,"")</f>
        <v>Year 2012</v>
      </c>
    </row>
    <row r="6" spans="1:7" ht="15">
      <c r="A6" s="28" t="s">
        <v>598</v>
      </c>
      <c r="B6" s="29"/>
      <c r="C6" s="476">
        <v>7978.54</v>
      </c>
      <c r="D6" s="477"/>
      <c r="E6" s="485">
        <f>C51</f>
        <v>8081.620000000001</v>
      </c>
      <c r="F6" s="486"/>
      <c r="G6" s="33">
        <f>E51</f>
        <v>7512.620000000001</v>
      </c>
    </row>
    <row r="7" spans="1:7" ht="15">
      <c r="A7" s="28" t="s">
        <v>600</v>
      </c>
      <c r="B7" s="29"/>
      <c r="C7" s="485"/>
      <c r="D7" s="486"/>
      <c r="E7" s="485"/>
      <c r="F7" s="486"/>
      <c r="G7" s="34"/>
    </row>
    <row r="8" spans="1:7" ht="15">
      <c r="A8" s="28" t="s">
        <v>487</v>
      </c>
      <c r="B8" s="29"/>
      <c r="C8" s="476">
        <f>543.35+7.94+218.12+29.5</f>
        <v>798.9100000000001</v>
      </c>
      <c r="D8" s="477"/>
      <c r="E8" s="485">
        <f>inputPrYr!E16</f>
        <v>800</v>
      </c>
      <c r="F8" s="486"/>
      <c r="G8" s="34" t="s">
        <v>98</v>
      </c>
    </row>
    <row r="9" spans="1:7" ht="15">
      <c r="A9" s="28" t="s">
        <v>488</v>
      </c>
      <c r="B9" s="29"/>
      <c r="C9" s="476">
        <v>1.44</v>
      </c>
      <c r="D9" s="477"/>
      <c r="E9" s="476">
        <v>39</v>
      </c>
      <c r="F9" s="477"/>
      <c r="G9" s="35"/>
    </row>
    <row r="10" spans="1:7" ht="15">
      <c r="A10" s="28" t="s">
        <v>489</v>
      </c>
      <c r="B10" s="29"/>
      <c r="C10" s="476">
        <f>14.88+7.15+1.06+8.93+0.79</f>
        <v>32.809999999999995</v>
      </c>
      <c r="D10" s="477"/>
      <c r="E10" s="476">
        <v>3</v>
      </c>
      <c r="F10" s="477"/>
      <c r="G10" s="33">
        <f>mvalloc!G11</f>
        <v>33.79</v>
      </c>
    </row>
    <row r="11" spans="1:7" ht="15">
      <c r="A11" s="28" t="s">
        <v>490</v>
      </c>
      <c r="B11" s="29"/>
      <c r="C11" s="476">
        <f>1.27+0.33+1.22</f>
        <v>2.8200000000000003</v>
      </c>
      <c r="D11" s="477"/>
      <c r="E11" s="476">
        <v>5</v>
      </c>
      <c r="F11" s="477"/>
      <c r="G11" s="33">
        <f>mvalloc!I11</f>
        <v>1.71</v>
      </c>
    </row>
    <row r="12" spans="1:7" ht="15">
      <c r="A12" s="36" t="s">
        <v>545</v>
      </c>
      <c r="B12" s="29"/>
      <c r="C12" s="476">
        <f>4.17+0.72+0.16</f>
        <v>5.05</v>
      </c>
      <c r="D12" s="477"/>
      <c r="E12" s="476"/>
      <c r="F12" s="477"/>
      <c r="G12" s="33">
        <f>mvalloc!J11</f>
        <v>4.86</v>
      </c>
    </row>
    <row r="13" spans="1:7" ht="15">
      <c r="A13" s="36" t="s">
        <v>643</v>
      </c>
      <c r="B13" s="29"/>
      <c r="C13" s="476"/>
      <c r="D13" s="477"/>
      <c r="E13" s="476"/>
      <c r="F13" s="477"/>
      <c r="G13" s="33" t="str">
        <f>inputOth!E34</f>
        <v> </v>
      </c>
    </row>
    <row r="14" spans="1:7" ht="15">
      <c r="A14" s="36" t="s">
        <v>644</v>
      </c>
      <c r="B14" s="29"/>
      <c r="C14" s="476"/>
      <c r="D14" s="477"/>
      <c r="E14" s="476"/>
      <c r="F14" s="477"/>
      <c r="G14" s="33">
        <f>mvalloc!K11</f>
        <v>0</v>
      </c>
    </row>
    <row r="15" spans="1:7" ht="15">
      <c r="A15" s="36"/>
      <c r="B15" s="29"/>
      <c r="C15" s="476"/>
      <c r="D15" s="477"/>
      <c r="E15" s="476"/>
      <c r="F15" s="477"/>
      <c r="G15" s="37"/>
    </row>
    <row r="16" spans="1:7" ht="15">
      <c r="A16" s="28" t="s">
        <v>491</v>
      </c>
      <c r="B16" s="29"/>
      <c r="C16" s="476">
        <f>192.7+21.3</f>
        <v>214</v>
      </c>
      <c r="D16" s="477"/>
      <c r="E16" s="476">
        <v>184</v>
      </c>
      <c r="F16" s="477"/>
      <c r="G16" s="33">
        <f>inputOth!E12</f>
        <v>127.95</v>
      </c>
    </row>
    <row r="17" spans="1:7" ht="15">
      <c r="A17" s="38"/>
      <c r="B17" s="39"/>
      <c r="C17" s="476"/>
      <c r="D17" s="477"/>
      <c r="E17" s="476"/>
      <c r="F17" s="477"/>
      <c r="G17" s="35"/>
    </row>
    <row r="18" spans="1:7" ht="15">
      <c r="A18" s="38"/>
      <c r="B18" s="39"/>
      <c r="C18" s="476"/>
      <c r="D18" s="477"/>
      <c r="E18" s="476"/>
      <c r="F18" s="477"/>
      <c r="G18" s="35"/>
    </row>
    <row r="19" spans="1:7" ht="15">
      <c r="A19" s="40"/>
      <c r="B19" s="39"/>
      <c r="C19" s="476"/>
      <c r="D19" s="477"/>
      <c r="E19" s="476"/>
      <c r="F19" s="477"/>
      <c r="G19" s="35"/>
    </row>
    <row r="20" spans="1:7" ht="15">
      <c r="A20" s="40"/>
      <c r="B20" s="39"/>
      <c r="C20" s="476"/>
      <c r="D20" s="477"/>
      <c r="E20" s="476"/>
      <c r="F20" s="477"/>
      <c r="G20" s="35"/>
    </row>
    <row r="21" spans="1:7" ht="15">
      <c r="A21" s="40"/>
      <c r="B21" s="39"/>
      <c r="C21" s="476"/>
      <c r="D21" s="477"/>
      <c r="E21" s="476"/>
      <c r="F21" s="477"/>
      <c r="G21" s="35"/>
    </row>
    <row r="22" spans="1:7" ht="15">
      <c r="A22" s="38"/>
      <c r="B22" s="39"/>
      <c r="C22" s="476"/>
      <c r="D22" s="477"/>
      <c r="E22" s="476"/>
      <c r="F22" s="477"/>
      <c r="G22" s="35"/>
    </row>
    <row r="23" spans="1:7" ht="15">
      <c r="A23" s="40" t="s">
        <v>493</v>
      </c>
      <c r="B23" s="39"/>
      <c r="C23" s="476">
        <f>2.6+2.63+2.66+2.66</f>
        <v>10.55</v>
      </c>
      <c r="D23" s="477"/>
      <c r="E23" s="476"/>
      <c r="F23" s="477"/>
      <c r="G23" s="35"/>
    </row>
    <row r="24" spans="1:7" ht="15">
      <c r="A24" s="41" t="s">
        <v>14</v>
      </c>
      <c r="B24" s="42"/>
      <c r="C24" s="476"/>
      <c r="D24" s="477"/>
      <c r="E24" s="476"/>
      <c r="F24" s="477"/>
      <c r="G24" s="31"/>
    </row>
    <row r="25" spans="1:7" ht="15">
      <c r="A25" s="41" t="s">
        <v>15</v>
      </c>
      <c r="B25" s="42"/>
      <c r="C25" s="469">
        <f>IF(C26*0.1&lt;C24,"Exceed 10% Rule","")</f>
      </c>
      <c r="D25" s="478"/>
      <c r="E25" s="469">
        <f>IF(E26*0.1&lt;E24,"Exceed 10% Rule","")</f>
      </c>
      <c r="F25" s="478"/>
      <c r="G25" s="43">
        <f>IF(G26*0.1+G56&lt;G24,"Exceed 10% Rule","")</f>
      </c>
    </row>
    <row r="26" spans="1:7" ht="15">
      <c r="A26" s="44" t="s">
        <v>494</v>
      </c>
      <c r="B26" s="29"/>
      <c r="C26" s="487">
        <f>SUM(C8:C24)</f>
        <v>1065.5800000000002</v>
      </c>
      <c r="D26" s="488"/>
      <c r="E26" s="487">
        <f>SUM(E8:E24)</f>
        <v>1031</v>
      </c>
      <c r="F26" s="488"/>
      <c r="G26" s="46">
        <f>SUM(G8:G24)</f>
        <v>168.31</v>
      </c>
    </row>
    <row r="27" spans="1:7" ht="15">
      <c r="A27" s="47" t="s">
        <v>495</v>
      </c>
      <c r="B27" s="29"/>
      <c r="C27" s="487">
        <f>C26+C6</f>
        <v>9044.12</v>
      </c>
      <c r="D27" s="488"/>
      <c r="E27" s="487">
        <f>E26+E6</f>
        <v>9112.62</v>
      </c>
      <c r="F27" s="488"/>
      <c r="G27" s="46">
        <f>G26+G6</f>
        <v>7680.930000000001</v>
      </c>
    </row>
    <row r="28" spans="1:7" ht="15">
      <c r="A28" s="28" t="s">
        <v>496</v>
      </c>
      <c r="B28" s="29"/>
      <c r="C28" s="485"/>
      <c r="D28" s="486"/>
      <c r="E28" s="485"/>
      <c r="F28" s="486"/>
      <c r="G28" s="33"/>
    </row>
    <row r="29" spans="1:7" ht="15">
      <c r="A29" s="38" t="s">
        <v>302</v>
      </c>
      <c r="B29" s="39"/>
      <c r="C29" s="476">
        <f>25+52.5</f>
        <v>77.5</v>
      </c>
      <c r="D29" s="477"/>
      <c r="E29" s="476">
        <v>850</v>
      </c>
      <c r="F29" s="477"/>
      <c r="G29" s="35">
        <v>7481</v>
      </c>
    </row>
    <row r="30" spans="1:7" ht="15">
      <c r="A30" s="40" t="s">
        <v>581</v>
      </c>
      <c r="B30" s="39"/>
      <c r="C30" s="476">
        <f>20+20+20+25+25+25</f>
        <v>135</v>
      </c>
      <c r="D30" s="477"/>
      <c r="E30" s="476"/>
      <c r="F30" s="477"/>
      <c r="G30" s="35"/>
    </row>
    <row r="31" spans="1:7" ht="15">
      <c r="A31" s="40" t="s">
        <v>606</v>
      </c>
      <c r="B31" s="39"/>
      <c r="C31" s="476"/>
      <c r="D31" s="477"/>
      <c r="E31" s="476"/>
      <c r="F31" s="477"/>
      <c r="G31" s="35"/>
    </row>
    <row r="32" spans="1:7" ht="15">
      <c r="A32" s="40" t="s">
        <v>582</v>
      </c>
      <c r="B32" s="39"/>
      <c r="C32" s="476"/>
      <c r="D32" s="477"/>
      <c r="E32" s="476"/>
      <c r="F32" s="477"/>
      <c r="G32" s="35"/>
    </row>
    <row r="33" spans="1:7" ht="15">
      <c r="A33" s="40" t="s">
        <v>507</v>
      </c>
      <c r="B33" s="39"/>
      <c r="C33" s="476"/>
      <c r="D33" s="477"/>
      <c r="E33" s="476"/>
      <c r="F33" s="477"/>
      <c r="G33" s="35"/>
    </row>
    <row r="34" spans="1:7" ht="15">
      <c r="A34" s="38" t="s">
        <v>583</v>
      </c>
      <c r="B34" s="39"/>
      <c r="C34" s="476"/>
      <c r="D34" s="477"/>
      <c r="E34" s="476"/>
      <c r="F34" s="477"/>
      <c r="G34" s="35"/>
    </row>
    <row r="35" spans="1:7" ht="15">
      <c r="A35" s="38" t="s">
        <v>607</v>
      </c>
      <c r="B35" s="39"/>
      <c r="C35" s="476"/>
      <c r="D35" s="477"/>
      <c r="E35" s="476"/>
      <c r="F35" s="477"/>
      <c r="G35" s="35"/>
    </row>
    <row r="36" spans="1:7" ht="15">
      <c r="A36" s="40" t="s">
        <v>609</v>
      </c>
      <c r="B36" s="39"/>
      <c r="C36" s="476"/>
      <c r="D36" s="477"/>
      <c r="E36" s="476"/>
      <c r="F36" s="477"/>
      <c r="G36" s="35"/>
    </row>
    <row r="37" spans="1:7" ht="15">
      <c r="A37" s="40" t="s">
        <v>303</v>
      </c>
      <c r="B37" s="39"/>
      <c r="C37" s="476">
        <f>350+400</f>
        <v>750</v>
      </c>
      <c r="D37" s="477"/>
      <c r="E37" s="476">
        <v>750</v>
      </c>
      <c r="F37" s="477"/>
      <c r="G37" s="35">
        <v>1000</v>
      </c>
    </row>
    <row r="38" spans="1:7" ht="15">
      <c r="A38" s="38" t="s">
        <v>304</v>
      </c>
      <c r="B38" s="39"/>
      <c r="C38" s="476"/>
      <c r="D38" s="477"/>
      <c r="E38" s="476"/>
      <c r="F38" s="477"/>
      <c r="G38" s="35"/>
    </row>
    <row r="39" spans="1:7" ht="15">
      <c r="A39" s="40"/>
      <c r="B39" s="39"/>
      <c r="C39" s="476"/>
      <c r="D39" s="477"/>
      <c r="E39" s="476"/>
      <c r="F39" s="477"/>
      <c r="G39" s="35"/>
    </row>
    <row r="40" spans="1:7" ht="15">
      <c r="A40" s="40" t="s">
        <v>691</v>
      </c>
      <c r="B40" s="39"/>
      <c r="C40" s="476" t="s">
        <v>86</v>
      </c>
      <c r="D40" s="477"/>
      <c r="E40" s="476"/>
      <c r="F40" s="477"/>
      <c r="G40" s="35"/>
    </row>
    <row r="41" spans="1:7" ht="15">
      <c r="A41" s="38"/>
      <c r="B41" s="39"/>
      <c r="C41" s="476"/>
      <c r="D41" s="477"/>
      <c r="E41" s="476"/>
      <c r="F41" s="477"/>
      <c r="G41" s="35"/>
    </row>
    <row r="42" spans="1:7" ht="15">
      <c r="A42" s="40"/>
      <c r="B42" s="39"/>
      <c r="C42" s="476"/>
      <c r="D42" s="477"/>
      <c r="E42" s="476"/>
      <c r="F42" s="477"/>
      <c r="G42" s="35"/>
    </row>
    <row r="43" spans="1:7" ht="15">
      <c r="A43" s="36" t="s">
        <v>76</v>
      </c>
      <c r="B43" s="48"/>
      <c r="C43" s="476"/>
      <c r="D43" s="502"/>
      <c r="E43" s="476"/>
      <c r="F43" s="477"/>
      <c r="G43" s="35"/>
    </row>
    <row r="44" spans="1:7" ht="15">
      <c r="A44" s="36" t="s">
        <v>72</v>
      </c>
      <c r="B44" s="48"/>
      <c r="C44" s="495">
        <f>IF(AND($C$43&gt;0,$C$8&gt;0),"Not Authorized","")</f>
      </c>
      <c r="D44" s="497"/>
      <c r="E44" s="495">
        <f>IF(AND($E$43&gt;0,$E$8&gt;0),"Not Authorized","")</f>
      </c>
      <c r="F44" s="496"/>
      <c r="G44" s="49">
        <f>IF(AND(cert!E20&gt;0,$G$43&gt;0),"Not Authorized","")</f>
      </c>
    </row>
    <row r="45" spans="1:7" ht="15">
      <c r="A45" s="28" t="s">
        <v>77</v>
      </c>
      <c r="B45" s="48"/>
      <c r="C45" s="476"/>
      <c r="D45" s="477"/>
      <c r="E45" s="476"/>
      <c r="F45" s="477"/>
      <c r="G45" s="35"/>
    </row>
    <row r="46" spans="1:8" ht="15">
      <c r="A46" s="28" t="s">
        <v>55</v>
      </c>
      <c r="B46" s="48"/>
      <c r="C46" s="469">
        <f>IF(C27*0.25&lt;C45,"Exceeds 25%","")</f>
      </c>
      <c r="D46" s="470" t="str">
        <f>IF(E28*0.25&lt;E46,"Exceeds 25%","")</f>
        <v>Exceeds 25%</v>
      </c>
      <c r="E46" s="469">
        <f>IF(E27*0.25&lt;E45,"Exceeds 25%","")</f>
      </c>
      <c r="F46" s="471" t="str">
        <f>IF(G28*0.25&lt;G46,"Exceeds 25%","")</f>
        <v>Exceeds 25%</v>
      </c>
      <c r="G46" s="50">
        <f>IF(G27*0.25+G56&lt;G45,"Exceeds 25%","")</f>
      </c>
      <c r="H46" s="16">
        <f>IF(I28*0.25&lt;I46,"Exceeds 25%","")</f>
      </c>
    </row>
    <row r="47" spans="1:7" ht="15">
      <c r="A47" s="36" t="s">
        <v>17</v>
      </c>
      <c r="B47" s="42"/>
      <c r="C47" s="476"/>
      <c r="D47" s="477"/>
      <c r="E47" s="476"/>
      <c r="F47" s="477"/>
      <c r="G47" s="51">
        <f>nhood!E6</f>
      </c>
    </row>
    <row r="48" spans="1:7" ht="15">
      <c r="A48" s="36" t="s">
        <v>14</v>
      </c>
      <c r="B48" s="42"/>
      <c r="C48" s="476"/>
      <c r="D48" s="477"/>
      <c r="E48" s="476"/>
      <c r="F48" s="477"/>
      <c r="G48" s="31"/>
    </row>
    <row r="49" spans="1:7" ht="15">
      <c r="A49" s="36" t="s">
        <v>16</v>
      </c>
      <c r="B49" s="42"/>
      <c r="C49" s="469">
        <f>IF(C50*0.1&lt;C48,"Exceed 10% Rule","")</f>
      </c>
      <c r="D49" s="478"/>
      <c r="E49" s="469">
        <f>IF(E50*0.1&lt;E48,"Exceed 10% Rule","")</f>
      </c>
      <c r="F49" s="478"/>
      <c r="G49" s="43">
        <f>IF(G50*0.1&lt;G48,"Exceed 10% Rule","")</f>
      </c>
    </row>
    <row r="50" spans="1:7" ht="15">
      <c r="A50" s="47" t="s">
        <v>497</v>
      </c>
      <c r="B50" s="29"/>
      <c r="C50" s="498">
        <f>SUM(C29:C48)</f>
        <v>962.5</v>
      </c>
      <c r="D50" s="499"/>
      <c r="E50" s="498">
        <f>SUM(E29:E48)</f>
        <v>1600</v>
      </c>
      <c r="F50" s="499"/>
      <c r="G50" s="52">
        <f>SUM(G29:G43,G45,G47:G48)</f>
        <v>8481</v>
      </c>
    </row>
    <row r="51" spans="1:7" ht="15">
      <c r="A51" s="28" t="s">
        <v>599</v>
      </c>
      <c r="B51" s="29"/>
      <c r="C51" s="500">
        <f>C27-C50</f>
        <v>8081.620000000001</v>
      </c>
      <c r="D51" s="501"/>
      <c r="E51" s="500">
        <f>SUM(E27-E50)</f>
        <v>7512.620000000001</v>
      </c>
      <c r="F51" s="501"/>
      <c r="G51" s="34" t="s">
        <v>98</v>
      </c>
    </row>
    <row r="52" spans="1:8" ht="15.75">
      <c r="A52" s="54" t="str">
        <f>CONCATENATE("",G1-2,"/",G1-1," Budget Authority Amount:")</f>
        <v>2010/2011 Budget Authority Amount:</v>
      </c>
      <c r="B52" s="55">
        <f>inputOth!B46</f>
        <v>8503</v>
      </c>
      <c r="C52" s="56">
        <f>inputPrYr!D16</f>
        <v>8474</v>
      </c>
      <c r="D52" s="479" t="s">
        <v>50</v>
      </c>
      <c r="E52" s="480"/>
      <c r="F52" s="481"/>
      <c r="G52" s="35"/>
      <c r="H52" s="57">
        <f>IF(G50/0.95-G50&lt;G52,"Exceeds 5%","")</f>
      </c>
    </row>
    <row r="53" spans="1:7" ht="15">
      <c r="A53" s="54"/>
      <c r="B53" s="58">
        <f>IF(C50&gt;B52,"See Tab A","")</f>
      </c>
      <c r="C53" s="58">
        <f>IF(E50&gt;C52,"See Tab C","")</f>
      </c>
      <c r="D53" s="14"/>
      <c r="E53" s="472" t="s">
        <v>51</v>
      </c>
      <c r="F53" s="473"/>
      <c r="G53" s="33">
        <f>G50+G52</f>
        <v>8481</v>
      </c>
    </row>
    <row r="54" spans="1:7" ht="15">
      <c r="A54" s="54"/>
      <c r="B54" s="58">
        <f>IF(C51&lt;0,"See Tab B","")</f>
      </c>
      <c r="C54" s="69">
        <f>IF(E51&lt;0,"See Tab D","")</f>
      </c>
      <c r="D54" s="14"/>
      <c r="E54" s="472" t="s">
        <v>499</v>
      </c>
      <c r="F54" s="473"/>
      <c r="G54" s="51">
        <f>IF(G53-G27&gt;0,G53-G27,0)</f>
        <v>800.0699999999988</v>
      </c>
    </row>
    <row r="55" spans="1:7" ht="15.75">
      <c r="A55" s="59"/>
      <c r="B55" s="59"/>
      <c r="C55" s="59"/>
      <c r="D55" s="474" t="s">
        <v>52</v>
      </c>
      <c r="E55" s="475"/>
      <c r="F55" s="60">
        <f>inputOth!$E$40</f>
        <v>0</v>
      </c>
      <c r="G55" s="33">
        <f>ROUND(IF(F55&gt;0,(G54*F55),0),0)</f>
        <v>0</v>
      </c>
    </row>
    <row r="56" spans="1:7" ht="15">
      <c r="A56" s="14"/>
      <c r="B56" s="14"/>
      <c r="C56" s="482" t="str">
        <f>CONCATENATE("Amount of  ",$G$1-1," Ad Valorem Tax")</f>
        <v>Amount of  2011 Ad Valorem Tax</v>
      </c>
      <c r="D56" s="483"/>
      <c r="E56" s="483"/>
      <c r="F56" s="484"/>
      <c r="G56" s="51">
        <f>G54+G55</f>
        <v>800.0699999999988</v>
      </c>
    </row>
    <row r="57" spans="1:7" ht="15">
      <c r="A57" s="14"/>
      <c r="B57" s="14"/>
      <c r="C57" s="14"/>
      <c r="D57" s="14"/>
      <c r="E57" s="14"/>
      <c r="F57" s="14"/>
      <c r="G57" s="14"/>
    </row>
    <row r="58" spans="1:7" s="62" customFormat="1" ht="15">
      <c r="A58" s="19"/>
      <c r="B58" s="19"/>
      <c r="C58" s="19"/>
      <c r="D58" s="19"/>
      <c r="E58" s="61"/>
      <c r="F58" s="61"/>
      <c r="G58" s="19"/>
    </row>
    <row r="59" spans="1:7" s="64" customFormat="1" ht="15">
      <c r="A59" s="14"/>
      <c r="B59" s="14"/>
      <c r="C59" s="14"/>
      <c r="D59" s="14"/>
      <c r="E59" s="63"/>
      <c r="F59" s="63"/>
      <c r="G59" s="14"/>
    </row>
    <row r="60" spans="1:7" ht="15">
      <c r="A60" s="59" t="s">
        <v>480</v>
      </c>
      <c r="B60" s="65">
        <v>6</v>
      </c>
      <c r="C60" s="14"/>
      <c r="D60" s="14"/>
      <c r="E60" s="14"/>
      <c r="F60" s="14"/>
      <c r="G60" s="63"/>
    </row>
    <row r="62" ht="15">
      <c r="A62" s="12"/>
    </row>
    <row r="65" ht="15">
      <c r="G65" s="66"/>
    </row>
    <row r="67" ht="15">
      <c r="G67" s="66"/>
    </row>
    <row r="69" ht="15">
      <c r="C69" s="67"/>
    </row>
    <row r="70" spans="3:7" ht="15">
      <c r="C70" s="66"/>
      <c r="G70" s="66"/>
    </row>
  </sheetData>
  <sheetProtection sheet="1"/>
  <mergeCells count="101">
    <mergeCell ref="C35:D35"/>
    <mergeCell ref="C36:D36"/>
    <mergeCell ref="E53:F53"/>
    <mergeCell ref="C50:D50"/>
    <mergeCell ref="C51:D51"/>
    <mergeCell ref="E50:F50"/>
    <mergeCell ref="E51:F51"/>
    <mergeCell ref="C42:D42"/>
    <mergeCell ref="C43:D43"/>
    <mergeCell ref="C45:D45"/>
    <mergeCell ref="C29:D29"/>
    <mergeCell ref="C30:D30"/>
    <mergeCell ref="C31:D31"/>
    <mergeCell ref="C32:D32"/>
    <mergeCell ref="C44:D44"/>
    <mergeCell ref="C33:D33"/>
    <mergeCell ref="C34:D34"/>
    <mergeCell ref="C37:D37"/>
    <mergeCell ref="C38:D38"/>
    <mergeCell ref="C39:D39"/>
    <mergeCell ref="C40:D40"/>
    <mergeCell ref="C41:D41"/>
    <mergeCell ref="E38:F38"/>
    <mergeCell ref="E39:F39"/>
    <mergeCell ref="E40:F40"/>
    <mergeCell ref="E41:F41"/>
    <mergeCell ref="E29:F29"/>
    <mergeCell ref="E30:F30"/>
    <mergeCell ref="E31:F31"/>
    <mergeCell ref="E32:F32"/>
    <mergeCell ref="E33:F33"/>
    <mergeCell ref="E34:F34"/>
    <mergeCell ref="E45:F45"/>
    <mergeCell ref="E47:F47"/>
    <mergeCell ref="E44:F44"/>
    <mergeCell ref="E35:F35"/>
    <mergeCell ref="E36:F36"/>
    <mergeCell ref="E37:F37"/>
    <mergeCell ref="E42:F42"/>
    <mergeCell ref="E43:F43"/>
    <mergeCell ref="C8:D8"/>
    <mergeCell ref="C9:D9"/>
    <mergeCell ref="C10:D10"/>
    <mergeCell ref="C11:D11"/>
    <mergeCell ref="C12:D12"/>
    <mergeCell ref="C13:D13"/>
    <mergeCell ref="C14:D14"/>
    <mergeCell ref="C19:D19"/>
    <mergeCell ref="E17:F17"/>
    <mergeCell ref="C20:D20"/>
    <mergeCell ref="C21:D21"/>
    <mergeCell ref="C15:D15"/>
    <mergeCell ref="C16:D16"/>
    <mergeCell ref="C17:D17"/>
    <mergeCell ref="C18:D18"/>
    <mergeCell ref="E13:F13"/>
    <mergeCell ref="E14:F14"/>
    <mergeCell ref="E15:F15"/>
    <mergeCell ref="E16:F16"/>
    <mergeCell ref="C22:D22"/>
    <mergeCell ref="E18:F18"/>
    <mergeCell ref="E19:F19"/>
    <mergeCell ref="E20:F20"/>
    <mergeCell ref="E21:F21"/>
    <mergeCell ref="E22:F22"/>
    <mergeCell ref="E23:F23"/>
    <mergeCell ref="E24:F24"/>
    <mergeCell ref="E25:F25"/>
    <mergeCell ref="C6:D6"/>
    <mergeCell ref="C24:D24"/>
    <mergeCell ref="C23:D23"/>
    <mergeCell ref="E9:F9"/>
    <mergeCell ref="E10:F10"/>
    <mergeCell ref="E11:F11"/>
    <mergeCell ref="E12:F12"/>
    <mergeCell ref="C4:D4"/>
    <mergeCell ref="C5:D5"/>
    <mergeCell ref="E7:F7"/>
    <mergeCell ref="E6:F6"/>
    <mergeCell ref="E4:F4"/>
    <mergeCell ref="E5:F5"/>
    <mergeCell ref="C56:F56"/>
    <mergeCell ref="C7:D7"/>
    <mergeCell ref="E26:F26"/>
    <mergeCell ref="E27:F27"/>
    <mergeCell ref="E28:F28"/>
    <mergeCell ref="E8:F8"/>
    <mergeCell ref="C25:D25"/>
    <mergeCell ref="C26:D26"/>
    <mergeCell ref="C27:D27"/>
    <mergeCell ref="C28:D28"/>
    <mergeCell ref="C46:D46"/>
    <mergeCell ref="E46:F46"/>
    <mergeCell ref="E54:F54"/>
    <mergeCell ref="D55:E55"/>
    <mergeCell ref="C47:D47"/>
    <mergeCell ref="C48:D48"/>
    <mergeCell ref="C49:D49"/>
    <mergeCell ref="E48:F48"/>
    <mergeCell ref="E49:F49"/>
    <mergeCell ref="D52:F52"/>
  </mergeCells>
  <conditionalFormatting sqref="G52">
    <cfRule type="cellIs" priority="4" dxfId="127" operator="greaterThan" stopIfTrue="1">
      <formula>$G$50/0.95-$G$50</formula>
    </cfRule>
  </conditionalFormatting>
  <conditionalFormatting sqref="C48:D48">
    <cfRule type="cellIs" priority="5" dxfId="127" operator="greaterThan" stopIfTrue="1">
      <formula>$C$50*0.1</formula>
    </cfRule>
  </conditionalFormatting>
  <conditionalFormatting sqref="E48:F48">
    <cfRule type="cellIs" priority="6" dxfId="127" operator="greaterThan" stopIfTrue="1">
      <formula>$E$50*0.1</formula>
    </cfRule>
  </conditionalFormatting>
  <conditionalFormatting sqref="G48">
    <cfRule type="cellIs" priority="7" dxfId="127" operator="greaterThan" stopIfTrue="1">
      <formula>$G$50*0.1</formula>
    </cfRule>
  </conditionalFormatting>
  <conditionalFormatting sqref="C51:D51">
    <cfRule type="cellIs" priority="9" dxfId="2" operator="lessThan" stopIfTrue="1">
      <formula>0</formula>
    </cfRule>
  </conditionalFormatting>
  <conditionalFormatting sqref="E50:F50">
    <cfRule type="cellIs" priority="10" dxfId="2" operator="greaterThan" stopIfTrue="1">
      <formula>$C$52</formula>
    </cfRule>
  </conditionalFormatting>
  <conditionalFormatting sqref="C45:D45">
    <cfRule type="cellIs" priority="11" dxfId="127" operator="greaterThan" stopIfTrue="1">
      <formula>$C$27*0.25</formula>
    </cfRule>
  </conditionalFormatting>
  <conditionalFormatting sqref="C24:D24">
    <cfRule type="cellIs" priority="12" dxfId="127" operator="greaterThan" stopIfTrue="1">
      <formula>$C$26*0.1</formula>
    </cfRule>
  </conditionalFormatting>
  <conditionalFormatting sqref="E24:F24">
    <cfRule type="cellIs" priority="13" dxfId="127" operator="greaterThan" stopIfTrue="1">
      <formula>$E$26*0.1</formula>
    </cfRule>
  </conditionalFormatting>
  <conditionalFormatting sqref="G24">
    <cfRule type="cellIs" priority="14" dxfId="127" operator="greaterThan" stopIfTrue="1">
      <formula>$G$26*0.1+$G$56</formula>
    </cfRule>
  </conditionalFormatting>
  <conditionalFormatting sqref="C42:D42">
    <cfRule type="expression" priority="15" dxfId="2" stopIfTrue="1">
      <formula>"Mike"</formula>
    </cfRule>
  </conditionalFormatting>
  <conditionalFormatting sqref="E45:F45">
    <cfRule type="cellIs" priority="16" dxfId="127" operator="greaterThan" stopIfTrue="1">
      <formula>$E$27*0.25</formula>
    </cfRule>
  </conditionalFormatting>
  <conditionalFormatting sqref="G45">
    <cfRule type="cellIs" priority="17" dxfId="127" operator="greaterThan" stopIfTrue="1">
      <formula>$G$27*0.25+$G$56</formula>
    </cfRule>
  </conditionalFormatting>
  <conditionalFormatting sqref="C43:D43">
    <cfRule type="expression" priority="18" dxfId="127" stopIfTrue="1">
      <formula>$C$8&gt;0</formula>
    </cfRule>
  </conditionalFormatting>
  <conditionalFormatting sqref="G43">
    <cfRule type="expression" priority="19" dxfId="2" stopIfTrue="1">
      <formula>$G$56&gt;0</formula>
    </cfRule>
  </conditionalFormatting>
  <conditionalFormatting sqref="E43:F43">
    <cfRule type="expression" priority="20" dxfId="2" stopIfTrue="1">
      <formula>$E$8&gt;0</formula>
    </cfRule>
  </conditionalFormatting>
  <conditionalFormatting sqref="C50:D50">
    <cfRule type="cellIs" priority="2" dxfId="2"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4.19921875" style="16" customWidth="1"/>
    <col min="8" max="16384" width="8.796875" style="16" customWidth="1"/>
  </cols>
  <sheetData>
    <row r="1" spans="1:7" ht="15">
      <c r="A1" s="13" t="str">
        <f>inputPrYr!D2</f>
        <v>ODESSA TOWNSHIP</v>
      </c>
      <c r="B1" s="13"/>
      <c r="C1" s="14"/>
      <c r="D1" s="14"/>
      <c r="E1" s="14"/>
      <c r="F1" s="14"/>
      <c r="G1" s="70">
        <f>inputPrYr!$D$5</f>
        <v>2012</v>
      </c>
    </row>
    <row r="2" spans="1:7" ht="15">
      <c r="A2" s="14"/>
      <c r="B2" s="14"/>
      <c r="C2" s="14"/>
      <c r="D2" s="14"/>
      <c r="E2" s="14"/>
      <c r="F2" s="14"/>
      <c r="G2" s="59"/>
    </row>
    <row r="3" spans="1:7" ht="15">
      <c r="A3" s="17" t="s">
        <v>12</v>
      </c>
      <c r="B3" s="17"/>
      <c r="C3" s="71"/>
      <c r="D3" s="71"/>
      <c r="E3" s="71"/>
      <c r="F3" s="71"/>
      <c r="G3" s="72"/>
    </row>
    <row r="4" spans="1:7" ht="15">
      <c r="A4" s="14"/>
      <c r="B4" s="14"/>
      <c r="C4" s="73"/>
      <c r="D4" s="73"/>
      <c r="E4" s="73"/>
      <c r="F4" s="73"/>
      <c r="G4" s="73"/>
    </row>
    <row r="5" spans="1:7" ht="15">
      <c r="A5" s="22" t="s">
        <v>481</v>
      </c>
      <c r="B5" s="22"/>
      <c r="C5" s="489" t="s">
        <v>482</v>
      </c>
      <c r="D5" s="490"/>
      <c r="E5" s="493" t="s">
        <v>483</v>
      </c>
      <c r="F5" s="494"/>
      <c r="G5" s="23" t="s">
        <v>484</v>
      </c>
    </row>
    <row r="6" spans="1:7" ht="15">
      <c r="A6" s="24" t="s">
        <v>108</v>
      </c>
      <c r="B6" s="24"/>
      <c r="C6" s="491" t="str">
        <f>CONCATENATE("Actual ",$G$1-2,"")</f>
        <v>Actual 2010</v>
      </c>
      <c r="D6" s="492"/>
      <c r="E6" s="491" t="str">
        <f>CONCATENATE("Estimate ",$G$1-1,"")</f>
        <v>Estimate 2011</v>
      </c>
      <c r="F6" s="492"/>
      <c r="G6" s="27" t="str">
        <f>CONCATENATE("Year ",$G$1,"")</f>
        <v>Year 2012</v>
      </c>
    </row>
    <row r="7" spans="1:7" ht="15">
      <c r="A7" s="28" t="s">
        <v>625</v>
      </c>
      <c r="B7" s="42"/>
      <c r="C7" s="507"/>
      <c r="D7" s="508"/>
      <c r="E7" s="512">
        <f>C54</f>
        <v>0</v>
      </c>
      <c r="F7" s="513"/>
      <c r="G7" s="75">
        <f>E54</f>
        <v>0</v>
      </c>
    </row>
    <row r="8" spans="1:7" ht="15">
      <c r="A8" s="28" t="s">
        <v>600</v>
      </c>
      <c r="B8" s="42"/>
      <c r="C8" s="510"/>
      <c r="D8" s="511"/>
      <c r="E8" s="512"/>
      <c r="F8" s="513"/>
      <c r="G8" s="75"/>
    </row>
    <row r="9" spans="1:7" ht="15">
      <c r="A9" s="28" t="s">
        <v>487</v>
      </c>
      <c r="B9" s="42"/>
      <c r="C9" s="476"/>
      <c r="D9" s="477"/>
      <c r="E9" s="510">
        <f>inputPrYr!E17</f>
        <v>0</v>
      </c>
      <c r="F9" s="511"/>
      <c r="G9" s="34" t="s">
        <v>98</v>
      </c>
    </row>
    <row r="10" spans="1:7" ht="15">
      <c r="A10" s="28" t="s">
        <v>488</v>
      </c>
      <c r="B10" s="42"/>
      <c r="C10" s="476"/>
      <c r="D10" s="477"/>
      <c r="E10" s="476"/>
      <c r="F10" s="477"/>
      <c r="G10" s="76"/>
    </row>
    <row r="11" spans="1:7" ht="15">
      <c r="A11" s="28" t="s">
        <v>489</v>
      </c>
      <c r="B11" s="42"/>
      <c r="C11" s="476"/>
      <c r="D11" s="477"/>
      <c r="E11" s="476"/>
      <c r="F11" s="477"/>
      <c r="G11" s="77">
        <f>mvalloc!G12</f>
        <v>0</v>
      </c>
    </row>
    <row r="12" spans="1:7" ht="15">
      <c r="A12" s="28" t="s">
        <v>490</v>
      </c>
      <c r="B12" s="42"/>
      <c r="C12" s="476"/>
      <c r="D12" s="477"/>
      <c r="E12" s="476"/>
      <c r="F12" s="477"/>
      <c r="G12" s="77">
        <f>mvalloc!I12</f>
        <v>0</v>
      </c>
    </row>
    <row r="13" spans="1:7" ht="15">
      <c r="A13" s="78" t="s">
        <v>579</v>
      </c>
      <c r="B13" s="42"/>
      <c r="C13" s="476"/>
      <c r="D13" s="477"/>
      <c r="E13" s="476"/>
      <c r="F13" s="477"/>
      <c r="G13" s="77">
        <f>mvalloc!J12</f>
        <v>0</v>
      </c>
    </row>
    <row r="14" spans="1:7" ht="15">
      <c r="A14" s="78" t="s">
        <v>644</v>
      </c>
      <c r="B14" s="42"/>
      <c r="C14" s="476"/>
      <c r="D14" s="477"/>
      <c r="E14" s="476"/>
      <c r="F14" s="477"/>
      <c r="G14" s="77">
        <f>mvalloc!K12</f>
        <v>0</v>
      </c>
    </row>
    <row r="15" spans="1:7" ht="15">
      <c r="A15" s="78"/>
      <c r="B15" s="42"/>
      <c r="C15" s="476"/>
      <c r="D15" s="477"/>
      <c r="E15" s="476"/>
      <c r="F15" s="477"/>
      <c r="G15" s="77"/>
    </row>
    <row r="16" spans="1:7" ht="15">
      <c r="A16" s="79"/>
      <c r="B16" s="80"/>
      <c r="C16" s="476"/>
      <c r="D16" s="477"/>
      <c r="E16" s="476"/>
      <c r="F16" s="477"/>
      <c r="G16" s="76"/>
    </row>
    <row r="17" spans="1:7" ht="15">
      <c r="A17" s="79"/>
      <c r="B17" s="80"/>
      <c r="C17" s="476"/>
      <c r="D17" s="477"/>
      <c r="E17" s="476"/>
      <c r="F17" s="477"/>
      <c r="G17" s="81"/>
    </row>
    <row r="18" spans="1:7" ht="15">
      <c r="A18" s="79"/>
      <c r="B18" s="80"/>
      <c r="C18" s="476"/>
      <c r="D18" s="477"/>
      <c r="E18" s="476"/>
      <c r="F18" s="477"/>
      <c r="G18" s="76"/>
    </row>
    <row r="19" spans="1:7" ht="15">
      <c r="A19" s="79"/>
      <c r="B19" s="80"/>
      <c r="C19" s="476"/>
      <c r="D19" s="477"/>
      <c r="E19" s="476"/>
      <c r="F19" s="477"/>
      <c r="G19" s="76"/>
    </row>
    <row r="20" spans="1:7" ht="15">
      <c r="A20" s="79"/>
      <c r="B20" s="80"/>
      <c r="C20" s="476"/>
      <c r="D20" s="477"/>
      <c r="E20" s="476"/>
      <c r="F20" s="477"/>
      <c r="G20" s="76"/>
    </row>
    <row r="21" spans="1:7" ht="15">
      <c r="A21" s="79"/>
      <c r="B21" s="80"/>
      <c r="C21" s="476"/>
      <c r="D21" s="477"/>
      <c r="E21" s="476"/>
      <c r="F21" s="477"/>
      <c r="G21" s="76"/>
    </row>
    <row r="22" spans="1:7" ht="15">
      <c r="A22" s="79"/>
      <c r="B22" s="80"/>
      <c r="C22" s="476"/>
      <c r="D22" s="477"/>
      <c r="E22" s="476"/>
      <c r="F22" s="477"/>
      <c r="G22" s="76"/>
    </row>
    <row r="23" spans="1:7" ht="15">
      <c r="A23" s="79"/>
      <c r="B23" s="80"/>
      <c r="C23" s="476"/>
      <c r="D23" s="477"/>
      <c r="E23" s="476"/>
      <c r="F23" s="477"/>
      <c r="G23" s="76"/>
    </row>
    <row r="24" spans="1:7" ht="15">
      <c r="A24" s="79"/>
      <c r="B24" s="80"/>
      <c r="C24" s="476"/>
      <c r="D24" s="477"/>
      <c r="E24" s="476"/>
      <c r="F24" s="477"/>
      <c r="G24" s="76"/>
    </row>
    <row r="25" spans="1:7" ht="15">
      <c r="A25" s="79" t="s">
        <v>635</v>
      </c>
      <c r="B25" s="80"/>
      <c r="C25" s="476"/>
      <c r="D25" s="477"/>
      <c r="E25" s="476"/>
      <c r="F25" s="477"/>
      <c r="G25" s="76"/>
    </row>
    <row r="26" spans="1:7" ht="15">
      <c r="A26" s="82" t="s">
        <v>493</v>
      </c>
      <c r="B26" s="80"/>
      <c r="C26" s="476"/>
      <c r="D26" s="477"/>
      <c r="E26" s="476"/>
      <c r="F26" s="477"/>
      <c r="G26" s="76"/>
    </row>
    <row r="27" spans="1:7" ht="15">
      <c r="A27" s="41" t="s">
        <v>14</v>
      </c>
      <c r="B27" s="42"/>
      <c r="C27" s="507"/>
      <c r="D27" s="508"/>
      <c r="E27" s="507"/>
      <c r="F27" s="508"/>
      <c r="G27" s="74"/>
    </row>
    <row r="28" spans="1:7" ht="15">
      <c r="A28" s="41" t="s">
        <v>15</v>
      </c>
      <c r="B28" s="42"/>
      <c r="C28" s="469">
        <f>IF(C29*0.1&lt;C27,"Exceed 10% Rule","")</f>
      </c>
      <c r="D28" s="478"/>
      <c r="E28" s="469">
        <f>IF(E29*0.1&lt;E27,"Exceed 10% Rule","")</f>
      </c>
      <c r="F28" s="478"/>
      <c r="G28" s="43">
        <f>IF(G29*0.1+G59&lt;G27,"Exceed 10% Rule","")</f>
      </c>
    </row>
    <row r="29" spans="1:7" ht="15">
      <c r="A29" s="47" t="s">
        <v>494</v>
      </c>
      <c r="B29" s="42"/>
      <c r="C29" s="503">
        <f>SUM(C9:C27)</f>
        <v>0</v>
      </c>
      <c r="D29" s="504"/>
      <c r="E29" s="503">
        <f>SUM(E9:E27)</f>
        <v>0</v>
      </c>
      <c r="F29" s="509"/>
      <c r="G29" s="83">
        <f>SUM(G9:G27)</f>
        <v>0</v>
      </c>
    </row>
    <row r="30" spans="1:7" ht="15">
      <c r="A30" s="47" t="s">
        <v>495</v>
      </c>
      <c r="B30" s="42"/>
      <c r="C30" s="503">
        <f>C7+C29</f>
        <v>0</v>
      </c>
      <c r="D30" s="509"/>
      <c r="E30" s="503">
        <f>E7+E29</f>
        <v>0</v>
      </c>
      <c r="F30" s="509"/>
      <c r="G30" s="84">
        <f>G7+G29</f>
        <v>0</v>
      </c>
    </row>
    <row r="31" spans="1:7" ht="15">
      <c r="A31" s="85" t="s">
        <v>496</v>
      </c>
      <c r="B31" s="42"/>
      <c r="C31" s="510"/>
      <c r="D31" s="511"/>
      <c r="E31" s="510"/>
      <c r="F31" s="511"/>
      <c r="G31" s="77"/>
    </row>
    <row r="32" spans="1:7" ht="15">
      <c r="A32" s="38"/>
      <c r="B32" s="80"/>
      <c r="C32" s="476"/>
      <c r="D32" s="477"/>
      <c r="E32" s="476"/>
      <c r="F32" s="477"/>
      <c r="G32" s="76"/>
    </row>
    <row r="33" spans="1:7" ht="15">
      <c r="A33" s="38"/>
      <c r="B33" s="80"/>
      <c r="C33" s="476"/>
      <c r="D33" s="477"/>
      <c r="E33" s="476"/>
      <c r="F33" s="477"/>
      <c r="G33" s="76"/>
    </row>
    <row r="34" spans="1:7" ht="15">
      <c r="A34" s="38"/>
      <c r="B34" s="80"/>
      <c r="C34" s="476"/>
      <c r="D34" s="477"/>
      <c r="E34" s="476"/>
      <c r="F34" s="477"/>
      <c r="G34" s="76"/>
    </row>
    <row r="35" spans="1:7" ht="15">
      <c r="A35" s="38"/>
      <c r="B35" s="80"/>
      <c r="C35" s="476"/>
      <c r="D35" s="477"/>
      <c r="E35" s="476"/>
      <c r="F35" s="477"/>
      <c r="G35" s="76"/>
    </row>
    <row r="36" spans="1:7" ht="15">
      <c r="A36" s="38"/>
      <c r="B36" s="80"/>
      <c r="C36" s="476"/>
      <c r="D36" s="477"/>
      <c r="E36" s="476"/>
      <c r="F36" s="477"/>
      <c r="G36" s="76"/>
    </row>
    <row r="37" spans="1:7" ht="15">
      <c r="A37" s="38"/>
      <c r="B37" s="80"/>
      <c r="C37" s="476"/>
      <c r="D37" s="477"/>
      <c r="E37" s="476"/>
      <c r="F37" s="477"/>
      <c r="G37" s="76"/>
    </row>
    <row r="38" spans="1:7" ht="15">
      <c r="A38" s="38"/>
      <c r="B38" s="80"/>
      <c r="C38" s="476"/>
      <c r="D38" s="477"/>
      <c r="E38" s="476"/>
      <c r="F38" s="477"/>
      <c r="G38" s="76"/>
    </row>
    <row r="39" spans="1:7" ht="15">
      <c r="A39" s="38"/>
      <c r="B39" s="80"/>
      <c r="C39" s="476"/>
      <c r="D39" s="477"/>
      <c r="E39" s="476"/>
      <c r="F39" s="477"/>
      <c r="G39" s="76"/>
    </row>
    <row r="40" spans="1:7" ht="15">
      <c r="A40" s="38"/>
      <c r="B40" s="80"/>
      <c r="C40" s="476"/>
      <c r="D40" s="477"/>
      <c r="E40" s="476"/>
      <c r="F40" s="477"/>
      <c r="G40" s="76"/>
    </row>
    <row r="41" spans="1:7" ht="15">
      <c r="A41" s="38"/>
      <c r="B41" s="80"/>
      <c r="C41" s="476"/>
      <c r="D41" s="477"/>
      <c r="E41" s="476"/>
      <c r="F41" s="477"/>
      <c r="G41" s="76"/>
    </row>
    <row r="42" spans="1:7" ht="15">
      <c r="A42" s="38"/>
      <c r="B42" s="80"/>
      <c r="C42" s="476"/>
      <c r="D42" s="477"/>
      <c r="E42" s="476"/>
      <c r="F42" s="477"/>
      <c r="G42" s="76"/>
    </row>
    <row r="43" spans="1:7" ht="15">
      <c r="A43" s="38"/>
      <c r="B43" s="80"/>
      <c r="C43" s="476"/>
      <c r="D43" s="477"/>
      <c r="E43" s="476"/>
      <c r="F43" s="477"/>
      <c r="G43" s="76"/>
    </row>
    <row r="44" spans="1:7" ht="15">
      <c r="A44" s="38"/>
      <c r="B44" s="80"/>
      <c r="C44" s="476"/>
      <c r="D44" s="477"/>
      <c r="E44" s="476"/>
      <c r="F44" s="477"/>
      <c r="G44" s="76"/>
    </row>
    <row r="45" spans="1:7" ht="15">
      <c r="A45" s="38"/>
      <c r="B45" s="80"/>
      <c r="C45" s="476"/>
      <c r="D45" s="477"/>
      <c r="E45" s="476"/>
      <c r="F45" s="477"/>
      <c r="G45" s="76"/>
    </row>
    <row r="46" spans="1:7" ht="15">
      <c r="A46" s="38"/>
      <c r="B46" s="80"/>
      <c r="C46" s="476"/>
      <c r="D46" s="477"/>
      <c r="E46" s="476"/>
      <c r="F46" s="477"/>
      <c r="G46" s="76"/>
    </row>
    <row r="47" spans="1:7" ht="15">
      <c r="A47" s="38"/>
      <c r="B47" s="80"/>
      <c r="C47" s="476"/>
      <c r="D47" s="477"/>
      <c r="E47" s="476"/>
      <c r="F47" s="477"/>
      <c r="G47" s="76"/>
    </row>
    <row r="48" spans="1:7" ht="15">
      <c r="A48" s="38"/>
      <c r="B48" s="80"/>
      <c r="C48" s="476"/>
      <c r="D48" s="477"/>
      <c r="E48" s="476"/>
      <c r="F48" s="477"/>
      <c r="G48" s="76"/>
    </row>
    <row r="49" spans="1:7" ht="15">
      <c r="A49" s="38"/>
      <c r="B49" s="80"/>
      <c r="C49" s="476"/>
      <c r="D49" s="477"/>
      <c r="E49" s="476"/>
      <c r="F49" s="477"/>
      <c r="G49" s="76"/>
    </row>
    <row r="50" spans="1:7" ht="15">
      <c r="A50" s="36" t="s">
        <v>17</v>
      </c>
      <c r="B50" s="42"/>
      <c r="C50" s="476"/>
      <c r="D50" s="477"/>
      <c r="E50" s="476"/>
      <c r="F50" s="477"/>
      <c r="G50" s="86">
        <f>nhood!E7</f>
      </c>
    </row>
    <row r="51" spans="1:7" ht="15">
      <c r="A51" s="36" t="s">
        <v>14</v>
      </c>
      <c r="B51" s="42"/>
      <c r="C51" s="507"/>
      <c r="D51" s="508"/>
      <c r="E51" s="507"/>
      <c r="F51" s="508"/>
      <c r="G51" s="74"/>
    </row>
    <row r="52" spans="1:7" ht="15">
      <c r="A52" s="36" t="s">
        <v>16</v>
      </c>
      <c r="B52" s="42"/>
      <c r="C52" s="469">
        <f>IF(C53*0.1&lt;C51,"Exceed 10% Rule","")</f>
      </c>
      <c r="D52" s="478"/>
      <c r="E52" s="469">
        <f>IF(E53*0.1&lt;E51,"Exceed 10% Rule","")</f>
      </c>
      <c r="F52" s="478"/>
      <c r="G52" s="43">
        <f>IF(G53*0.1&lt;G51,"Exceed 10% Rule","")</f>
      </c>
    </row>
    <row r="53" spans="1:7" ht="15">
      <c r="A53" s="47" t="s">
        <v>497</v>
      </c>
      <c r="B53" s="42"/>
      <c r="C53" s="503">
        <f>SUM(C32:C51)</f>
        <v>0</v>
      </c>
      <c r="D53" s="504"/>
      <c r="E53" s="503">
        <f>SUM(E32:E51)</f>
        <v>0</v>
      </c>
      <c r="F53" s="509"/>
      <c r="G53" s="83">
        <f>SUM(G32:G51)</f>
        <v>0</v>
      </c>
    </row>
    <row r="54" spans="1:7" ht="15">
      <c r="A54" s="28" t="s">
        <v>599</v>
      </c>
      <c r="B54" s="42"/>
      <c r="C54" s="505">
        <f>C30-C53</f>
        <v>0</v>
      </c>
      <c r="D54" s="506"/>
      <c r="E54" s="505">
        <f>E30-E53</f>
        <v>0</v>
      </c>
      <c r="F54" s="506"/>
      <c r="G54" s="34" t="s">
        <v>98</v>
      </c>
    </row>
    <row r="55" spans="1:8" ht="15.75">
      <c r="A55" s="54" t="str">
        <f>CONCATENATE("",G1-2,"/",G1-1," Budget Authority Amount:")</f>
        <v>2010/2011 Budget Authority Amount:</v>
      </c>
      <c r="B55" s="55">
        <f>inputOth!B47</f>
        <v>0</v>
      </c>
      <c r="C55" s="56">
        <f>inputPrYr!D17</f>
        <v>0</v>
      </c>
      <c r="D55" s="479" t="s">
        <v>50</v>
      </c>
      <c r="E55" s="480"/>
      <c r="F55" s="481"/>
      <c r="G55" s="35"/>
      <c r="H55" s="57">
        <f>IF(G53/0.95-G53&lt;G55,"Exceeds 5%","")</f>
      </c>
    </row>
    <row r="56" spans="1:7" ht="15">
      <c r="A56" s="54"/>
      <c r="B56" s="58">
        <f>IF(C53&gt;B55,"See Tab A","")</f>
      </c>
      <c r="C56" s="58">
        <f>IF(E53&gt;C55,"See Tab C","")</f>
      </c>
      <c r="D56" s="14"/>
      <c r="E56" s="472" t="s">
        <v>51</v>
      </c>
      <c r="F56" s="473"/>
      <c r="G56" s="33">
        <f>G53+G55</f>
        <v>0</v>
      </c>
    </row>
    <row r="57" spans="1:7" ht="15">
      <c r="A57" s="54"/>
      <c r="B57" s="58">
        <f>IF(C54&lt;0,"See Tab B","")</f>
      </c>
      <c r="C57" s="69">
        <f>IF(E54&lt;0,"See Tab D","")</f>
      </c>
      <c r="D57" s="14"/>
      <c r="E57" s="472" t="s">
        <v>499</v>
      </c>
      <c r="F57" s="473"/>
      <c r="G57" s="51">
        <f>IF(G56-G30&gt;0,G56-G30,0)</f>
        <v>0</v>
      </c>
    </row>
    <row r="58" spans="1:7" ht="15.75">
      <c r="A58" s="59"/>
      <c r="B58" s="59"/>
      <c r="C58" s="14"/>
      <c r="D58" s="474" t="s">
        <v>52</v>
      </c>
      <c r="E58" s="475"/>
      <c r="F58" s="60">
        <f>inputOth!$E$40</f>
        <v>0</v>
      </c>
      <c r="G58" s="33">
        <f>ROUND(IF(F58&gt;0,(G57*F58),0),0)</f>
        <v>0</v>
      </c>
    </row>
    <row r="59" spans="1:7" ht="15">
      <c r="A59" s="14"/>
      <c r="B59" s="14"/>
      <c r="C59" s="482" t="str">
        <f>CONCATENATE("Amount of  ",$G$1-1," Ad Valorem Tax")</f>
        <v>Amount of  2011 Ad Valorem Tax</v>
      </c>
      <c r="D59" s="483"/>
      <c r="E59" s="483"/>
      <c r="F59" s="484"/>
      <c r="G59" s="51">
        <f>G57+G58</f>
        <v>0</v>
      </c>
    </row>
    <row r="60" spans="1:7" ht="15">
      <c r="A60" s="59"/>
      <c r="B60" s="59"/>
      <c r="C60" s="14"/>
      <c r="D60" s="14"/>
      <c r="E60" s="14"/>
      <c r="F60" s="14"/>
      <c r="G60" s="14"/>
    </row>
    <row r="61" spans="1:7" ht="15">
      <c r="A61" s="54"/>
      <c r="B61" s="54" t="s">
        <v>480</v>
      </c>
      <c r="C61" s="87"/>
      <c r="D61" s="14"/>
      <c r="E61" s="14"/>
      <c r="F61" s="14"/>
      <c r="G61" s="14"/>
    </row>
  </sheetData>
  <sheetProtection sheet="1" objects="1" scenarios="1"/>
  <mergeCells count="105">
    <mergeCell ref="C11:D11"/>
    <mergeCell ref="C12:D12"/>
    <mergeCell ref="C5:D5"/>
    <mergeCell ref="C6:D6"/>
    <mergeCell ref="E5:F5"/>
    <mergeCell ref="E6:F6"/>
    <mergeCell ref="E7:F7"/>
    <mergeCell ref="E8:F8"/>
    <mergeCell ref="E27:F27"/>
    <mergeCell ref="E28:F28"/>
    <mergeCell ref="E9:F9"/>
    <mergeCell ref="C7:D7"/>
    <mergeCell ref="C8:D8"/>
    <mergeCell ref="C9:D9"/>
    <mergeCell ref="C22:D22"/>
    <mergeCell ref="C23:D23"/>
    <mergeCell ref="C21:D21"/>
    <mergeCell ref="C10:D10"/>
    <mergeCell ref="C36:D36"/>
    <mergeCell ref="C37:D37"/>
    <mergeCell ref="C39:D39"/>
    <mergeCell ref="C40:D40"/>
    <mergeCell ref="C27:D27"/>
    <mergeCell ref="C28:D28"/>
    <mergeCell ref="C29:D29"/>
    <mergeCell ref="C30:D30"/>
    <mergeCell ref="E18:F18"/>
    <mergeCell ref="C18:D18"/>
    <mergeCell ref="E16:F16"/>
    <mergeCell ref="E17:F17"/>
    <mergeCell ref="C31:D31"/>
    <mergeCell ref="E31:F31"/>
    <mergeCell ref="C24:D24"/>
    <mergeCell ref="C25:D25"/>
    <mergeCell ref="E29:F29"/>
    <mergeCell ref="E30:F30"/>
    <mergeCell ref="E15:F15"/>
    <mergeCell ref="C13:D13"/>
    <mergeCell ref="C14:D14"/>
    <mergeCell ref="C15:D15"/>
    <mergeCell ref="C16:D16"/>
    <mergeCell ref="C17:D17"/>
    <mergeCell ref="E25:F25"/>
    <mergeCell ref="C19:D19"/>
    <mergeCell ref="C20:D20"/>
    <mergeCell ref="E26:F26"/>
    <mergeCell ref="C26:D26"/>
    <mergeCell ref="E10:F10"/>
    <mergeCell ref="E11:F11"/>
    <mergeCell ref="E12:F12"/>
    <mergeCell ref="E13:F13"/>
    <mergeCell ref="E14:F14"/>
    <mergeCell ref="E19:F19"/>
    <mergeCell ref="E20:F20"/>
    <mergeCell ref="E21:F21"/>
    <mergeCell ref="E22:F22"/>
    <mergeCell ref="E23:F23"/>
    <mergeCell ref="E24:F24"/>
    <mergeCell ref="C41:D41"/>
    <mergeCell ref="C46:D46"/>
    <mergeCell ref="C47:D47"/>
    <mergeCell ref="E38:F38"/>
    <mergeCell ref="E39:F39"/>
    <mergeCell ref="E40:F40"/>
    <mergeCell ref="E45:F45"/>
    <mergeCell ref="E46:F46"/>
    <mergeCell ref="E41:F41"/>
    <mergeCell ref="E42:F42"/>
    <mergeCell ref="E32:F32"/>
    <mergeCell ref="E33:F33"/>
    <mergeCell ref="E34:F34"/>
    <mergeCell ref="E35:F35"/>
    <mergeCell ref="E36:F36"/>
    <mergeCell ref="C38:D38"/>
    <mergeCell ref="C32:D32"/>
    <mergeCell ref="C33:D33"/>
    <mergeCell ref="C34:D34"/>
    <mergeCell ref="C35:D35"/>
    <mergeCell ref="C42:D42"/>
    <mergeCell ref="C43:D43"/>
    <mergeCell ref="C44:D44"/>
    <mergeCell ref="C45:D45"/>
    <mergeCell ref="E53:F53"/>
    <mergeCell ref="E50:F50"/>
    <mergeCell ref="C51:D51"/>
    <mergeCell ref="C52:D52"/>
    <mergeCell ref="C59:F59"/>
    <mergeCell ref="E57:F57"/>
    <mergeCell ref="D58:E58"/>
    <mergeCell ref="E37:F37"/>
    <mergeCell ref="E47:F47"/>
    <mergeCell ref="E48:F48"/>
    <mergeCell ref="E43:F43"/>
    <mergeCell ref="E44:F44"/>
    <mergeCell ref="E49:F49"/>
    <mergeCell ref="C48:D48"/>
    <mergeCell ref="D55:F55"/>
    <mergeCell ref="E56:F56"/>
    <mergeCell ref="C50:D50"/>
    <mergeCell ref="C49:D49"/>
    <mergeCell ref="C53:D53"/>
    <mergeCell ref="C54:D54"/>
    <mergeCell ref="E51:F51"/>
    <mergeCell ref="E52:F52"/>
    <mergeCell ref="E54:F54"/>
  </mergeCells>
  <conditionalFormatting sqref="G55">
    <cfRule type="cellIs" priority="2" dxfId="127" operator="greaterThan" stopIfTrue="1">
      <formula>$G$53/0.95-$G$53</formula>
    </cfRule>
  </conditionalFormatting>
  <conditionalFormatting sqref="C51:D51">
    <cfRule type="cellIs" priority="3" dxfId="127" operator="greaterThan" stopIfTrue="1">
      <formula>$C$53*0.1</formula>
    </cfRule>
  </conditionalFormatting>
  <conditionalFormatting sqref="E51:F51">
    <cfRule type="cellIs" priority="4" dxfId="127" operator="greaterThan" stopIfTrue="1">
      <formula>$E$53*0.1</formula>
    </cfRule>
  </conditionalFormatting>
  <conditionalFormatting sqref="G51">
    <cfRule type="cellIs" priority="5" dxfId="127" operator="greaterThan" stopIfTrue="1">
      <formula>$G$53*0.1</formula>
    </cfRule>
  </conditionalFormatting>
  <conditionalFormatting sqref="C27:D27">
    <cfRule type="cellIs" priority="6" dxfId="127" operator="greaterThan" stopIfTrue="1">
      <formula>$C$29*0.1</formula>
    </cfRule>
  </conditionalFormatting>
  <conditionalFormatting sqref="E27:F27">
    <cfRule type="cellIs" priority="7" dxfId="127" operator="greaterThan" stopIfTrue="1">
      <formula>$E$29*0.1</formula>
    </cfRule>
  </conditionalFormatting>
  <conditionalFormatting sqref="G27">
    <cfRule type="cellIs" priority="8" dxfId="127" operator="greaterThan" stopIfTrue="1">
      <formula>$G$29*0.1+$G$59</formula>
    </cfRule>
  </conditionalFormatting>
  <conditionalFormatting sqref="C53:D53">
    <cfRule type="cellIs" priority="9" dxfId="2" operator="greaterThan" stopIfTrue="1">
      <formula>$B$55</formula>
    </cfRule>
  </conditionalFormatting>
  <conditionalFormatting sqref="E53:F53">
    <cfRule type="cellIs" priority="10" dxfId="2" operator="greaterThan" stopIfTrue="1">
      <formula>$C$55</formula>
    </cfRule>
  </conditionalFormatting>
  <conditionalFormatting sqref="C54:D54">
    <cfRule type="cellIs" priority="11" dxfId="12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1">
      <selection activeCell="G38" sqref="G38"/>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ODESSA TOWNSHIP</v>
      </c>
      <c r="B1" s="14"/>
      <c r="C1" s="14"/>
      <c r="D1" s="14"/>
      <c r="E1" s="14"/>
      <c r="F1" s="14"/>
      <c r="G1" s="15">
        <f>inputPrYr!D5</f>
        <v>2012</v>
      </c>
    </row>
    <row r="2" spans="1:7" ht="15">
      <c r="A2" s="17" t="s">
        <v>548</v>
      </c>
      <c r="B2" s="14"/>
      <c r="C2" s="14"/>
      <c r="D2" s="14"/>
      <c r="E2" s="71"/>
      <c r="F2" s="71"/>
      <c r="G2" s="72"/>
    </row>
    <row r="3" spans="1:7" ht="15">
      <c r="A3" s="22" t="s">
        <v>481</v>
      </c>
      <c r="B3" s="73"/>
      <c r="C3" s="88"/>
      <c r="D3" s="88"/>
      <c r="E3" s="88"/>
      <c r="F3" s="88"/>
      <c r="G3" s="88"/>
    </row>
    <row r="4" spans="1:7" ht="15">
      <c r="A4" s="14"/>
      <c r="B4" s="19"/>
      <c r="C4" s="489" t="s">
        <v>482</v>
      </c>
      <c r="D4" s="490"/>
      <c r="E4" s="493" t="s">
        <v>483</v>
      </c>
      <c r="F4" s="494"/>
      <c r="G4" s="23" t="s">
        <v>484</v>
      </c>
    </row>
    <row r="5" spans="1:7" ht="15">
      <c r="A5" s="24" t="str">
        <f>inputPrYr!B18</f>
        <v>Road</v>
      </c>
      <c r="B5" s="25"/>
      <c r="C5" s="491" t="str">
        <f>gen!C5</f>
        <v>Actual 2010</v>
      </c>
      <c r="D5" s="492"/>
      <c r="E5" s="491" t="str">
        <f>gen!E5</f>
        <v>Estimate 2011</v>
      </c>
      <c r="F5" s="492"/>
      <c r="G5" s="27" t="str">
        <f>gen!G5</f>
        <v>Year 2012</v>
      </c>
    </row>
    <row r="6" spans="1:7" ht="15">
      <c r="A6" s="28" t="s">
        <v>598</v>
      </c>
      <c r="B6" s="29"/>
      <c r="C6" s="476"/>
      <c r="D6" s="477"/>
      <c r="E6" s="485">
        <f>C44</f>
        <v>0</v>
      </c>
      <c r="F6" s="486"/>
      <c r="G6" s="33">
        <f>E44</f>
        <v>0</v>
      </c>
    </row>
    <row r="7" spans="1:7" ht="15">
      <c r="A7" s="28" t="s">
        <v>600</v>
      </c>
      <c r="B7" s="29"/>
      <c r="C7" s="485"/>
      <c r="D7" s="486"/>
      <c r="E7" s="485"/>
      <c r="F7" s="486"/>
      <c r="G7" s="34"/>
    </row>
    <row r="8" spans="1:7" ht="15">
      <c r="A8" s="28" t="s">
        <v>487</v>
      </c>
      <c r="B8" s="29"/>
      <c r="C8" s="476"/>
      <c r="D8" s="477"/>
      <c r="E8" s="485">
        <f>inputPrYr!E18</f>
        <v>0</v>
      </c>
      <c r="F8" s="486"/>
      <c r="G8" s="34" t="s">
        <v>98</v>
      </c>
    </row>
    <row r="9" spans="1:7" ht="15">
      <c r="A9" s="28" t="s">
        <v>488</v>
      </c>
      <c r="B9" s="29"/>
      <c r="C9" s="476"/>
      <c r="D9" s="477"/>
      <c r="E9" s="476"/>
      <c r="F9" s="477"/>
      <c r="G9" s="35"/>
    </row>
    <row r="10" spans="1:7" ht="15">
      <c r="A10" s="28" t="s">
        <v>489</v>
      </c>
      <c r="B10" s="29"/>
      <c r="C10" s="476"/>
      <c r="D10" s="477"/>
      <c r="E10" s="476"/>
      <c r="F10" s="477"/>
      <c r="G10" s="33">
        <f>mvalloc!G13</f>
        <v>0</v>
      </c>
    </row>
    <row r="11" spans="1:7" ht="15">
      <c r="A11" s="28" t="s">
        <v>490</v>
      </c>
      <c r="B11" s="29"/>
      <c r="C11" s="476"/>
      <c r="D11" s="477"/>
      <c r="E11" s="476"/>
      <c r="F11" s="477"/>
      <c r="G11" s="33">
        <f>mvalloc!I13</f>
        <v>0</v>
      </c>
    </row>
    <row r="12" spans="1:7" ht="15">
      <c r="A12" s="28" t="s">
        <v>579</v>
      </c>
      <c r="B12" s="29"/>
      <c r="C12" s="476"/>
      <c r="D12" s="477"/>
      <c r="E12" s="476"/>
      <c r="F12" s="477"/>
      <c r="G12" s="33">
        <f>mvalloc!J13</f>
        <v>0</v>
      </c>
    </row>
    <row r="13" spans="1:7" ht="15">
      <c r="A13" s="28" t="s">
        <v>644</v>
      </c>
      <c r="B13" s="29"/>
      <c r="C13" s="476"/>
      <c r="D13" s="477"/>
      <c r="E13" s="476"/>
      <c r="F13" s="477"/>
      <c r="G13" s="33">
        <f>mvalloc!K13</f>
        <v>0</v>
      </c>
    </row>
    <row r="14" spans="1:7" ht="15">
      <c r="A14" s="28" t="s">
        <v>580</v>
      </c>
      <c r="B14" s="29"/>
      <c r="C14" s="476"/>
      <c r="D14" s="477"/>
      <c r="E14" s="476"/>
      <c r="F14" s="477"/>
      <c r="G14" s="33">
        <f>inputOth!E36</f>
        <v>0</v>
      </c>
    </row>
    <row r="15" spans="1:7" ht="15">
      <c r="A15" s="40"/>
      <c r="B15" s="39"/>
      <c r="C15" s="476"/>
      <c r="D15" s="477"/>
      <c r="E15" s="476"/>
      <c r="F15" s="477"/>
      <c r="G15" s="35"/>
    </row>
    <row r="16" spans="1:7" ht="15">
      <c r="A16" s="40"/>
      <c r="B16" s="39"/>
      <c r="C16" s="476"/>
      <c r="D16" s="477"/>
      <c r="E16" s="476"/>
      <c r="F16" s="477"/>
      <c r="G16" s="35"/>
    </row>
    <row r="17" spans="1:7" ht="15">
      <c r="A17" s="40"/>
      <c r="B17" s="39"/>
      <c r="C17" s="476"/>
      <c r="D17" s="477"/>
      <c r="E17" s="476"/>
      <c r="F17" s="477"/>
      <c r="G17" s="35"/>
    </row>
    <row r="18" spans="1:7" ht="15">
      <c r="A18" s="40"/>
      <c r="B18" s="39"/>
      <c r="C18" s="476"/>
      <c r="D18" s="477"/>
      <c r="E18" s="476"/>
      <c r="F18" s="477"/>
      <c r="G18" s="35"/>
    </row>
    <row r="19" spans="1:7" ht="15">
      <c r="A19" s="40"/>
      <c r="B19" s="39"/>
      <c r="C19" s="476"/>
      <c r="D19" s="477"/>
      <c r="E19" s="476"/>
      <c r="F19" s="477"/>
      <c r="G19" s="35"/>
    </row>
    <row r="20" spans="1:7" ht="15">
      <c r="A20" s="40" t="s">
        <v>493</v>
      </c>
      <c r="B20" s="39"/>
      <c r="C20" s="476"/>
      <c r="D20" s="477"/>
      <c r="E20" s="476"/>
      <c r="F20" s="477"/>
      <c r="G20" s="35"/>
    </row>
    <row r="21" spans="1:7" ht="15">
      <c r="A21" s="41" t="s">
        <v>14</v>
      </c>
      <c r="B21" s="42"/>
      <c r="C21" s="476"/>
      <c r="D21" s="477"/>
      <c r="E21" s="476"/>
      <c r="F21" s="477"/>
      <c r="G21" s="31"/>
    </row>
    <row r="22" spans="1:7" ht="15">
      <c r="A22" s="41" t="s">
        <v>15</v>
      </c>
      <c r="B22" s="42"/>
      <c r="C22" s="469">
        <f>IF(C23*0.1&lt;C21,"Exceed 10% Rule","")</f>
      </c>
      <c r="D22" s="478"/>
      <c r="E22" s="469">
        <f>IF(E23*0.1&lt;E21,"Exceed 10% Rule","")</f>
      </c>
      <c r="F22" s="478"/>
      <c r="G22" s="43">
        <f>IF(G23*0.1+G49&lt;G21,"Exceed 10% Rule","")</f>
      </c>
    </row>
    <row r="23" spans="1:7" ht="15">
      <c r="A23" s="44" t="s">
        <v>494</v>
      </c>
      <c r="B23" s="29"/>
      <c r="C23" s="487">
        <f>SUM(C8:C21)</f>
        <v>0</v>
      </c>
      <c r="D23" s="488"/>
      <c r="E23" s="487">
        <f>SUM(E8:E21)</f>
        <v>0</v>
      </c>
      <c r="F23" s="488"/>
      <c r="G23" s="46">
        <f>SUM(G8:G21)</f>
        <v>0</v>
      </c>
    </row>
    <row r="24" spans="1:7" ht="15">
      <c r="A24" s="47" t="s">
        <v>495</v>
      </c>
      <c r="B24" s="29"/>
      <c r="C24" s="487">
        <f>C23+C6</f>
        <v>0</v>
      </c>
      <c r="D24" s="488"/>
      <c r="E24" s="487">
        <f>E23+E6</f>
        <v>0</v>
      </c>
      <c r="F24" s="488"/>
      <c r="G24" s="46">
        <f>G23+G6</f>
        <v>0</v>
      </c>
    </row>
    <row r="25" spans="1:7" ht="15">
      <c r="A25" s="28" t="s">
        <v>496</v>
      </c>
      <c r="B25" s="29"/>
      <c r="C25" s="485"/>
      <c r="D25" s="486"/>
      <c r="E25" s="485"/>
      <c r="F25" s="486"/>
      <c r="G25" s="33"/>
    </row>
    <row r="26" spans="1:7" ht="15">
      <c r="A26" s="40"/>
      <c r="B26" s="39"/>
      <c r="C26" s="476"/>
      <c r="D26" s="477"/>
      <c r="E26" s="476"/>
      <c r="F26" s="477"/>
      <c r="G26" s="35"/>
    </row>
    <row r="27" spans="1:7" ht="15">
      <c r="A27" s="40" t="s">
        <v>581</v>
      </c>
      <c r="B27" s="39"/>
      <c r="C27" s="476"/>
      <c r="D27" s="477"/>
      <c r="E27" s="476"/>
      <c r="F27" s="477"/>
      <c r="G27" s="35"/>
    </row>
    <row r="28" spans="1:7" ht="15">
      <c r="A28" s="40" t="s">
        <v>606</v>
      </c>
      <c r="B28" s="39"/>
      <c r="C28" s="476"/>
      <c r="D28" s="477"/>
      <c r="E28" s="476"/>
      <c r="F28" s="477"/>
      <c r="G28" s="35"/>
    </row>
    <row r="29" spans="1:7" ht="15">
      <c r="A29" s="38" t="s">
        <v>582</v>
      </c>
      <c r="B29" s="39"/>
      <c r="C29" s="476"/>
      <c r="D29" s="477"/>
      <c r="E29" s="476"/>
      <c r="F29" s="477"/>
      <c r="G29" s="35"/>
    </row>
    <row r="30" spans="1:7" ht="15">
      <c r="A30" s="40" t="s">
        <v>608</v>
      </c>
      <c r="B30" s="39"/>
      <c r="C30" s="476"/>
      <c r="D30" s="477"/>
      <c r="E30" s="476"/>
      <c r="F30" s="477"/>
      <c r="G30" s="35"/>
    </row>
    <row r="31" spans="1:7" ht="15">
      <c r="A31" s="40" t="s">
        <v>585</v>
      </c>
      <c r="B31" s="39"/>
      <c r="C31" s="476"/>
      <c r="D31" s="477"/>
      <c r="E31" s="476"/>
      <c r="F31" s="477"/>
      <c r="G31" s="35"/>
    </row>
    <row r="32" spans="1:7" ht="15">
      <c r="A32" s="40" t="s">
        <v>583</v>
      </c>
      <c r="B32" s="39"/>
      <c r="C32" s="476"/>
      <c r="D32" s="477"/>
      <c r="E32" s="476"/>
      <c r="F32" s="477"/>
      <c r="G32" s="35"/>
    </row>
    <row r="33" spans="1:7" ht="15">
      <c r="A33" s="40"/>
      <c r="B33" s="39"/>
      <c r="C33" s="476"/>
      <c r="D33" s="477"/>
      <c r="E33" s="476"/>
      <c r="F33" s="477"/>
      <c r="G33" s="35"/>
    </row>
    <row r="34" spans="1:7" ht="15">
      <c r="A34" s="38"/>
      <c r="B34" s="39"/>
      <c r="C34" s="476"/>
      <c r="D34" s="477"/>
      <c r="E34" s="476"/>
      <c r="F34" s="477"/>
      <c r="G34" s="35"/>
    </row>
    <row r="35" spans="1:7" ht="15">
      <c r="A35" s="38"/>
      <c r="B35" s="39"/>
      <c r="C35" s="476"/>
      <c r="D35" s="477"/>
      <c r="E35" s="476"/>
      <c r="F35" s="477"/>
      <c r="G35" s="35"/>
    </row>
    <row r="36" spans="1:7" ht="15">
      <c r="A36" s="40"/>
      <c r="B36" s="39"/>
      <c r="C36" s="476"/>
      <c r="D36" s="477"/>
      <c r="E36" s="476"/>
      <c r="F36" s="477"/>
      <c r="G36" s="35"/>
    </row>
    <row r="37" spans="1:7" ht="15">
      <c r="A37" s="40"/>
      <c r="B37" s="39"/>
      <c r="C37" s="476"/>
      <c r="D37" s="477"/>
      <c r="E37" s="476"/>
      <c r="F37" s="477"/>
      <c r="G37" s="35"/>
    </row>
    <row r="38" spans="1:7" ht="15">
      <c r="A38" s="28" t="s">
        <v>584</v>
      </c>
      <c r="B38" s="29"/>
      <c r="C38" s="476"/>
      <c r="D38" s="477"/>
      <c r="E38" s="476"/>
      <c r="F38" s="477"/>
      <c r="G38" s="35"/>
    </row>
    <row r="39" spans="1:7" ht="15">
      <c r="A39" s="28" t="s">
        <v>73</v>
      </c>
      <c r="B39" s="29"/>
      <c r="C39" s="517">
        <f>IF(C24*0.25&lt;C38,"Not Authorized","")</f>
      </c>
      <c r="D39" s="518"/>
      <c r="E39" s="517">
        <f>IF(E24*0.25&lt;E38,"Not Authorized","")</f>
      </c>
      <c r="F39" s="518"/>
      <c r="G39" s="89">
        <f>IF(G24*0.25+G49&lt;G38,"Not Authorized","")</f>
      </c>
    </row>
    <row r="40" spans="1:7" ht="15">
      <c r="A40" s="36" t="s">
        <v>17</v>
      </c>
      <c r="B40" s="42"/>
      <c r="C40" s="476"/>
      <c r="D40" s="477"/>
      <c r="E40" s="476"/>
      <c r="F40" s="477"/>
      <c r="G40" s="51">
        <f>nhood!E8</f>
      </c>
    </row>
    <row r="41" spans="1:7" ht="15">
      <c r="A41" s="36" t="s">
        <v>14</v>
      </c>
      <c r="B41" s="42"/>
      <c r="C41" s="476"/>
      <c r="D41" s="477"/>
      <c r="E41" s="476"/>
      <c r="F41" s="477"/>
      <c r="G41" s="31"/>
    </row>
    <row r="42" spans="1:7" ht="15">
      <c r="A42" s="36" t="s">
        <v>16</v>
      </c>
      <c r="B42" s="42"/>
      <c r="C42" s="469">
        <f>IF(C43*0.1&lt;C41,"Exceed 10% Rule","")</f>
      </c>
      <c r="D42" s="478"/>
      <c r="E42" s="469">
        <f>IF(E43*0.1&lt;E41,"Exceed 10% Rule","")</f>
      </c>
      <c r="F42" s="478"/>
      <c r="G42" s="43">
        <f>IF(G43*0.1&lt;G41,"Exceed 10% Rule","")</f>
      </c>
    </row>
    <row r="43" spans="1:7" ht="15">
      <c r="A43" s="47" t="s">
        <v>497</v>
      </c>
      <c r="B43" s="29"/>
      <c r="C43" s="487">
        <f>SUM(C26:D38,C40:D41)</f>
        <v>0</v>
      </c>
      <c r="D43" s="488"/>
      <c r="E43" s="487">
        <f>SUM(E26:F38,E40:F41)</f>
        <v>0</v>
      </c>
      <c r="F43" s="488"/>
      <c r="G43" s="46">
        <f>SUM(G26:G38,G40:G41)</f>
        <v>0</v>
      </c>
    </row>
    <row r="44" spans="1:7" ht="15">
      <c r="A44" s="28" t="s">
        <v>599</v>
      </c>
      <c r="B44" s="29"/>
      <c r="C44" s="500">
        <f>C24-C43</f>
        <v>0</v>
      </c>
      <c r="D44" s="501"/>
      <c r="E44" s="500">
        <f>E24-E43</f>
        <v>0</v>
      </c>
      <c r="F44" s="501"/>
      <c r="G44" s="34" t="s">
        <v>98</v>
      </c>
    </row>
    <row r="45" spans="1:8" ht="15.75">
      <c r="A45" s="54" t="str">
        <f>CONCATENATE("",G1-2,"/",G1-1," Budget Authority Amount:")</f>
        <v>2010/2011 Budget Authority Amount:</v>
      </c>
      <c r="B45" s="55">
        <f>inputOth!B48</f>
        <v>0</v>
      </c>
      <c r="C45" s="56">
        <f>inputPrYr!D18</f>
        <v>0</v>
      </c>
      <c r="D45" s="479" t="s">
        <v>50</v>
      </c>
      <c r="E45" s="480"/>
      <c r="F45" s="481"/>
      <c r="G45" s="35"/>
      <c r="H45" s="57">
        <f>IF(G43/0.95-G43&lt;G45,"Exceeds 5%","")</f>
      </c>
    </row>
    <row r="46" spans="1:7" ht="15">
      <c r="A46" s="54"/>
      <c r="B46" s="58">
        <f>IF(C43&gt;B45,"See Tab A","")</f>
      </c>
      <c r="C46" s="58">
        <f>IF(E43&gt;C45,"See Tab C","")</f>
      </c>
      <c r="D46" s="14"/>
      <c r="E46" s="472" t="s">
        <v>51</v>
      </c>
      <c r="F46" s="473"/>
      <c r="G46" s="33">
        <f>G43+G45</f>
        <v>0</v>
      </c>
    </row>
    <row r="47" spans="1:7" ht="15">
      <c r="A47" s="54"/>
      <c r="B47" s="58">
        <f>IF(C44&lt;0,"See Tab B","")</f>
      </c>
      <c r="C47" s="69">
        <f>IF(E44&lt;0,"See Tab D","")</f>
      </c>
      <c r="D47" s="14"/>
      <c r="E47" s="472" t="s">
        <v>499</v>
      </c>
      <c r="F47" s="473"/>
      <c r="G47" s="51">
        <f>IF(G46-G24&gt;0,G46-G24,0)</f>
        <v>0</v>
      </c>
    </row>
    <row r="48" spans="1:7" ht="15.75">
      <c r="A48" s="59"/>
      <c r="B48" s="14"/>
      <c r="C48" s="14"/>
      <c r="D48" s="474" t="s">
        <v>52</v>
      </c>
      <c r="E48" s="475"/>
      <c r="F48" s="60">
        <f>inputOth!$E$40</f>
        <v>0</v>
      </c>
      <c r="G48" s="33">
        <f>ROUND(IF(F48&gt;0,(G47*F48),0),0)</f>
        <v>0</v>
      </c>
    </row>
    <row r="49" spans="1:7" ht="15">
      <c r="A49" s="14"/>
      <c r="B49" s="14"/>
      <c r="C49" s="482" t="str">
        <f>CONCATENATE("Amount of  ",$G$1-1," Ad Valorem Tax")</f>
        <v>Amount of  2011 Ad Valorem Tax</v>
      </c>
      <c r="D49" s="483"/>
      <c r="E49" s="483"/>
      <c r="F49" s="484"/>
      <c r="G49" s="51">
        <f>G47+G48</f>
        <v>0</v>
      </c>
    </row>
    <row r="50" spans="1:7" ht="15">
      <c r="A50" s="14"/>
      <c r="B50" s="14"/>
      <c r="C50" s="14"/>
      <c r="D50" s="14"/>
      <c r="E50" s="14"/>
      <c r="F50" s="14"/>
      <c r="G50" s="14"/>
    </row>
    <row r="51" spans="1:7" ht="15">
      <c r="A51" s="14"/>
      <c r="B51" s="14"/>
      <c r="C51" s="14"/>
      <c r="D51" s="14"/>
      <c r="E51" s="14"/>
      <c r="F51" s="14"/>
      <c r="G51" s="14"/>
    </row>
    <row r="52" spans="1:7" ht="15">
      <c r="A52" s="90" t="s">
        <v>501</v>
      </c>
      <c r="B52" s="91">
        <f>G1-2</f>
        <v>2010</v>
      </c>
      <c r="C52" s="92"/>
      <c r="D52" s="92"/>
      <c r="E52" s="14"/>
      <c r="F52" s="14"/>
      <c r="G52" s="14"/>
    </row>
    <row r="53" spans="1:7" ht="15">
      <c r="A53" s="93" t="s">
        <v>502</v>
      </c>
      <c r="B53" s="27" t="s">
        <v>503</v>
      </c>
      <c r="C53" s="92"/>
      <c r="D53" s="92"/>
      <c r="E53" s="14"/>
      <c r="F53" s="14"/>
      <c r="G53" s="14"/>
    </row>
    <row r="54" spans="1:7" ht="15">
      <c r="A54" s="94" t="s">
        <v>485</v>
      </c>
      <c r="B54" s="35"/>
      <c r="C54" s="92"/>
      <c r="D54" s="92"/>
      <c r="E54" s="14"/>
      <c r="F54" s="14"/>
      <c r="G54" s="14"/>
    </row>
    <row r="55" spans="1:7" ht="15">
      <c r="A55" s="94" t="s">
        <v>504</v>
      </c>
      <c r="B55" s="95"/>
      <c r="C55" s="92"/>
      <c r="D55" s="92"/>
      <c r="E55" s="14"/>
      <c r="F55" s="14"/>
      <c r="G55" s="14"/>
    </row>
    <row r="56" spans="1:7" ht="15">
      <c r="A56" s="94" t="s">
        <v>505</v>
      </c>
      <c r="B56" s="51">
        <f>IF(C38&gt;0,C38,0)</f>
        <v>0</v>
      </c>
      <c r="C56" s="96">
        <f>IF(C38&gt;(C24*0.25),"Exceeds 25% of Resources Available","")</f>
      </c>
      <c r="D56" s="96"/>
      <c r="E56" s="96"/>
      <c r="F56" s="96"/>
      <c r="G56" s="14"/>
    </row>
    <row r="57" spans="1:7" ht="15">
      <c r="A57" s="94" t="s">
        <v>53</v>
      </c>
      <c r="B57" s="51">
        <f>gen!C43</f>
        <v>0</v>
      </c>
      <c r="C57" s="514">
        <f>IF(AND(B57&gt;0,B58&gt;0),"Not Authtorize Two Transfers - Only One","")</f>
      </c>
      <c r="D57" s="515"/>
      <c r="E57" s="96"/>
      <c r="F57" s="96"/>
      <c r="G57" s="14"/>
    </row>
    <row r="58" spans="1:7" ht="15">
      <c r="A58" s="97" t="s">
        <v>54</v>
      </c>
      <c r="B58" s="51">
        <f>gen!C45</f>
        <v>0</v>
      </c>
      <c r="C58" s="516"/>
      <c r="D58" s="515"/>
      <c r="E58" s="14"/>
      <c r="F58" s="14"/>
      <c r="G58" s="14"/>
    </row>
    <row r="59" spans="1:7" ht="15">
      <c r="A59" s="98"/>
      <c r="B59" s="35"/>
      <c r="C59" s="92"/>
      <c r="D59" s="92"/>
      <c r="E59" s="14"/>
      <c r="F59" s="14"/>
      <c r="G59" s="14"/>
    </row>
    <row r="60" spans="1:7" ht="15">
      <c r="A60" s="98" t="s">
        <v>493</v>
      </c>
      <c r="B60" s="35"/>
      <c r="C60" s="92"/>
      <c r="D60" s="92"/>
      <c r="E60" s="14"/>
      <c r="F60" s="14"/>
      <c r="G60" s="14"/>
    </row>
    <row r="61" spans="1:7" ht="15">
      <c r="A61" s="98" t="s">
        <v>492</v>
      </c>
      <c r="B61" s="35"/>
      <c r="C61" s="92"/>
      <c r="D61" s="92"/>
      <c r="E61" s="14"/>
      <c r="F61" s="14"/>
      <c r="G61" s="14"/>
    </row>
    <row r="62" spans="1:7" ht="15">
      <c r="A62" s="99" t="s">
        <v>495</v>
      </c>
      <c r="B62" s="33">
        <f>SUM(B54:B61)</f>
        <v>0</v>
      </c>
      <c r="C62" s="92"/>
      <c r="D62" s="92"/>
      <c r="E62" s="14"/>
      <c r="F62" s="14"/>
      <c r="G62" s="14"/>
    </row>
    <row r="63" spans="1:7" ht="15">
      <c r="A63" s="99" t="s">
        <v>497</v>
      </c>
      <c r="B63" s="35"/>
      <c r="C63" s="92"/>
      <c r="D63" s="92"/>
      <c r="E63" s="14"/>
      <c r="F63" s="14"/>
      <c r="G63" s="14"/>
    </row>
    <row r="64" spans="1:7" ht="15">
      <c r="A64" s="99" t="s">
        <v>498</v>
      </c>
      <c r="B64" s="52">
        <f>B62-B63</f>
        <v>0</v>
      </c>
      <c r="C64" s="92"/>
      <c r="D64" s="92"/>
      <c r="E64" s="14"/>
      <c r="F64" s="14"/>
      <c r="G64" s="14"/>
    </row>
    <row r="65" spans="1:7" ht="15">
      <c r="A65" s="14"/>
      <c r="B65" s="14"/>
      <c r="C65" s="14"/>
      <c r="D65" s="14"/>
      <c r="E65" s="14"/>
      <c r="F65" s="14"/>
      <c r="G65" s="14"/>
    </row>
    <row r="66" spans="1:7" ht="15">
      <c r="A66" s="59" t="s">
        <v>480</v>
      </c>
      <c r="B66" s="100"/>
      <c r="C66" s="14"/>
      <c r="D66" s="14"/>
      <c r="E66" s="14"/>
      <c r="F66" s="14"/>
      <c r="G66" s="14"/>
    </row>
    <row r="68" ht="15">
      <c r="A68" s="12"/>
    </row>
    <row r="85" ht="15">
      <c r="B85" s="66"/>
    </row>
    <row r="86" ht="15">
      <c r="B86" s="66"/>
    </row>
    <row r="87" ht="15">
      <c r="B87" s="66"/>
    </row>
  </sheetData>
  <sheetProtection sheet="1" objects="1" scenarios="1"/>
  <mergeCells count="88">
    <mergeCell ref="C4:D4"/>
    <mergeCell ref="C5:D5"/>
    <mergeCell ref="C6:D6"/>
    <mergeCell ref="C7:D7"/>
    <mergeCell ref="E4:F4"/>
    <mergeCell ref="E5:F5"/>
    <mergeCell ref="E6:F6"/>
    <mergeCell ref="E7:F7"/>
    <mergeCell ref="C43:D43"/>
    <mergeCell ref="C39:D39"/>
    <mergeCell ref="E39:F39"/>
    <mergeCell ref="C41:D41"/>
    <mergeCell ref="C33:D33"/>
    <mergeCell ref="E42:F42"/>
    <mergeCell ref="C34:D34"/>
    <mergeCell ref="C35:D35"/>
    <mergeCell ref="C42:D42"/>
    <mergeCell ref="E35:F35"/>
    <mergeCell ref="C27:D27"/>
    <mergeCell ref="C28:D28"/>
    <mergeCell ref="C29:D29"/>
    <mergeCell ref="C30:D30"/>
    <mergeCell ref="C31:D31"/>
    <mergeCell ref="C32:D32"/>
    <mergeCell ref="E8:F8"/>
    <mergeCell ref="C25:D25"/>
    <mergeCell ref="C24:D24"/>
    <mergeCell ref="C23:D23"/>
    <mergeCell ref="E23:F23"/>
    <mergeCell ref="E24:F24"/>
    <mergeCell ref="E25:F25"/>
    <mergeCell ref="C8:D8"/>
    <mergeCell ref="C9:D9"/>
    <mergeCell ref="C10:D10"/>
    <mergeCell ref="C11:D11"/>
    <mergeCell ref="C12:D12"/>
    <mergeCell ref="C13:D13"/>
    <mergeCell ref="C14:D14"/>
    <mergeCell ref="E9:F9"/>
    <mergeCell ref="E10:F10"/>
    <mergeCell ref="E11:F11"/>
    <mergeCell ref="E12:F12"/>
    <mergeCell ref="C18:D18"/>
    <mergeCell ref="E18:F18"/>
    <mergeCell ref="E13:F13"/>
    <mergeCell ref="E14:F14"/>
    <mergeCell ref="E15:F15"/>
    <mergeCell ref="E16:F16"/>
    <mergeCell ref="C15:D15"/>
    <mergeCell ref="E17:F17"/>
    <mergeCell ref="C16:D16"/>
    <mergeCell ref="C17:D17"/>
    <mergeCell ref="C26:D26"/>
    <mergeCell ref="E26:F26"/>
    <mergeCell ref="C20:D20"/>
    <mergeCell ref="C19:D19"/>
    <mergeCell ref="C22:D22"/>
    <mergeCell ref="C21:D21"/>
    <mergeCell ref="E21:F21"/>
    <mergeCell ref="E22:F22"/>
    <mergeCell ref="E19:F19"/>
    <mergeCell ref="E20:F20"/>
    <mergeCell ref="E27:F27"/>
    <mergeCell ref="E28:F28"/>
    <mergeCell ref="E29:F29"/>
    <mergeCell ref="E30:F30"/>
    <mergeCell ref="E33:F33"/>
    <mergeCell ref="E34:F34"/>
    <mergeCell ref="E31:F31"/>
    <mergeCell ref="E32:F32"/>
    <mergeCell ref="E36:F36"/>
    <mergeCell ref="E37:F37"/>
    <mergeCell ref="E38:F38"/>
    <mergeCell ref="C38:D38"/>
    <mergeCell ref="C40:D40"/>
    <mergeCell ref="E41:F41"/>
    <mergeCell ref="C36:D36"/>
    <mergeCell ref="C37:D37"/>
    <mergeCell ref="C57:D58"/>
    <mergeCell ref="D48:E48"/>
    <mergeCell ref="C49:F49"/>
    <mergeCell ref="E40:F40"/>
    <mergeCell ref="D45:F45"/>
    <mergeCell ref="E46:F46"/>
    <mergeCell ref="E47:F47"/>
    <mergeCell ref="E43:F43"/>
    <mergeCell ref="E44:F44"/>
    <mergeCell ref="C44:D44"/>
  </mergeCells>
  <conditionalFormatting sqref="G45">
    <cfRule type="cellIs" priority="2" dxfId="127" operator="greaterThan" stopIfTrue="1">
      <formula>$G$43/0.95-$G$43</formula>
    </cfRule>
  </conditionalFormatting>
  <conditionalFormatting sqref="C41:D41">
    <cfRule type="cellIs" priority="3" dxfId="127" operator="greaterThan" stopIfTrue="1">
      <formula>$C$43*0.1</formula>
    </cfRule>
  </conditionalFormatting>
  <conditionalFormatting sqref="E41:F41">
    <cfRule type="cellIs" priority="4" dxfId="127" operator="greaterThan" stopIfTrue="1">
      <formula>$E$43*0.1</formula>
    </cfRule>
  </conditionalFormatting>
  <conditionalFormatting sqref="G41">
    <cfRule type="cellIs" priority="5" dxfId="127" operator="greaterThan" stopIfTrue="1">
      <formula>$G$43*0.1</formula>
    </cfRule>
  </conditionalFormatting>
  <conditionalFormatting sqref="C21:D21">
    <cfRule type="cellIs" priority="6" dxfId="127" operator="greaterThan" stopIfTrue="1">
      <formula>$C$23*0.1</formula>
    </cfRule>
  </conditionalFormatting>
  <conditionalFormatting sqref="E21:F21">
    <cfRule type="cellIs" priority="7" dxfId="127" operator="greaterThan" stopIfTrue="1">
      <formula>$E$23*0.1</formula>
    </cfRule>
  </conditionalFormatting>
  <conditionalFormatting sqref="C38:D38">
    <cfRule type="cellIs" priority="8" dxfId="127" operator="greaterThan" stopIfTrue="1">
      <formula>$C$24*0.25</formula>
    </cfRule>
  </conditionalFormatting>
  <conditionalFormatting sqref="G21">
    <cfRule type="cellIs" priority="9" dxfId="127" operator="greaterThan" stopIfTrue="1">
      <formula>$G$23*0.1+$G$49</formula>
    </cfRule>
  </conditionalFormatting>
  <conditionalFormatting sqref="C44:D44">
    <cfRule type="cellIs" priority="10" dxfId="127" operator="lessThan" stopIfTrue="1">
      <formula>0</formula>
    </cfRule>
  </conditionalFormatting>
  <conditionalFormatting sqref="C43:D43">
    <cfRule type="cellIs" priority="11" dxfId="2" operator="greaterThan" stopIfTrue="1">
      <formula>$B$45</formula>
    </cfRule>
  </conditionalFormatting>
  <conditionalFormatting sqref="E43:F43">
    <cfRule type="cellIs" priority="12" dxfId="2" operator="greaterThan" stopIfTrue="1">
      <formula>$C$45</formula>
    </cfRule>
  </conditionalFormatting>
  <conditionalFormatting sqref="E38:F38">
    <cfRule type="cellIs" priority="13" dxfId="2" operator="greaterThan" stopIfTrue="1">
      <formula>$E$24*0.25</formula>
    </cfRule>
  </conditionalFormatting>
  <conditionalFormatting sqref="G38">
    <cfRule type="cellIs" priority="14" dxfId="2"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58">
      <selection activeCell="B76" sqref="B76"/>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ODESSA TOWNSHIP</v>
      </c>
      <c r="B1" s="14"/>
      <c r="C1" s="22" t="s">
        <v>506</v>
      </c>
      <c r="D1" s="22"/>
      <c r="E1" s="14"/>
      <c r="F1" s="14"/>
      <c r="G1" s="15">
        <f>inputPrYr!D5</f>
        <v>2012</v>
      </c>
    </row>
    <row r="2" spans="1:7" ht="15">
      <c r="A2" s="17" t="s">
        <v>549</v>
      </c>
      <c r="B2" s="14"/>
      <c r="C2" s="14"/>
      <c r="D2" s="14"/>
      <c r="E2" s="14"/>
      <c r="F2" s="14"/>
      <c r="G2" s="101"/>
    </row>
    <row r="3" spans="1:7" ht="15">
      <c r="A3" s="14"/>
      <c r="B3" s="73"/>
      <c r="C3" s="88"/>
      <c r="D3" s="88"/>
      <c r="E3" s="88"/>
      <c r="F3" s="88"/>
      <c r="G3" s="14"/>
    </row>
    <row r="4" spans="1:7" ht="15">
      <c r="A4" s="22" t="s">
        <v>481</v>
      </c>
      <c r="B4" s="19"/>
      <c r="C4" s="489" t="s">
        <v>482</v>
      </c>
      <c r="D4" s="490"/>
      <c r="E4" s="493" t="s">
        <v>483</v>
      </c>
      <c r="F4" s="494"/>
      <c r="G4" s="23" t="s">
        <v>484</v>
      </c>
    </row>
    <row r="5" spans="1:7" ht="15">
      <c r="A5" s="24" t="str">
        <f>inputPrYr!B19</f>
        <v>Fire</v>
      </c>
      <c r="B5" s="25"/>
      <c r="C5" s="491" t="str">
        <f>gen!C5</f>
        <v>Actual 2010</v>
      </c>
      <c r="D5" s="492"/>
      <c r="E5" s="491" t="str">
        <f>gen!E5</f>
        <v>Estimate 2011</v>
      </c>
      <c r="F5" s="492"/>
      <c r="G5" s="27" t="str">
        <f>gen!G5</f>
        <v>Year 2012</v>
      </c>
    </row>
    <row r="6" spans="1:7" ht="15">
      <c r="A6" s="28" t="s">
        <v>598</v>
      </c>
      <c r="B6" s="29"/>
      <c r="C6" s="476">
        <v>0</v>
      </c>
      <c r="D6" s="477"/>
      <c r="E6" s="485">
        <f>C32</f>
        <v>0</v>
      </c>
      <c r="F6" s="486"/>
      <c r="G6" s="33">
        <f>E32</f>
        <v>0</v>
      </c>
    </row>
    <row r="7" spans="1:7" ht="15">
      <c r="A7" s="28" t="s">
        <v>600</v>
      </c>
      <c r="B7" s="29"/>
      <c r="C7" s="485"/>
      <c r="D7" s="486"/>
      <c r="E7" s="485"/>
      <c r="F7" s="486"/>
      <c r="G7" s="34"/>
    </row>
    <row r="8" spans="1:7" ht="15">
      <c r="A8" s="28" t="s">
        <v>487</v>
      </c>
      <c r="B8" s="29"/>
      <c r="C8" s="476"/>
      <c r="D8" s="477"/>
      <c r="E8" s="485">
        <f>inputPrYr!E19</f>
        <v>0</v>
      </c>
      <c r="F8" s="486"/>
      <c r="G8" s="34" t="s">
        <v>98</v>
      </c>
    </row>
    <row r="9" spans="1:7" ht="15">
      <c r="A9" s="28" t="s">
        <v>488</v>
      </c>
      <c r="B9" s="29"/>
      <c r="C9" s="476"/>
      <c r="D9" s="477"/>
      <c r="E9" s="476"/>
      <c r="F9" s="477"/>
      <c r="G9" s="35"/>
    </row>
    <row r="10" spans="1:7" ht="15">
      <c r="A10" s="28" t="s">
        <v>489</v>
      </c>
      <c r="B10" s="29"/>
      <c r="C10" s="476"/>
      <c r="D10" s="477"/>
      <c r="E10" s="476"/>
      <c r="F10" s="477"/>
      <c r="G10" s="33">
        <f>mvalloc!G14</f>
        <v>0</v>
      </c>
    </row>
    <row r="11" spans="1:7" ht="15">
      <c r="A11" s="28" t="s">
        <v>490</v>
      </c>
      <c r="B11" s="29"/>
      <c r="C11" s="476"/>
      <c r="D11" s="477"/>
      <c r="E11" s="476"/>
      <c r="F11" s="477"/>
      <c r="G11" s="33">
        <f>mvalloc!I14</f>
        <v>0</v>
      </c>
    </row>
    <row r="12" spans="1:7" ht="15">
      <c r="A12" s="36" t="s">
        <v>545</v>
      </c>
      <c r="B12" s="29"/>
      <c r="C12" s="476"/>
      <c r="D12" s="477"/>
      <c r="E12" s="476"/>
      <c r="F12" s="477"/>
      <c r="G12" s="33">
        <f>mvalloc!J14</f>
        <v>0</v>
      </c>
    </row>
    <row r="13" spans="1:7" ht="15">
      <c r="A13" s="36" t="s">
        <v>644</v>
      </c>
      <c r="B13" s="29"/>
      <c r="C13" s="476"/>
      <c r="D13" s="477"/>
      <c r="E13" s="476"/>
      <c r="F13" s="477"/>
      <c r="G13" s="33">
        <f>mvalloc!K14</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40"/>
      <c r="B25" s="39"/>
      <c r="C25" s="476"/>
      <c r="D25" s="477"/>
      <c r="E25" s="476"/>
      <c r="F25" s="477"/>
      <c r="G25" s="35"/>
    </row>
    <row r="26" spans="1:7" ht="15">
      <c r="A26" s="40" t="s">
        <v>692</v>
      </c>
      <c r="B26" s="39"/>
      <c r="C26" s="476" t="s">
        <v>86</v>
      </c>
      <c r="D26" s="477"/>
      <c r="E26" s="476" t="s">
        <v>86</v>
      </c>
      <c r="F26" s="477"/>
      <c r="G26" s="35" t="s">
        <v>86</v>
      </c>
    </row>
    <row r="27" spans="1:7" ht="15">
      <c r="A27" s="40"/>
      <c r="B27" s="39"/>
      <c r="C27" s="476"/>
      <c r="D27" s="477"/>
      <c r="E27" s="476"/>
      <c r="F27" s="477"/>
      <c r="G27" s="35"/>
    </row>
    <row r="28" spans="1:7" ht="15">
      <c r="A28" s="36" t="s">
        <v>17</v>
      </c>
      <c r="B28" s="42"/>
      <c r="C28" s="476"/>
      <c r="D28" s="477"/>
      <c r="E28" s="476"/>
      <c r="F28" s="477"/>
      <c r="G28" s="51">
        <f>nhood!E9</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t="str">
        <f>inputOth!B49</f>
        <v> </v>
      </c>
      <c r="C33" s="56">
        <f>inputPrYr!D19</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inputPrYr!B20</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inputPrYr!E20</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mvalloc!G15</f>
        <v>0</v>
      </c>
    </row>
    <row r="46" spans="1:7" ht="15">
      <c r="A46" s="28" t="s">
        <v>490</v>
      </c>
      <c r="B46" s="29"/>
      <c r="C46" s="476"/>
      <c r="D46" s="477"/>
      <c r="E46" s="476"/>
      <c r="F46" s="477"/>
      <c r="G46" s="33">
        <f>mvalloc!I15</f>
        <v>0</v>
      </c>
    </row>
    <row r="47" spans="1:7" ht="15">
      <c r="A47" s="28" t="s">
        <v>579</v>
      </c>
      <c r="B47" s="29"/>
      <c r="C47" s="476"/>
      <c r="D47" s="477"/>
      <c r="E47" s="476"/>
      <c r="F47" s="477"/>
      <c r="G47" s="33">
        <f>mvalloc!J15</f>
        <v>0</v>
      </c>
    </row>
    <row r="48" spans="1:7" ht="15">
      <c r="A48" s="28" t="s">
        <v>644</v>
      </c>
      <c r="B48" s="29"/>
      <c r="C48" s="476"/>
      <c r="D48" s="477"/>
      <c r="E48" s="476"/>
      <c r="F48" s="477"/>
      <c r="G48" s="33">
        <f>mvalloc!K15</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nhood!E10</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inputOth!B50</f>
        <v>0</v>
      </c>
      <c r="C68" s="56">
        <f>inputPrYr!D20</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65" t="s">
        <v>86</v>
      </c>
      <c r="C73" s="14"/>
      <c r="D73" s="14"/>
      <c r="E73" s="14"/>
      <c r="F73" s="14"/>
      <c r="G73" s="14"/>
    </row>
    <row r="74" spans="1:2" ht="15">
      <c r="A74" s="103"/>
      <c r="B74" s="103"/>
    </row>
  </sheetData>
  <sheetProtection sheet="1" objects="1" scenarios="1"/>
  <mergeCells count="126">
    <mergeCell ref="E9:F9"/>
    <mergeCell ref="E4:F4"/>
    <mergeCell ref="E5:F5"/>
    <mergeCell ref="E6:F6"/>
    <mergeCell ref="E7:F7"/>
    <mergeCell ref="E8:F8"/>
    <mergeCell ref="C4:D4"/>
    <mergeCell ref="C5:D5"/>
    <mergeCell ref="C6:D6"/>
    <mergeCell ref="C7:D7"/>
    <mergeCell ref="C8:D8"/>
    <mergeCell ref="C9:D9"/>
    <mergeCell ref="C10:D10"/>
    <mergeCell ref="C11:D11"/>
    <mergeCell ref="C12:D12"/>
    <mergeCell ref="C13:D13"/>
    <mergeCell ref="E29:F29"/>
    <mergeCell ref="E30:F30"/>
    <mergeCell ref="E22:F22"/>
    <mergeCell ref="C14:D14"/>
    <mergeCell ref="C15:D15"/>
    <mergeCell ref="C18:D18"/>
    <mergeCell ref="C19:D19"/>
    <mergeCell ref="C20:D20"/>
    <mergeCell ref="E42:F42"/>
    <mergeCell ref="E31:F31"/>
    <mergeCell ref="E32:F32"/>
    <mergeCell ref="C29:D29"/>
    <mergeCell ref="C30:D30"/>
    <mergeCell ref="C31:D31"/>
    <mergeCell ref="C32:D32"/>
    <mergeCell ref="C24:D24"/>
    <mergeCell ref="C53:D53"/>
    <mergeCell ref="C54:D54"/>
    <mergeCell ref="C55:D55"/>
    <mergeCell ref="C43:D43"/>
    <mergeCell ref="C44:D44"/>
    <mergeCell ref="C45:D45"/>
    <mergeCell ref="C46:D46"/>
    <mergeCell ref="E64:F64"/>
    <mergeCell ref="E65:F65"/>
    <mergeCell ref="E66:F66"/>
    <mergeCell ref="E67:F67"/>
    <mergeCell ref="C64:D64"/>
    <mergeCell ref="C65:D65"/>
    <mergeCell ref="C66:D66"/>
    <mergeCell ref="C67:D67"/>
    <mergeCell ref="E10:F10"/>
    <mergeCell ref="E11:F11"/>
    <mergeCell ref="E12:F12"/>
    <mergeCell ref="E13:F13"/>
    <mergeCell ref="E14:F14"/>
    <mergeCell ref="E15:F15"/>
    <mergeCell ref="E16:F16"/>
    <mergeCell ref="E17:F17"/>
    <mergeCell ref="C16:D16"/>
    <mergeCell ref="C17:D17"/>
    <mergeCell ref="C23:D23"/>
    <mergeCell ref="E18:F18"/>
    <mergeCell ref="E19:F19"/>
    <mergeCell ref="E20:F20"/>
    <mergeCell ref="E21:F21"/>
    <mergeCell ref="E23:F23"/>
    <mergeCell ref="E24:F24"/>
    <mergeCell ref="C21:D21"/>
    <mergeCell ref="C22:D22"/>
    <mergeCell ref="E25:F25"/>
    <mergeCell ref="E26:F26"/>
    <mergeCell ref="E27:F27"/>
    <mergeCell ref="E28:F28"/>
    <mergeCell ref="C49:D49"/>
    <mergeCell ref="C50:D50"/>
    <mergeCell ref="E50:F50"/>
    <mergeCell ref="D36:E36"/>
    <mergeCell ref="E49:F49"/>
    <mergeCell ref="E43:F43"/>
    <mergeCell ref="C39:D39"/>
    <mergeCell ref="C40:D40"/>
    <mergeCell ref="C41:D41"/>
    <mergeCell ref="C42:D42"/>
    <mergeCell ref="C25:D25"/>
    <mergeCell ref="C51:D51"/>
    <mergeCell ref="C52:D52"/>
    <mergeCell ref="C26:D26"/>
    <mergeCell ref="C27:D27"/>
    <mergeCell ref="C28:D28"/>
    <mergeCell ref="C47:D47"/>
    <mergeCell ref="C48:D48"/>
    <mergeCell ref="D33:F33"/>
    <mergeCell ref="E34:F34"/>
    <mergeCell ref="E35:F35"/>
    <mergeCell ref="E51:F51"/>
    <mergeCell ref="E44:F44"/>
    <mergeCell ref="E45:F45"/>
    <mergeCell ref="E46:F46"/>
    <mergeCell ref="E47:F47"/>
    <mergeCell ref="E48:F48"/>
    <mergeCell ref="E39:F39"/>
    <mergeCell ref="E40:F40"/>
    <mergeCell ref="E41:F41"/>
    <mergeCell ref="E61:F61"/>
    <mergeCell ref="E60:F60"/>
    <mergeCell ref="E54:F54"/>
    <mergeCell ref="E55:F55"/>
    <mergeCell ref="E56:F56"/>
    <mergeCell ref="E57:F57"/>
    <mergeCell ref="E62:F62"/>
    <mergeCell ref="E63:F63"/>
    <mergeCell ref="E52:F52"/>
    <mergeCell ref="C58:D58"/>
    <mergeCell ref="C59:D59"/>
    <mergeCell ref="C60:D60"/>
    <mergeCell ref="C56:D56"/>
    <mergeCell ref="C57:D57"/>
    <mergeCell ref="E53:F53"/>
    <mergeCell ref="E59:F59"/>
    <mergeCell ref="C72:F72"/>
    <mergeCell ref="C37:F37"/>
    <mergeCell ref="D68:F68"/>
    <mergeCell ref="E69:F69"/>
    <mergeCell ref="E70:F70"/>
    <mergeCell ref="D71:E71"/>
    <mergeCell ref="C61:D61"/>
    <mergeCell ref="C62:D62"/>
    <mergeCell ref="C63:D63"/>
    <mergeCell ref="E58:F58"/>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ODESSA TOWNSHIP</v>
      </c>
      <c r="B1" s="22" t="s">
        <v>508</v>
      </c>
      <c r="C1" s="14"/>
      <c r="D1" s="14"/>
      <c r="E1" s="14"/>
      <c r="F1" s="14"/>
      <c r="G1" s="15">
        <f>inputPrYr!D5</f>
        <v>2012</v>
      </c>
    </row>
    <row r="2" spans="1:7" ht="15">
      <c r="A2" s="17" t="s">
        <v>549</v>
      </c>
      <c r="B2" s="14"/>
      <c r="C2" s="14"/>
      <c r="D2" s="14"/>
      <c r="E2" s="71"/>
      <c r="F2" s="71"/>
      <c r="G2" s="105"/>
    </row>
    <row r="3" spans="1:7" ht="15">
      <c r="A3" s="14"/>
      <c r="B3" s="73"/>
      <c r="C3" s="88"/>
      <c r="D3" s="88"/>
      <c r="E3" s="88"/>
      <c r="F3" s="88"/>
      <c r="G3" s="88"/>
    </row>
    <row r="4" spans="1:7" ht="15">
      <c r="A4" s="22" t="s">
        <v>481</v>
      </c>
      <c r="B4" s="19"/>
      <c r="C4" s="489" t="s">
        <v>482</v>
      </c>
      <c r="D4" s="490"/>
      <c r="E4" s="493" t="s">
        <v>483</v>
      </c>
      <c r="F4" s="494"/>
      <c r="G4" s="23" t="s">
        <v>484</v>
      </c>
    </row>
    <row r="5" spans="1:7" ht="15">
      <c r="A5" s="24">
        <f>inputPrYr!B21</f>
        <v>0</v>
      </c>
      <c r="B5" s="25"/>
      <c r="C5" s="491" t="str">
        <f>gen!C5</f>
        <v>Actual 2010</v>
      </c>
      <c r="D5" s="492"/>
      <c r="E5" s="491" t="str">
        <f>gen!E5</f>
        <v>Estimate 2011</v>
      </c>
      <c r="F5" s="492"/>
      <c r="G5" s="27" t="str">
        <f>gen!G5</f>
        <v>Year 2012</v>
      </c>
    </row>
    <row r="6" spans="1:7" ht="15">
      <c r="A6" s="28" t="s">
        <v>598</v>
      </c>
      <c r="B6" s="29"/>
      <c r="C6" s="476"/>
      <c r="D6" s="477"/>
      <c r="E6" s="485">
        <f>C32</f>
        <v>0</v>
      </c>
      <c r="F6" s="486"/>
      <c r="G6" s="33">
        <f>E32</f>
        <v>0</v>
      </c>
    </row>
    <row r="7" spans="1:7" ht="15">
      <c r="A7" s="28" t="s">
        <v>600</v>
      </c>
      <c r="B7" s="29"/>
      <c r="C7" s="485"/>
      <c r="D7" s="486"/>
      <c r="E7" s="485"/>
      <c r="F7" s="486"/>
      <c r="G7" s="34"/>
    </row>
    <row r="8" spans="1:7" ht="15">
      <c r="A8" s="28" t="s">
        <v>487</v>
      </c>
      <c r="B8" s="29"/>
      <c r="C8" s="476"/>
      <c r="D8" s="477"/>
      <c r="E8" s="485">
        <f>inputPrYr!E21</f>
        <v>0</v>
      </c>
      <c r="F8" s="486"/>
      <c r="G8" s="34" t="s">
        <v>98</v>
      </c>
    </row>
    <row r="9" spans="1:7" ht="15">
      <c r="A9" s="28" t="s">
        <v>488</v>
      </c>
      <c r="B9" s="29"/>
      <c r="C9" s="476"/>
      <c r="D9" s="477"/>
      <c r="E9" s="476"/>
      <c r="F9" s="477"/>
      <c r="G9" s="35"/>
    </row>
    <row r="10" spans="1:7" ht="15">
      <c r="A10" s="28" t="s">
        <v>489</v>
      </c>
      <c r="B10" s="29"/>
      <c r="C10" s="476"/>
      <c r="D10" s="477"/>
      <c r="E10" s="476"/>
      <c r="F10" s="477"/>
      <c r="G10" s="33">
        <f>mvalloc!G16</f>
        <v>0</v>
      </c>
    </row>
    <row r="11" spans="1:7" ht="15">
      <c r="A11" s="28" t="s">
        <v>490</v>
      </c>
      <c r="B11" s="29"/>
      <c r="C11" s="476"/>
      <c r="D11" s="477"/>
      <c r="E11" s="476"/>
      <c r="F11" s="477"/>
      <c r="G11" s="33">
        <f>mvalloc!I16</f>
        <v>0</v>
      </c>
    </row>
    <row r="12" spans="1:7" ht="15">
      <c r="A12" s="28" t="s">
        <v>579</v>
      </c>
      <c r="B12" s="29"/>
      <c r="C12" s="476"/>
      <c r="D12" s="477"/>
      <c r="E12" s="476"/>
      <c r="F12" s="477"/>
      <c r="G12" s="33">
        <f>mvalloc!J16</f>
        <v>0</v>
      </c>
    </row>
    <row r="13" spans="1:7" ht="15">
      <c r="A13" s="28" t="s">
        <v>644</v>
      </c>
      <c r="B13" s="29"/>
      <c r="C13" s="476"/>
      <c r="D13" s="477"/>
      <c r="E13" s="476"/>
      <c r="F13" s="477"/>
      <c r="G13" s="33">
        <f>mvalloc!K16</f>
        <v>0</v>
      </c>
    </row>
    <row r="14" spans="1:7" ht="15">
      <c r="A14" s="38"/>
      <c r="B14" s="39"/>
      <c r="C14" s="476"/>
      <c r="D14" s="477"/>
      <c r="E14" s="476"/>
      <c r="F14" s="477"/>
      <c r="G14" s="35"/>
    </row>
    <row r="15" spans="1:7" ht="15">
      <c r="A15" s="38"/>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4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nhood!E11</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inputOth!B51</f>
        <v>0</v>
      </c>
      <c r="C33" s="56">
        <f>inputPrYr!D21</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inputPrYr!B22</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inputPrYr!E22</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mvalloc!G17</f>
        <v>0</v>
      </c>
    </row>
    <row r="46" spans="1:7" ht="15">
      <c r="A46" s="28" t="s">
        <v>490</v>
      </c>
      <c r="B46" s="29"/>
      <c r="C46" s="476"/>
      <c r="D46" s="477"/>
      <c r="E46" s="476"/>
      <c r="F46" s="477"/>
      <c r="G46" s="33">
        <f>mvalloc!I17</f>
        <v>0</v>
      </c>
    </row>
    <row r="47" spans="1:7" ht="15">
      <c r="A47" s="28" t="s">
        <v>579</v>
      </c>
      <c r="B47" s="29"/>
      <c r="C47" s="476"/>
      <c r="D47" s="477"/>
      <c r="E47" s="476"/>
      <c r="F47" s="477"/>
      <c r="G47" s="33">
        <f>mvalloc!J17</f>
        <v>0</v>
      </c>
    </row>
    <row r="48" spans="1:7" ht="15">
      <c r="A48" s="28" t="s">
        <v>644</v>
      </c>
      <c r="B48" s="29"/>
      <c r="C48" s="476"/>
      <c r="D48" s="477"/>
      <c r="E48" s="476"/>
      <c r="F48" s="477"/>
      <c r="G48" s="33">
        <f>mvalloc!K17</f>
        <v>0</v>
      </c>
    </row>
    <row r="49" spans="1:7" ht="15">
      <c r="A49" s="40"/>
      <c r="B49" s="39"/>
      <c r="C49" s="476"/>
      <c r="D49" s="477"/>
      <c r="E49" s="476"/>
      <c r="F49" s="477"/>
      <c r="G49" s="35"/>
    </row>
    <row r="50" spans="1:7" ht="15">
      <c r="A50" s="40"/>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nhood!E12</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inputOth!B52</f>
        <v>0</v>
      </c>
      <c r="C68" s="56">
        <f>inputPrYr!D22</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65"/>
      <c r="C73" s="14"/>
      <c r="D73" s="14"/>
      <c r="E73" s="14"/>
      <c r="F73" s="14"/>
      <c r="G73" s="14"/>
    </row>
    <row r="74" spans="1:2" ht="15">
      <c r="A74" s="103"/>
      <c r="B74" s="103"/>
    </row>
  </sheetData>
  <sheetProtection sheet="1" objects="1" scenarios="1"/>
  <mergeCells count="126">
    <mergeCell ref="E6:F6"/>
    <mergeCell ref="C18:D18"/>
    <mergeCell ref="E8:F8"/>
    <mergeCell ref="C7:D7"/>
    <mergeCell ref="C12:D12"/>
    <mergeCell ref="C13:D13"/>
    <mergeCell ref="C4:D4"/>
    <mergeCell ref="C5:D5"/>
    <mergeCell ref="C19:D19"/>
    <mergeCell ref="E11:F11"/>
    <mergeCell ref="E12:F12"/>
    <mergeCell ref="E13:F13"/>
    <mergeCell ref="E4:F4"/>
    <mergeCell ref="E5:F5"/>
    <mergeCell ref="C6:D6"/>
    <mergeCell ref="C17:D17"/>
    <mergeCell ref="C16:D16"/>
    <mergeCell ref="E7:F7"/>
    <mergeCell ref="E9:F9"/>
    <mergeCell ref="E10:F10"/>
    <mergeCell ref="C10:D10"/>
    <mergeCell ref="C8:D8"/>
    <mergeCell ref="C9:D9"/>
    <mergeCell ref="C11:D11"/>
    <mergeCell ref="C52:D52"/>
    <mergeCell ref="E51:F51"/>
    <mergeCell ref="E31:F31"/>
    <mergeCell ref="E32:F32"/>
    <mergeCell ref="C29:D29"/>
    <mergeCell ref="C30:D30"/>
    <mergeCell ref="C31:D31"/>
    <mergeCell ref="C32:D32"/>
    <mergeCell ref="E29:F29"/>
    <mergeCell ref="E30:F30"/>
    <mergeCell ref="E42:F42"/>
    <mergeCell ref="C39:D39"/>
    <mergeCell ref="C40:D40"/>
    <mergeCell ref="C41:D41"/>
    <mergeCell ref="C42:D42"/>
    <mergeCell ref="C45:D45"/>
    <mergeCell ref="C67:D67"/>
    <mergeCell ref="E64:F64"/>
    <mergeCell ref="E65:F65"/>
    <mergeCell ref="E66:F66"/>
    <mergeCell ref="E67:F67"/>
    <mergeCell ref="C50:D50"/>
    <mergeCell ref="C64:D64"/>
    <mergeCell ref="C65:D65"/>
    <mergeCell ref="C66:D66"/>
    <mergeCell ref="C51:D51"/>
    <mergeCell ref="C54:D54"/>
    <mergeCell ref="C55:D55"/>
    <mergeCell ref="E26:F26"/>
    <mergeCell ref="E27:F27"/>
    <mergeCell ref="E28:F28"/>
    <mergeCell ref="C49:D49"/>
    <mergeCell ref="E43:F43"/>
    <mergeCell ref="C43:D43"/>
    <mergeCell ref="C44:D44"/>
    <mergeCell ref="C53:D53"/>
    <mergeCell ref="E39:F39"/>
    <mergeCell ref="E40:F40"/>
    <mergeCell ref="C46:D46"/>
    <mergeCell ref="C47:D47"/>
    <mergeCell ref="C25:D25"/>
    <mergeCell ref="C21:D21"/>
    <mergeCell ref="C22:D22"/>
    <mergeCell ref="E25:F25"/>
    <mergeCell ref="C23:D23"/>
    <mergeCell ref="E41:F41"/>
    <mergeCell ref="E23:F23"/>
    <mergeCell ref="E24:F24"/>
    <mergeCell ref="C20:D20"/>
    <mergeCell ref="E14:F14"/>
    <mergeCell ref="E15:F15"/>
    <mergeCell ref="E16:F16"/>
    <mergeCell ref="E17:F17"/>
    <mergeCell ref="E18:F18"/>
    <mergeCell ref="E19:F19"/>
    <mergeCell ref="E20:F20"/>
    <mergeCell ref="E34:F34"/>
    <mergeCell ref="E35:F35"/>
    <mergeCell ref="D36:E36"/>
    <mergeCell ref="E44:F44"/>
    <mergeCell ref="E45:F45"/>
    <mergeCell ref="C14:D14"/>
    <mergeCell ref="C15:D15"/>
    <mergeCell ref="E21:F21"/>
    <mergeCell ref="C24:D24"/>
    <mergeCell ref="E22:F22"/>
    <mergeCell ref="E61:F61"/>
    <mergeCell ref="E60:F60"/>
    <mergeCell ref="E54:F54"/>
    <mergeCell ref="E55:F55"/>
    <mergeCell ref="E56:F56"/>
    <mergeCell ref="C26:D26"/>
    <mergeCell ref="C27:D27"/>
    <mergeCell ref="C28:D28"/>
    <mergeCell ref="C48:D48"/>
    <mergeCell ref="D33:F33"/>
    <mergeCell ref="E53:F53"/>
    <mergeCell ref="E46:F46"/>
    <mergeCell ref="E47:F47"/>
    <mergeCell ref="E48:F48"/>
    <mergeCell ref="E50:F50"/>
    <mergeCell ref="E49:F49"/>
    <mergeCell ref="C63:D63"/>
    <mergeCell ref="E57:F57"/>
    <mergeCell ref="E62:F62"/>
    <mergeCell ref="E63:F63"/>
    <mergeCell ref="E52:F52"/>
    <mergeCell ref="C58:D58"/>
    <mergeCell ref="C59:D59"/>
    <mergeCell ref="C60:D60"/>
    <mergeCell ref="C56:D56"/>
    <mergeCell ref="C57:D57"/>
    <mergeCell ref="E58:F58"/>
    <mergeCell ref="E59:F59"/>
    <mergeCell ref="C72:F72"/>
    <mergeCell ref="C37:F37"/>
    <mergeCell ref="D68:F68"/>
    <mergeCell ref="E69:F69"/>
    <mergeCell ref="E70:F70"/>
    <mergeCell ref="D71:E71"/>
    <mergeCell ref="C61:D61"/>
    <mergeCell ref="C62:D62"/>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ODESSA TOWNSHIP</v>
      </c>
      <c r="B1" s="22" t="s">
        <v>508</v>
      </c>
      <c r="C1" s="14"/>
      <c r="D1" s="14"/>
      <c r="E1" s="14"/>
      <c r="F1" s="14"/>
      <c r="G1" s="15">
        <f>inputPrYr!D5</f>
        <v>2012</v>
      </c>
    </row>
    <row r="2" spans="1:7" ht="15">
      <c r="A2" s="17" t="s">
        <v>549</v>
      </c>
      <c r="B2" s="14"/>
      <c r="C2" s="14"/>
      <c r="D2" s="14"/>
      <c r="E2" s="71"/>
      <c r="F2" s="71"/>
      <c r="G2" s="72"/>
    </row>
    <row r="3" spans="1:7" ht="15">
      <c r="A3" s="14"/>
      <c r="B3" s="73"/>
      <c r="C3" s="88"/>
      <c r="D3" s="88"/>
      <c r="E3" s="88"/>
      <c r="F3" s="88"/>
      <c r="G3" s="88"/>
    </row>
    <row r="4" spans="1:7" ht="15">
      <c r="A4" s="22" t="s">
        <v>481</v>
      </c>
      <c r="B4" s="19"/>
      <c r="C4" s="489" t="s">
        <v>482</v>
      </c>
      <c r="D4" s="490"/>
      <c r="E4" s="493" t="s">
        <v>483</v>
      </c>
      <c r="F4" s="494"/>
      <c r="G4" s="23" t="s">
        <v>484</v>
      </c>
    </row>
    <row r="5" spans="1:7" ht="15">
      <c r="A5" s="24">
        <f>inputPrYr!B23</f>
        <v>0</v>
      </c>
      <c r="B5" s="25"/>
      <c r="C5" s="491" t="str">
        <f>gen!C5</f>
        <v>Actual 2010</v>
      </c>
      <c r="D5" s="492"/>
      <c r="E5" s="491" t="str">
        <f>gen!E5</f>
        <v>Estimate 2011</v>
      </c>
      <c r="F5" s="492"/>
      <c r="G5" s="27" t="str">
        <f>gen!G5</f>
        <v>Year 2012</v>
      </c>
    </row>
    <row r="6" spans="1:7" ht="15">
      <c r="A6" s="28" t="s">
        <v>598</v>
      </c>
      <c r="B6" s="29"/>
      <c r="C6" s="476"/>
      <c r="D6" s="477"/>
      <c r="E6" s="485">
        <f>C32</f>
        <v>0</v>
      </c>
      <c r="F6" s="486"/>
      <c r="G6" s="33">
        <f>E32</f>
        <v>0</v>
      </c>
    </row>
    <row r="7" spans="1:7" ht="15">
      <c r="A7" s="28" t="s">
        <v>600</v>
      </c>
      <c r="B7" s="29"/>
      <c r="C7" s="485"/>
      <c r="D7" s="486"/>
      <c r="E7" s="485"/>
      <c r="F7" s="486"/>
      <c r="G7" s="34"/>
    </row>
    <row r="8" spans="1:7" ht="15">
      <c r="A8" s="28" t="s">
        <v>487</v>
      </c>
      <c r="B8" s="29"/>
      <c r="C8" s="476"/>
      <c r="D8" s="477"/>
      <c r="E8" s="485">
        <f>inputPrYr!E23</f>
        <v>0</v>
      </c>
      <c r="F8" s="486"/>
      <c r="G8" s="34" t="s">
        <v>98</v>
      </c>
    </row>
    <row r="9" spans="1:7" ht="15">
      <c r="A9" s="28" t="s">
        <v>488</v>
      </c>
      <c r="B9" s="29"/>
      <c r="C9" s="476"/>
      <c r="D9" s="477"/>
      <c r="E9" s="476"/>
      <c r="F9" s="477"/>
      <c r="G9" s="35"/>
    </row>
    <row r="10" spans="1:7" ht="15">
      <c r="A10" s="28" t="s">
        <v>489</v>
      </c>
      <c r="B10" s="29"/>
      <c r="C10" s="476"/>
      <c r="D10" s="477"/>
      <c r="E10" s="476"/>
      <c r="F10" s="477"/>
      <c r="G10" s="33">
        <f>mvalloc!G18</f>
        <v>0</v>
      </c>
    </row>
    <row r="11" spans="1:7" ht="15">
      <c r="A11" s="28" t="s">
        <v>490</v>
      </c>
      <c r="B11" s="29"/>
      <c r="C11" s="476"/>
      <c r="D11" s="477"/>
      <c r="E11" s="476"/>
      <c r="F11" s="477"/>
      <c r="G11" s="33">
        <f>mvalloc!I18</f>
        <v>0</v>
      </c>
    </row>
    <row r="12" spans="1:7" ht="15">
      <c r="A12" s="28" t="s">
        <v>579</v>
      </c>
      <c r="B12" s="29"/>
      <c r="C12" s="476"/>
      <c r="D12" s="477"/>
      <c r="E12" s="476"/>
      <c r="F12" s="477"/>
      <c r="G12" s="33">
        <f>mvalloc!J18</f>
        <v>0</v>
      </c>
    </row>
    <row r="13" spans="1:7" ht="15">
      <c r="A13" s="28" t="s">
        <v>644</v>
      </c>
      <c r="B13" s="29"/>
      <c r="C13" s="476"/>
      <c r="D13" s="477"/>
      <c r="E13" s="476"/>
      <c r="F13" s="477"/>
      <c r="G13" s="33">
        <f>mvalloc!K18</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3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nhood!E13</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inputOth!B53</f>
        <v>0</v>
      </c>
      <c r="C33" s="56">
        <f>inputPrYr!D23</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inputPrYr!B24</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inputPrYr!E24</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mvalloc!G19</f>
        <v>0</v>
      </c>
    </row>
    <row r="46" spans="1:7" ht="15">
      <c r="A46" s="28" t="s">
        <v>490</v>
      </c>
      <c r="B46" s="29"/>
      <c r="C46" s="476"/>
      <c r="D46" s="477"/>
      <c r="E46" s="476"/>
      <c r="F46" s="477"/>
      <c r="G46" s="33">
        <f>mvalloc!I19</f>
        <v>0</v>
      </c>
    </row>
    <row r="47" spans="1:7" ht="15">
      <c r="A47" s="28" t="s">
        <v>579</v>
      </c>
      <c r="B47" s="29"/>
      <c r="C47" s="476"/>
      <c r="D47" s="477"/>
      <c r="E47" s="476"/>
      <c r="F47" s="477"/>
      <c r="G47" s="33">
        <f>mvalloc!J19</f>
        <v>0</v>
      </c>
    </row>
    <row r="48" spans="1:7" ht="15">
      <c r="A48" s="28" t="s">
        <v>644</v>
      </c>
      <c r="B48" s="29"/>
      <c r="C48" s="476"/>
      <c r="D48" s="477"/>
      <c r="E48" s="476"/>
      <c r="F48" s="477"/>
      <c r="G48" s="33">
        <f>mvalloc!K19</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nhood!E14</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inputOth!B54</f>
        <v>0</v>
      </c>
      <c r="C68" s="56">
        <f>inputPrYr!D24</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104"/>
      <c r="C73" s="14"/>
      <c r="D73" s="14"/>
      <c r="E73" s="14"/>
      <c r="F73" s="14"/>
      <c r="G73" s="14"/>
    </row>
    <row r="74" spans="1:2" ht="15">
      <c r="A74" s="103"/>
      <c r="B74" s="103"/>
    </row>
  </sheetData>
  <sheetProtection sheet="1" objects="1" scenarios="1"/>
  <mergeCells count="126">
    <mergeCell ref="C12:D12"/>
    <mergeCell ref="E12:F12"/>
    <mergeCell ref="C4:D4"/>
    <mergeCell ref="C5:D5"/>
    <mergeCell ref="C6:D6"/>
    <mergeCell ref="E10:F10"/>
    <mergeCell ref="C7:D7"/>
    <mergeCell ref="E9:F9"/>
    <mergeCell ref="E4:F4"/>
    <mergeCell ref="E5:F5"/>
    <mergeCell ref="E6:F6"/>
    <mergeCell ref="E7:F7"/>
    <mergeCell ref="E8:F8"/>
    <mergeCell ref="C18:D18"/>
    <mergeCell ref="C19:D19"/>
    <mergeCell ref="C20:D20"/>
    <mergeCell ref="C8:D8"/>
    <mergeCell ref="C9:D9"/>
    <mergeCell ref="C10:D10"/>
    <mergeCell ref="C13:D13"/>
    <mergeCell ref="E11:F11"/>
    <mergeCell ref="C11:D11"/>
    <mergeCell ref="C39:D39"/>
    <mergeCell ref="C40:D40"/>
    <mergeCell ref="E39:F39"/>
    <mergeCell ref="E40:F40"/>
    <mergeCell ref="E13:F13"/>
    <mergeCell ref="C14:D14"/>
    <mergeCell ref="C15:D15"/>
    <mergeCell ref="E14:F14"/>
    <mergeCell ref="E66:F66"/>
    <mergeCell ref="E67:F67"/>
    <mergeCell ref="C64:D64"/>
    <mergeCell ref="C65:D65"/>
    <mergeCell ref="C66:D66"/>
    <mergeCell ref="C67:D67"/>
    <mergeCell ref="E64:F64"/>
    <mergeCell ref="E65:F65"/>
    <mergeCell ref="C57:D57"/>
    <mergeCell ref="E53:F53"/>
    <mergeCell ref="E54:F54"/>
    <mergeCell ref="E55:F55"/>
    <mergeCell ref="E56:F56"/>
    <mergeCell ref="E57:F57"/>
    <mergeCell ref="C53:D53"/>
    <mergeCell ref="C54:D54"/>
    <mergeCell ref="C55:D55"/>
    <mergeCell ref="C56:D56"/>
    <mergeCell ref="E15:F15"/>
    <mergeCell ref="E16:F16"/>
    <mergeCell ref="E17:F17"/>
    <mergeCell ref="C16:D16"/>
    <mergeCell ref="C17:D17"/>
    <mergeCell ref="E19:F19"/>
    <mergeCell ref="E18:F18"/>
    <mergeCell ref="E20:F20"/>
    <mergeCell ref="E21:F21"/>
    <mergeCell ref="C24:D24"/>
    <mergeCell ref="E23:F23"/>
    <mergeCell ref="E24:F24"/>
    <mergeCell ref="C21:D21"/>
    <mergeCell ref="C22:D22"/>
    <mergeCell ref="C23:D23"/>
    <mergeCell ref="E22:F22"/>
    <mergeCell ref="C45:D45"/>
    <mergeCell ref="E45:F45"/>
    <mergeCell ref="C25:D25"/>
    <mergeCell ref="C29:D29"/>
    <mergeCell ref="C30:D30"/>
    <mergeCell ref="E25:F25"/>
    <mergeCell ref="E26:F26"/>
    <mergeCell ref="E27:F27"/>
    <mergeCell ref="E28:F28"/>
    <mergeCell ref="E41:F41"/>
    <mergeCell ref="E35:F35"/>
    <mergeCell ref="D36:E36"/>
    <mergeCell ref="E44:F44"/>
    <mergeCell ref="C44:D44"/>
    <mergeCell ref="E42:F42"/>
    <mergeCell ref="E43:F43"/>
    <mergeCell ref="C41:D41"/>
    <mergeCell ref="C42:D42"/>
    <mergeCell ref="C43:D43"/>
    <mergeCell ref="E30:F30"/>
    <mergeCell ref="E31:F31"/>
    <mergeCell ref="E32:F32"/>
    <mergeCell ref="C31:D31"/>
    <mergeCell ref="C32:D32"/>
    <mergeCell ref="E34:F34"/>
    <mergeCell ref="E60:F60"/>
    <mergeCell ref="C63:D63"/>
    <mergeCell ref="E59:F59"/>
    <mergeCell ref="E61:F61"/>
    <mergeCell ref="E58:F58"/>
    <mergeCell ref="C26:D26"/>
    <mergeCell ref="C27:D27"/>
    <mergeCell ref="C28:D28"/>
    <mergeCell ref="D33:F33"/>
    <mergeCell ref="E29:F29"/>
    <mergeCell ref="E52:F52"/>
    <mergeCell ref="C46:D46"/>
    <mergeCell ref="C47:D47"/>
    <mergeCell ref="E48:F48"/>
    <mergeCell ref="C52:D52"/>
    <mergeCell ref="E63:F63"/>
    <mergeCell ref="C58:D58"/>
    <mergeCell ref="C59:D59"/>
    <mergeCell ref="C60:D60"/>
    <mergeCell ref="C61:D61"/>
    <mergeCell ref="E46:F46"/>
    <mergeCell ref="E47:F47"/>
    <mergeCell ref="E49:F49"/>
    <mergeCell ref="E50:F50"/>
    <mergeCell ref="C50:D50"/>
    <mergeCell ref="C51:D51"/>
    <mergeCell ref="E51:F51"/>
    <mergeCell ref="C72:F72"/>
    <mergeCell ref="C37:F37"/>
    <mergeCell ref="D68:F68"/>
    <mergeCell ref="E69:F69"/>
    <mergeCell ref="E70:F70"/>
    <mergeCell ref="D71:E71"/>
    <mergeCell ref="C62:D62"/>
    <mergeCell ref="E62:F62"/>
    <mergeCell ref="C48:D48"/>
    <mergeCell ref="C49:D49"/>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B1">
      <selection activeCell="E30" sqref="E30"/>
    </sheetView>
  </sheetViews>
  <sheetFormatPr defaultColWidth="8.796875" defaultRowHeight="15.75"/>
  <cols>
    <col min="1" max="1" width="25.8984375" style="103" customWidth="1"/>
    <col min="2" max="2" width="9.5" style="103" customWidth="1"/>
    <col min="3" max="5" width="14.19921875" style="103" customWidth="1"/>
    <col min="6" max="16384" width="8.796875" style="103" customWidth="1"/>
  </cols>
  <sheetData>
    <row r="1" spans="1:5" ht="15">
      <c r="A1" s="13" t="str">
        <f>inputPrYr!D2</f>
        <v>ODESSA TOWNSHIP</v>
      </c>
      <c r="B1" s="13"/>
      <c r="C1" s="14"/>
      <c r="D1" s="14"/>
      <c r="E1" s="15">
        <f>inputPrYr!D5</f>
        <v>2012</v>
      </c>
    </row>
    <row r="2" spans="1:5" ht="15">
      <c r="A2" s="14"/>
      <c r="B2" s="14"/>
      <c r="C2" s="14"/>
      <c r="D2" s="14"/>
      <c r="E2" s="59"/>
    </row>
    <row r="3" spans="1:5" ht="15">
      <c r="A3" s="17" t="s">
        <v>624</v>
      </c>
      <c r="B3" s="17"/>
      <c r="C3" s="88"/>
      <c r="D3" s="88"/>
      <c r="E3" s="88"/>
    </row>
    <row r="4" spans="1:5" ht="15">
      <c r="A4" s="22" t="s">
        <v>481</v>
      </c>
      <c r="B4" s="22"/>
      <c r="C4" s="91" t="s">
        <v>482</v>
      </c>
      <c r="D4" s="23" t="s">
        <v>483</v>
      </c>
      <c r="E4" s="23" t="s">
        <v>484</v>
      </c>
    </row>
    <row r="5" spans="1:5" ht="15">
      <c r="A5" s="24">
        <f>inputPrYr!B28</f>
        <v>0</v>
      </c>
      <c r="B5" s="24"/>
      <c r="C5" s="27" t="str">
        <f>gen!C5</f>
        <v>Actual 2010</v>
      </c>
      <c r="D5" s="27" t="str">
        <f>gen!E5</f>
        <v>Estimate 2011</v>
      </c>
      <c r="E5" s="27" t="str">
        <f>gen!G5</f>
        <v>Year 2012</v>
      </c>
    </row>
    <row r="6" spans="1:5" ht="15">
      <c r="A6" s="106" t="s">
        <v>625</v>
      </c>
      <c r="B6" s="107"/>
      <c r="C6" s="31"/>
      <c r="D6" s="33">
        <f>C29</f>
        <v>0</v>
      </c>
      <c r="E6" s="33">
        <f>D29</f>
        <v>0</v>
      </c>
    </row>
    <row r="7" spans="1:5" s="16" customFormat="1" ht="15">
      <c r="A7" s="108" t="s">
        <v>600</v>
      </c>
      <c r="B7" s="107"/>
      <c r="C7" s="109"/>
      <c r="D7" s="110"/>
      <c r="E7" s="110"/>
    </row>
    <row r="8" spans="1:5" ht="15">
      <c r="A8" s="38"/>
      <c r="B8" s="111"/>
      <c r="C8" s="31"/>
      <c r="D8" s="35"/>
      <c r="E8" s="35"/>
    </row>
    <row r="9" spans="1:5" ht="15">
      <c r="A9" s="38"/>
      <c r="B9" s="111"/>
      <c r="C9" s="31"/>
      <c r="D9" s="35"/>
      <c r="E9" s="35"/>
    </row>
    <row r="10" spans="1:5" ht="15">
      <c r="A10" s="38"/>
      <c r="B10" s="111"/>
      <c r="C10" s="31"/>
      <c r="D10" s="35"/>
      <c r="E10" s="35"/>
    </row>
    <row r="11" spans="1:5" ht="15">
      <c r="A11" s="38"/>
      <c r="B11" s="111"/>
      <c r="C11" s="31"/>
      <c r="D11" s="35"/>
      <c r="E11" s="35"/>
    </row>
    <row r="12" spans="1:5" ht="15">
      <c r="A12" s="112" t="s">
        <v>493</v>
      </c>
      <c r="B12" s="111"/>
      <c r="C12" s="31"/>
      <c r="D12" s="35"/>
      <c r="E12" s="35"/>
    </row>
    <row r="13" spans="1:5" ht="15">
      <c r="A13" s="41" t="s">
        <v>14</v>
      </c>
      <c r="B13" s="42"/>
      <c r="C13" s="31"/>
      <c r="D13" s="31"/>
      <c r="E13" s="31"/>
    </row>
    <row r="14" spans="1:5" ht="15">
      <c r="A14" s="41" t="s">
        <v>15</v>
      </c>
      <c r="B14" s="42"/>
      <c r="C14" s="43">
        <f>IF(C15*0.1&lt;C13,"Exceed 10% Rule","")</f>
      </c>
      <c r="D14" s="43">
        <f>IF(D15*0.1&lt;D13,"Exceed 10% Rule","")</f>
      </c>
      <c r="E14" s="43">
        <f>IF(E15*0.1&lt;E13,"Exceed 10% Rule","")</f>
      </c>
    </row>
    <row r="15" spans="1:5" ht="15">
      <c r="A15" s="47" t="s">
        <v>494</v>
      </c>
      <c r="B15" s="107"/>
      <c r="C15" s="45">
        <f>SUM(C8:C13)</f>
        <v>0</v>
      </c>
      <c r="D15" s="46">
        <f>SUM(D8:D13)</f>
        <v>0</v>
      </c>
      <c r="E15" s="46">
        <f>SUM(E8:E13)</f>
        <v>0</v>
      </c>
    </row>
    <row r="16" spans="1:5" ht="15">
      <c r="A16" s="47" t="s">
        <v>495</v>
      </c>
      <c r="B16" s="107"/>
      <c r="C16" s="45">
        <f>C6+C15</f>
        <v>0</v>
      </c>
      <c r="D16" s="46">
        <f>D6+D15</f>
        <v>0</v>
      </c>
      <c r="E16" s="46">
        <f>E6+E15</f>
        <v>0</v>
      </c>
    </row>
    <row r="17" spans="1:5" ht="15">
      <c r="A17" s="28" t="s">
        <v>496</v>
      </c>
      <c r="B17" s="107"/>
      <c r="C17" s="32"/>
      <c r="D17" s="33"/>
      <c r="E17" s="33"/>
    </row>
    <row r="18" spans="1:5" ht="15">
      <c r="A18" s="38"/>
      <c r="B18" s="111"/>
      <c r="C18" s="31"/>
      <c r="D18" s="35"/>
      <c r="E18" s="35"/>
    </row>
    <row r="19" spans="1:5" ht="15">
      <c r="A19" s="38"/>
      <c r="B19" s="111"/>
      <c r="C19" s="31"/>
      <c r="D19" s="35"/>
      <c r="E19" s="35"/>
    </row>
    <row r="20" spans="1:5" ht="15">
      <c r="A20" s="38"/>
      <c r="B20" s="111"/>
      <c r="C20" s="31"/>
      <c r="D20" s="35"/>
      <c r="E20" s="35"/>
    </row>
    <row r="21" spans="1:5" ht="15">
      <c r="A21" s="38"/>
      <c r="B21" s="111"/>
      <c r="C21" s="31"/>
      <c r="D21" s="35"/>
      <c r="E21" s="35"/>
    </row>
    <row r="22" spans="1:5" ht="15">
      <c r="A22" s="38"/>
      <c r="B22" s="111"/>
      <c r="C22" s="31"/>
      <c r="D22" s="35"/>
      <c r="E22" s="35"/>
    </row>
    <row r="23" spans="1:5" ht="15">
      <c r="A23" s="38"/>
      <c r="B23" s="111"/>
      <c r="C23" s="31"/>
      <c r="D23" s="35"/>
      <c r="E23" s="35"/>
    </row>
    <row r="24" spans="1:5" ht="15">
      <c r="A24" s="38"/>
      <c r="B24" s="111"/>
      <c r="C24" s="31"/>
      <c r="D24" s="35"/>
      <c r="E24" s="35"/>
    </row>
    <row r="25" spans="1:5" ht="15">
      <c r="A25" s="38"/>
      <c r="B25" s="111"/>
      <c r="C25" s="31"/>
      <c r="D25" s="35"/>
      <c r="E25" s="35"/>
    </row>
    <row r="26" spans="1:5" ht="15">
      <c r="A26" s="36" t="s">
        <v>14</v>
      </c>
      <c r="B26" s="42"/>
      <c r="C26" s="31"/>
      <c r="D26" s="31"/>
      <c r="E26" s="31"/>
    </row>
    <row r="27" spans="1:5" ht="15">
      <c r="A27" s="36" t="s">
        <v>16</v>
      </c>
      <c r="B27" s="42"/>
      <c r="C27" s="43">
        <f>IF(C28*0.1&lt;C26,"Exceed 10% Rule","")</f>
      </c>
      <c r="D27" s="43">
        <f>IF(D28*0.1&lt;D26,"Exceed 10% Rule","")</f>
      </c>
      <c r="E27" s="43">
        <f>IF(E28*0.1&lt;E26,"Exceed 10% Rule","")</f>
      </c>
    </row>
    <row r="28" spans="1:5" ht="15">
      <c r="A28" s="47" t="s">
        <v>497</v>
      </c>
      <c r="B28" s="107"/>
      <c r="C28" s="45">
        <f>SUM(C18:C26)</f>
        <v>0</v>
      </c>
      <c r="D28" s="46">
        <f>SUM(D18:D26)</f>
        <v>0</v>
      </c>
      <c r="E28" s="46">
        <f>SUM(E18:E26)</f>
        <v>0</v>
      </c>
    </row>
    <row r="29" spans="1:5" ht="15">
      <c r="A29" s="28" t="s">
        <v>599</v>
      </c>
      <c r="B29" s="107"/>
      <c r="C29" s="53">
        <f>C16-C28</f>
        <v>0</v>
      </c>
      <c r="D29" s="51">
        <f>D16-D28</f>
        <v>0</v>
      </c>
      <c r="E29" s="51">
        <f>E16-E28</f>
        <v>0</v>
      </c>
    </row>
    <row r="30" spans="1:5" ht="15">
      <c r="A30" s="54" t="str">
        <f>CONCATENATE("",E1-2,"/",E1-1," Budget Authority Amount:")</f>
        <v>2010/2011 Budget Authority Amount:</v>
      </c>
      <c r="B30" s="55"/>
      <c r="C30" s="55">
        <f>inputOth!B55</f>
        <v>0</v>
      </c>
      <c r="D30" s="55">
        <f>inputPrYr!D28</f>
        <v>0</v>
      </c>
      <c r="E30" s="113">
        <f>IF(E29&lt;0,"See Tab E","")</f>
      </c>
    </row>
    <row r="31" spans="1:5" ht="15">
      <c r="A31" s="54"/>
      <c r="B31" s="58"/>
      <c r="C31" s="58">
        <f>IF(C28&gt;C30,"See Tab A","")</f>
      </c>
      <c r="D31" s="58">
        <f>IF(D28&gt;D30,"See Tab C","")</f>
      </c>
      <c r="E31" s="63"/>
    </row>
    <row r="32" spans="1:5" ht="15">
      <c r="A32" s="54"/>
      <c r="B32" s="58"/>
      <c r="C32" s="58">
        <f>IF(C29&lt;0,"See Tab B","")</f>
      </c>
      <c r="D32" s="114">
        <f>IF(D29&lt;0,"See Tab D","")</f>
      </c>
      <c r="E32" s="63"/>
    </row>
    <row r="33" spans="1:5" ht="15">
      <c r="A33" s="14"/>
      <c r="B33" s="14"/>
      <c r="C33" s="63"/>
      <c r="D33" s="63"/>
      <c r="E33" s="63"/>
    </row>
    <row r="34" spans="1:5" ht="15">
      <c r="A34" s="22" t="s">
        <v>481</v>
      </c>
      <c r="B34" s="22"/>
      <c r="C34" s="88"/>
      <c r="D34" s="88"/>
      <c r="E34" s="88"/>
    </row>
    <row r="35" spans="1:5" ht="15">
      <c r="A35" s="14"/>
      <c r="B35" s="14"/>
      <c r="C35" s="91" t="s">
        <v>482</v>
      </c>
      <c r="D35" s="23" t="s">
        <v>483</v>
      </c>
      <c r="E35" s="23" t="s">
        <v>484</v>
      </c>
    </row>
    <row r="36" spans="1:5" ht="15">
      <c r="A36" s="102">
        <f>inputPrYr!B29</f>
        <v>0</v>
      </c>
      <c r="B36" s="24"/>
      <c r="C36" s="27" t="str">
        <f>C5</f>
        <v>Actual 2010</v>
      </c>
      <c r="D36" s="27" t="str">
        <f>D5</f>
        <v>Estimate 2011</v>
      </c>
      <c r="E36" s="27" t="str">
        <f>E5</f>
        <v>Year 2012</v>
      </c>
    </row>
    <row r="37" spans="1:5" ht="15">
      <c r="A37" s="106" t="s">
        <v>625</v>
      </c>
      <c r="B37" s="107"/>
      <c r="C37" s="31"/>
      <c r="D37" s="33">
        <f>C60</f>
        <v>0</v>
      </c>
      <c r="E37" s="33">
        <f>D60</f>
        <v>0</v>
      </c>
    </row>
    <row r="38" spans="1:5" s="16" customFormat="1" ht="15">
      <c r="A38" s="106" t="s">
        <v>600</v>
      </c>
      <c r="B38" s="107"/>
      <c r="C38" s="109"/>
      <c r="D38" s="110"/>
      <c r="E38" s="110"/>
    </row>
    <row r="39" spans="1:5" ht="15">
      <c r="A39" s="38"/>
      <c r="B39" s="111"/>
      <c r="C39" s="31"/>
      <c r="D39" s="35"/>
      <c r="E39" s="35"/>
    </row>
    <row r="40" spans="1:5" ht="15">
      <c r="A40" s="38"/>
      <c r="B40" s="111"/>
      <c r="C40" s="31"/>
      <c r="D40" s="35"/>
      <c r="E40" s="35"/>
    </row>
    <row r="41" spans="1:5" ht="15">
      <c r="A41" s="38"/>
      <c r="B41" s="111"/>
      <c r="C41" s="31"/>
      <c r="D41" s="35"/>
      <c r="E41" s="35"/>
    </row>
    <row r="42" spans="1:5" ht="15">
      <c r="A42" s="38"/>
      <c r="B42" s="111"/>
      <c r="C42" s="31"/>
      <c r="D42" s="35"/>
      <c r="E42" s="35"/>
    </row>
    <row r="43" spans="1:5" ht="15">
      <c r="A43" s="112" t="s">
        <v>493</v>
      </c>
      <c r="B43" s="111"/>
      <c r="C43" s="31"/>
      <c r="D43" s="35"/>
      <c r="E43" s="35"/>
    </row>
    <row r="44" spans="1:5" ht="15">
      <c r="A44" s="41" t="s">
        <v>14</v>
      </c>
      <c r="B44" s="42"/>
      <c r="C44" s="31"/>
      <c r="D44" s="31"/>
      <c r="E44" s="31"/>
    </row>
    <row r="45" spans="1:5" ht="15">
      <c r="A45" s="41" t="s">
        <v>15</v>
      </c>
      <c r="B45" s="42"/>
      <c r="C45" s="43">
        <f>IF(C46*0.1&lt;C44,"Exceed 10% Rule","")</f>
      </c>
      <c r="D45" s="43">
        <f>IF(D46*0.1&lt;D44,"Exceed 10% Rule","")</f>
      </c>
      <c r="E45" s="43">
        <f>IF(E46*0.1&lt;E44,"Exceed 10% Rule","")</f>
      </c>
    </row>
    <row r="46" spans="1:5" ht="15">
      <c r="A46" s="47" t="s">
        <v>494</v>
      </c>
      <c r="B46" s="107"/>
      <c r="C46" s="45">
        <f>SUM(C39:C44)</f>
        <v>0</v>
      </c>
      <c r="D46" s="46">
        <f>SUM(D39:D44)</f>
        <v>0</v>
      </c>
      <c r="E46" s="46">
        <f>SUM(E39:E44)</f>
        <v>0</v>
      </c>
    </row>
    <row r="47" spans="1:5" ht="15">
      <c r="A47" s="47" t="s">
        <v>495</v>
      </c>
      <c r="B47" s="107"/>
      <c r="C47" s="45">
        <f>C37+C46</f>
        <v>0</v>
      </c>
      <c r="D47" s="46">
        <f>D37+D46</f>
        <v>0</v>
      </c>
      <c r="E47" s="46">
        <f>E37+E46</f>
        <v>0</v>
      </c>
    </row>
    <row r="48" spans="1:5" ht="15">
      <c r="A48" s="28" t="s">
        <v>496</v>
      </c>
      <c r="B48" s="107"/>
      <c r="C48" s="32"/>
      <c r="D48" s="33"/>
      <c r="E48" s="33"/>
    </row>
    <row r="49" spans="1:5" ht="15">
      <c r="A49" s="38"/>
      <c r="B49" s="111"/>
      <c r="C49" s="31"/>
      <c r="D49" s="35"/>
      <c r="E49" s="35"/>
    </row>
    <row r="50" spans="1:5" ht="15">
      <c r="A50" s="38"/>
      <c r="B50" s="111"/>
      <c r="C50" s="31"/>
      <c r="D50" s="35"/>
      <c r="E50" s="35"/>
    </row>
    <row r="51" spans="1:5" ht="15">
      <c r="A51" s="38"/>
      <c r="B51" s="111"/>
      <c r="C51" s="31"/>
      <c r="D51" s="35"/>
      <c r="E51" s="35"/>
    </row>
    <row r="52" spans="1:5" ht="15">
      <c r="A52" s="38"/>
      <c r="B52" s="111"/>
      <c r="C52" s="31"/>
      <c r="D52" s="35"/>
      <c r="E52" s="35"/>
    </row>
    <row r="53" spans="1:5" ht="15">
      <c r="A53" s="38"/>
      <c r="B53" s="111"/>
      <c r="C53" s="31"/>
      <c r="D53" s="35"/>
      <c r="E53" s="35"/>
    </row>
    <row r="54" spans="1:5" ht="15">
      <c r="A54" s="38"/>
      <c r="B54" s="111"/>
      <c r="C54" s="31"/>
      <c r="D54" s="35"/>
      <c r="E54" s="35"/>
    </row>
    <row r="55" spans="1:5" ht="15">
      <c r="A55" s="38"/>
      <c r="B55" s="111"/>
      <c r="C55" s="31"/>
      <c r="D55" s="35"/>
      <c r="E55" s="35"/>
    </row>
    <row r="56" spans="1:5" ht="15">
      <c r="A56" s="38"/>
      <c r="B56" s="111"/>
      <c r="C56" s="31"/>
      <c r="D56" s="35"/>
      <c r="E56" s="35"/>
    </row>
    <row r="57" spans="1:5" ht="15">
      <c r="A57" s="36" t="s">
        <v>14</v>
      </c>
      <c r="B57" s="42"/>
      <c r="C57" s="31"/>
      <c r="D57" s="31"/>
      <c r="E57" s="31"/>
    </row>
    <row r="58" spans="1:5" ht="15">
      <c r="A58" s="36" t="s">
        <v>16</v>
      </c>
      <c r="B58" s="42"/>
      <c r="C58" s="43">
        <f>IF(C59*0.1&lt;C57,"Exceed 10% Rule","")</f>
      </c>
      <c r="D58" s="43">
        <f>IF(D59*0.1&lt;D57,"Exceed 10% Rule","")</f>
      </c>
      <c r="E58" s="43">
        <f>IF(E59*0.1&lt;E57,"Exceed 10% Rule","")</f>
      </c>
    </row>
    <row r="59" spans="1:5" ht="15">
      <c r="A59" s="47" t="s">
        <v>497</v>
      </c>
      <c r="B59" s="107"/>
      <c r="C59" s="45">
        <f>SUM(C49:C57)</f>
        <v>0</v>
      </c>
      <c r="D59" s="46">
        <f>SUM(D49:D57)</f>
        <v>0</v>
      </c>
      <c r="E59" s="46">
        <f>SUM(E49:E57)</f>
        <v>0</v>
      </c>
    </row>
    <row r="60" spans="1:5" ht="15">
      <c r="A60" s="28" t="s">
        <v>599</v>
      </c>
      <c r="B60" s="107"/>
      <c r="C60" s="53">
        <f>C47-C59</f>
        <v>0</v>
      </c>
      <c r="D60" s="51">
        <f>D47-D59</f>
        <v>0</v>
      </c>
      <c r="E60" s="51">
        <f>E47-E59</f>
        <v>0</v>
      </c>
    </row>
    <row r="61" spans="1:5" ht="15">
      <c r="A61" s="54" t="str">
        <f>CONCATENATE("",E1-2,"/",E1-1," Budget Authority Amount:")</f>
        <v>2010/2011 Budget Authority Amount:</v>
      </c>
      <c r="B61" s="55"/>
      <c r="C61" s="55">
        <f>inputOth!B56</f>
        <v>0</v>
      </c>
      <c r="D61" s="55">
        <f>inputPrYr!D29</f>
        <v>0</v>
      </c>
      <c r="E61" s="58">
        <f>IF(E60&lt;0,"See Tab E","")</f>
      </c>
    </row>
    <row r="62" spans="1:5" ht="15">
      <c r="A62" s="54"/>
      <c r="B62" s="58"/>
      <c r="C62" s="58">
        <f>IF(C59&gt;C61,"See Tab A","")</f>
      </c>
      <c r="D62" s="58">
        <f>IF(D59&gt;D61,"See Tab C","")</f>
      </c>
      <c r="E62" s="14"/>
    </row>
    <row r="63" spans="1:5" ht="15">
      <c r="A63" s="54"/>
      <c r="B63" s="58"/>
      <c r="C63" s="58">
        <f>IF(C60&lt;0,"See Tab B","")</f>
      </c>
      <c r="D63" s="114">
        <f>IF(D60&lt;0,"See Tab D","")</f>
      </c>
      <c r="E63" s="14"/>
    </row>
    <row r="64" spans="1:5" ht="15">
      <c r="A64" s="14"/>
      <c r="B64" s="14"/>
      <c r="C64" s="14"/>
      <c r="D64" s="14"/>
      <c r="E64" s="14"/>
    </row>
    <row r="65" spans="1:5" ht="15">
      <c r="A65" s="59"/>
      <c r="B65" s="59" t="s">
        <v>480</v>
      </c>
      <c r="C65" s="87"/>
      <c r="D65" s="14"/>
      <c r="E65" s="14"/>
    </row>
  </sheetData>
  <sheetProtection sheet="1"/>
  <conditionalFormatting sqref="C57">
    <cfRule type="cellIs" priority="3" dxfId="127" operator="greaterThan" stopIfTrue="1">
      <formula>$C$59*0.1</formula>
    </cfRule>
  </conditionalFormatting>
  <conditionalFormatting sqref="D57">
    <cfRule type="cellIs" priority="4" dxfId="127" operator="greaterThan" stopIfTrue="1">
      <formula>$D$59*0.1</formula>
    </cfRule>
  </conditionalFormatting>
  <conditionalFormatting sqref="E57">
    <cfRule type="cellIs" priority="5" dxfId="127" operator="greaterThan" stopIfTrue="1">
      <formula>$E$59*0.1</formula>
    </cfRule>
  </conditionalFormatting>
  <conditionalFormatting sqref="C44">
    <cfRule type="cellIs" priority="6" dxfId="127" operator="greaterThan" stopIfTrue="1">
      <formula>$C$46*0.1</formula>
    </cfRule>
  </conditionalFormatting>
  <conditionalFormatting sqref="D44">
    <cfRule type="cellIs" priority="7" dxfId="127" operator="greaterThan" stopIfTrue="1">
      <formula>$D$46*0.1</formula>
    </cfRule>
  </conditionalFormatting>
  <conditionalFormatting sqref="E44">
    <cfRule type="cellIs" priority="8" dxfId="127" operator="greaterThan" stopIfTrue="1">
      <formula>$E$46*0.1</formula>
    </cfRule>
  </conditionalFormatting>
  <conditionalFormatting sqref="C26">
    <cfRule type="cellIs" priority="9" dxfId="127" operator="greaterThan" stopIfTrue="1">
      <formula>$C$28*0.1</formula>
    </cfRule>
  </conditionalFormatting>
  <conditionalFormatting sqref="D26">
    <cfRule type="cellIs" priority="10" dxfId="127" operator="greaterThan" stopIfTrue="1">
      <formula>$D$28*0.1</formula>
    </cfRule>
  </conditionalFormatting>
  <conditionalFormatting sqref="E26">
    <cfRule type="cellIs" priority="11" dxfId="127" operator="greaterThan" stopIfTrue="1">
      <formula>$E$28*0.1</formula>
    </cfRule>
  </conditionalFormatting>
  <conditionalFormatting sqref="C13">
    <cfRule type="cellIs" priority="12" dxfId="127" operator="greaterThan" stopIfTrue="1">
      <formula>$C$15*0.1</formula>
    </cfRule>
  </conditionalFormatting>
  <conditionalFormatting sqref="D13">
    <cfRule type="cellIs" priority="13" dxfId="127" operator="greaterThan" stopIfTrue="1">
      <formula>$D$15*0.1</formula>
    </cfRule>
  </conditionalFormatting>
  <conditionalFormatting sqref="E13">
    <cfRule type="cellIs" priority="14" dxfId="12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2" sqref="D22"/>
    </sheetView>
  </sheetViews>
  <sheetFormatPr defaultColWidth="8.796875" defaultRowHeight="15.75"/>
  <cols>
    <col min="1" max="1" width="10.3984375" style="103" customWidth="1"/>
    <col min="2" max="2" width="6.69921875" style="103" customWidth="1"/>
    <col min="3" max="3" width="10.3984375" style="103" customWidth="1"/>
    <col min="4" max="4" width="6.69921875" style="103" customWidth="1"/>
    <col min="5" max="5" width="10.3984375" style="103" customWidth="1"/>
    <col min="6" max="6" width="6.69921875" style="103" customWidth="1"/>
    <col min="7" max="7" width="10.3984375" style="103" customWidth="1"/>
    <col min="8" max="8" width="6.69921875" style="103" customWidth="1"/>
    <col min="9" max="9" width="10.3984375" style="103" customWidth="1"/>
    <col min="10" max="16384" width="8.796875" style="103" customWidth="1"/>
  </cols>
  <sheetData>
    <row r="1" spans="1:11" ht="15">
      <c r="A1" s="115" t="str">
        <f>inputPrYr!$D$2</f>
        <v>ODESSA TOWNSHIP</v>
      </c>
      <c r="B1" s="116"/>
      <c r="C1" s="117"/>
      <c r="D1" s="117"/>
      <c r="E1" s="117"/>
      <c r="F1" s="118" t="s">
        <v>134</v>
      </c>
      <c r="G1" s="117"/>
      <c r="H1" s="117"/>
      <c r="I1" s="117"/>
      <c r="J1" s="117"/>
      <c r="K1" s="117">
        <f>inputPrYr!$D$5</f>
        <v>2012</v>
      </c>
    </row>
    <row r="2" spans="1:11" ht="15">
      <c r="A2" s="117"/>
      <c r="B2" s="117"/>
      <c r="C2" s="117"/>
      <c r="D2" s="117"/>
      <c r="E2" s="117"/>
      <c r="F2" s="119" t="str">
        <f>CONCATENATE("(Only the actual budget year for ",K1-2," is to be shown)")</f>
        <v>(Only the actual budget year for 2010 is to be shown)</v>
      </c>
      <c r="G2" s="117"/>
      <c r="H2" s="117"/>
      <c r="I2" s="117"/>
      <c r="J2" s="117"/>
      <c r="K2" s="117"/>
    </row>
    <row r="3" spans="1:11" ht="15">
      <c r="A3" s="117" t="s">
        <v>135</v>
      </c>
      <c r="B3" s="117"/>
      <c r="C3" s="117"/>
      <c r="D3" s="117"/>
      <c r="E3" s="117"/>
      <c r="F3" s="116"/>
      <c r="G3" s="117"/>
      <c r="H3" s="117"/>
      <c r="I3" s="117"/>
      <c r="J3" s="117"/>
      <c r="K3" s="117"/>
    </row>
    <row r="4" spans="1:11" ht="15">
      <c r="A4" s="117" t="s">
        <v>136</v>
      </c>
      <c r="B4" s="117"/>
      <c r="C4" s="117" t="s">
        <v>137</v>
      </c>
      <c r="D4" s="117"/>
      <c r="E4" s="117" t="s">
        <v>138</v>
      </c>
      <c r="F4" s="116"/>
      <c r="G4" s="117" t="s">
        <v>139</v>
      </c>
      <c r="H4" s="117"/>
      <c r="I4" s="117" t="s">
        <v>140</v>
      </c>
      <c r="J4" s="117"/>
      <c r="K4" s="117"/>
    </row>
    <row r="5" spans="1:11" ht="15">
      <c r="A5" s="521" t="str">
        <f>inputPrYr!B33</f>
        <v>a</v>
      </c>
      <c r="B5" s="520"/>
      <c r="C5" s="521" t="str">
        <f>inputPrYr!B34</f>
        <v>b</v>
      </c>
      <c r="D5" s="520"/>
      <c r="E5" s="521" t="str">
        <f>inputPrYr!B35</f>
        <v>c</v>
      </c>
      <c r="F5" s="520"/>
      <c r="G5" s="519" t="str">
        <f>inputPrYr!B36</f>
        <v>d</v>
      </c>
      <c r="H5" s="520"/>
      <c r="I5" s="519" t="str">
        <f>inputPrYr!B37</f>
        <v>e</v>
      </c>
      <c r="J5" s="520"/>
      <c r="K5" s="121"/>
    </row>
    <row r="6" spans="1:11" ht="15">
      <c r="A6" s="122" t="s">
        <v>141</v>
      </c>
      <c r="B6" s="123"/>
      <c r="C6" s="124" t="s">
        <v>141</v>
      </c>
      <c r="D6" s="125"/>
      <c r="E6" s="124" t="s">
        <v>141</v>
      </c>
      <c r="F6" s="126"/>
      <c r="G6" s="124" t="s">
        <v>141</v>
      </c>
      <c r="H6" s="120"/>
      <c r="I6" s="124" t="s">
        <v>141</v>
      </c>
      <c r="J6" s="117"/>
      <c r="K6" s="127" t="s">
        <v>84</v>
      </c>
    </row>
    <row r="7" spans="1:11" ht="15">
      <c r="A7" s="128" t="s">
        <v>142</v>
      </c>
      <c r="B7" s="129"/>
      <c r="C7" s="130" t="s">
        <v>142</v>
      </c>
      <c r="D7" s="129"/>
      <c r="E7" s="130" t="s">
        <v>142</v>
      </c>
      <c r="F7" s="129"/>
      <c r="G7" s="130" t="s">
        <v>142</v>
      </c>
      <c r="H7" s="129"/>
      <c r="I7" s="130" t="s">
        <v>142</v>
      </c>
      <c r="J7" s="129"/>
      <c r="K7" s="131">
        <f>SUM(B7+D7+F7+H7+J7)</f>
        <v>0</v>
      </c>
    </row>
    <row r="8" spans="1:11" ht="15">
      <c r="A8" s="132" t="s">
        <v>600</v>
      </c>
      <c r="B8" s="133"/>
      <c r="C8" s="132" t="s">
        <v>600</v>
      </c>
      <c r="D8" s="134"/>
      <c r="E8" s="132" t="s">
        <v>600</v>
      </c>
      <c r="F8" s="116"/>
      <c r="G8" s="132" t="s">
        <v>600</v>
      </c>
      <c r="H8" s="117"/>
      <c r="I8" s="132" t="s">
        <v>600</v>
      </c>
      <c r="J8" s="117"/>
      <c r="K8" s="116"/>
    </row>
    <row r="9" spans="1:11" ht="15">
      <c r="A9" s="135"/>
      <c r="B9" s="129"/>
      <c r="C9" s="135"/>
      <c r="D9" s="129"/>
      <c r="E9" s="135"/>
      <c r="F9" s="129"/>
      <c r="G9" s="135"/>
      <c r="H9" s="129"/>
      <c r="I9" s="135"/>
      <c r="J9" s="129"/>
      <c r="K9" s="116"/>
    </row>
    <row r="10" spans="1:11" ht="15">
      <c r="A10" s="135"/>
      <c r="B10" s="129"/>
      <c r="C10" s="135"/>
      <c r="D10" s="129"/>
      <c r="E10" s="135"/>
      <c r="F10" s="129"/>
      <c r="G10" s="135"/>
      <c r="H10" s="129"/>
      <c r="I10" s="135"/>
      <c r="J10" s="129"/>
      <c r="K10" s="116"/>
    </row>
    <row r="11" spans="1:11" ht="15">
      <c r="A11" s="135"/>
      <c r="B11" s="129"/>
      <c r="C11" s="136"/>
      <c r="D11" s="137"/>
      <c r="E11" s="136"/>
      <c r="F11" s="129"/>
      <c r="G11" s="136"/>
      <c r="H11" s="129"/>
      <c r="I11" s="138"/>
      <c r="J11" s="129"/>
      <c r="K11" s="116"/>
    </row>
    <row r="12" spans="1:11" ht="15">
      <c r="A12" s="135"/>
      <c r="B12" s="139"/>
      <c r="C12" s="135"/>
      <c r="D12" s="140"/>
      <c r="E12" s="141"/>
      <c r="F12" s="129"/>
      <c r="G12" s="141"/>
      <c r="H12" s="129"/>
      <c r="I12" s="141"/>
      <c r="J12" s="129"/>
      <c r="K12" s="116"/>
    </row>
    <row r="13" spans="1:11" ht="15">
      <c r="A13" s="142"/>
      <c r="B13" s="143"/>
      <c r="C13" s="144"/>
      <c r="D13" s="140"/>
      <c r="E13" s="144"/>
      <c r="F13" s="129"/>
      <c r="G13" s="144"/>
      <c r="H13" s="129"/>
      <c r="I13" s="138"/>
      <c r="J13" s="129"/>
      <c r="K13" s="116"/>
    </row>
    <row r="14" spans="1:11" ht="15">
      <c r="A14" s="135"/>
      <c r="B14" s="129"/>
      <c r="C14" s="141"/>
      <c r="D14" s="140"/>
      <c r="E14" s="141"/>
      <c r="F14" s="129"/>
      <c r="G14" s="141"/>
      <c r="H14" s="129"/>
      <c r="I14" s="141"/>
      <c r="J14" s="129"/>
      <c r="K14" s="116"/>
    </row>
    <row r="15" spans="1:11" ht="15">
      <c r="A15" s="135"/>
      <c r="B15" s="129"/>
      <c r="C15" s="141"/>
      <c r="D15" s="140"/>
      <c r="E15" s="141"/>
      <c r="F15" s="129"/>
      <c r="G15" s="141"/>
      <c r="H15" s="129"/>
      <c r="I15" s="141"/>
      <c r="J15" s="129"/>
      <c r="K15" s="116"/>
    </row>
    <row r="16" spans="1:11" ht="15">
      <c r="A16" s="135"/>
      <c r="B16" s="143"/>
      <c r="C16" s="135"/>
      <c r="D16" s="140"/>
      <c r="E16" s="135"/>
      <c r="F16" s="129"/>
      <c r="G16" s="141"/>
      <c r="H16" s="129"/>
      <c r="I16" s="135"/>
      <c r="J16" s="129"/>
      <c r="K16" s="116"/>
    </row>
    <row r="17" spans="1:11" ht="15">
      <c r="A17" s="132" t="s">
        <v>494</v>
      </c>
      <c r="B17" s="131">
        <f>SUM(B9:B16)</f>
        <v>0</v>
      </c>
      <c r="C17" s="132" t="s">
        <v>494</v>
      </c>
      <c r="D17" s="131">
        <f>SUM(D9:D16)</f>
        <v>0</v>
      </c>
      <c r="E17" s="132" t="s">
        <v>494</v>
      </c>
      <c r="F17" s="145">
        <f>SUM(F9:F16)</f>
        <v>0</v>
      </c>
      <c r="G17" s="132" t="s">
        <v>494</v>
      </c>
      <c r="H17" s="131">
        <f>SUM(H9:H16)</f>
        <v>0</v>
      </c>
      <c r="I17" s="132" t="s">
        <v>494</v>
      </c>
      <c r="J17" s="131">
        <f>SUM(J9:J16)</f>
        <v>0</v>
      </c>
      <c r="K17" s="131">
        <f>SUM(B17+D17+F17+H17+J17)</f>
        <v>0</v>
      </c>
    </row>
    <row r="18" spans="1:11" ht="15">
      <c r="A18" s="132" t="s">
        <v>495</v>
      </c>
      <c r="B18" s="131">
        <f>SUM(B7+B17)</f>
        <v>0</v>
      </c>
      <c r="C18" s="132" t="s">
        <v>495</v>
      </c>
      <c r="D18" s="131">
        <f>SUM(D7+D17)</f>
        <v>0</v>
      </c>
      <c r="E18" s="132" t="s">
        <v>495</v>
      </c>
      <c r="F18" s="131">
        <f>SUM(F7+F17)</f>
        <v>0</v>
      </c>
      <c r="G18" s="132" t="s">
        <v>495</v>
      </c>
      <c r="H18" s="131">
        <f>SUM(H7+H17)</f>
        <v>0</v>
      </c>
      <c r="I18" s="132" t="s">
        <v>495</v>
      </c>
      <c r="J18" s="131">
        <f>SUM(J7+J17)</f>
        <v>0</v>
      </c>
      <c r="K18" s="131">
        <f>SUM(B18+D18+F18+H18+J18)</f>
        <v>0</v>
      </c>
    </row>
    <row r="19" spans="1:11" ht="15">
      <c r="A19" s="132" t="s">
        <v>496</v>
      </c>
      <c r="B19" s="133"/>
      <c r="C19" s="132" t="s">
        <v>496</v>
      </c>
      <c r="D19" s="134"/>
      <c r="E19" s="132" t="s">
        <v>496</v>
      </c>
      <c r="F19" s="116"/>
      <c r="G19" s="132" t="s">
        <v>496</v>
      </c>
      <c r="H19" s="117"/>
      <c r="I19" s="132" t="s">
        <v>496</v>
      </c>
      <c r="J19" s="117"/>
      <c r="K19" s="116"/>
    </row>
    <row r="20" spans="1:11" ht="15">
      <c r="A20" s="135"/>
      <c r="B20" s="129"/>
      <c r="C20" s="141"/>
      <c r="D20" s="129"/>
      <c r="E20" s="141"/>
      <c r="F20" s="129"/>
      <c r="G20" s="141"/>
      <c r="H20" s="129"/>
      <c r="I20" s="141"/>
      <c r="J20" s="129"/>
      <c r="K20" s="116"/>
    </row>
    <row r="21" spans="1:11" ht="15">
      <c r="A21" s="135"/>
      <c r="B21" s="129"/>
      <c r="C21" s="141"/>
      <c r="D21" s="129"/>
      <c r="E21" s="141"/>
      <c r="F21" s="129"/>
      <c r="G21" s="141"/>
      <c r="H21" s="129"/>
      <c r="I21" s="141"/>
      <c r="J21" s="129"/>
      <c r="K21" s="116"/>
    </row>
    <row r="22" spans="1:11" ht="15">
      <c r="A22" s="135"/>
      <c r="B22" s="129"/>
      <c r="C22" s="144"/>
      <c r="D22" s="129"/>
      <c r="E22" s="144"/>
      <c r="F22" s="129"/>
      <c r="G22" s="144"/>
      <c r="H22" s="129"/>
      <c r="I22" s="138"/>
      <c r="J22" s="129"/>
      <c r="K22" s="116"/>
    </row>
    <row r="23" spans="1:11" ht="15">
      <c r="A23" s="135"/>
      <c r="B23" s="129"/>
      <c r="C23" s="141"/>
      <c r="D23" s="129"/>
      <c r="E23" s="141"/>
      <c r="F23" s="129"/>
      <c r="G23" s="141"/>
      <c r="H23" s="129"/>
      <c r="I23" s="141"/>
      <c r="J23" s="129"/>
      <c r="K23" s="116"/>
    </row>
    <row r="24" spans="1:11" ht="15">
      <c r="A24" s="135"/>
      <c r="B24" s="129"/>
      <c r="C24" s="144"/>
      <c r="D24" s="129"/>
      <c r="E24" s="144"/>
      <c r="F24" s="129"/>
      <c r="G24" s="144"/>
      <c r="H24" s="129"/>
      <c r="I24" s="138"/>
      <c r="J24" s="129"/>
      <c r="K24" s="116"/>
    </row>
    <row r="25" spans="1:11" ht="15">
      <c r="A25" s="135"/>
      <c r="B25" s="129"/>
      <c r="C25" s="141"/>
      <c r="D25" s="129"/>
      <c r="E25" s="141"/>
      <c r="F25" s="129"/>
      <c r="G25" s="141"/>
      <c r="H25" s="129"/>
      <c r="I25" s="141"/>
      <c r="J25" s="129"/>
      <c r="K25" s="116"/>
    </row>
    <row r="26" spans="1:11" ht="15">
      <c r="A26" s="135"/>
      <c r="B26" s="129"/>
      <c r="C26" s="141"/>
      <c r="D26" s="129"/>
      <c r="E26" s="141"/>
      <c r="F26" s="129"/>
      <c r="G26" s="141"/>
      <c r="H26" s="129"/>
      <c r="I26" s="141"/>
      <c r="J26" s="129"/>
      <c r="K26" s="116"/>
    </row>
    <row r="27" spans="1:11" ht="15">
      <c r="A27" s="135"/>
      <c r="B27" s="129"/>
      <c r="C27" s="135"/>
      <c r="D27" s="129"/>
      <c r="E27" s="135"/>
      <c r="F27" s="129"/>
      <c r="G27" s="141"/>
      <c r="H27" s="129"/>
      <c r="I27" s="141"/>
      <c r="J27" s="129"/>
      <c r="K27" s="116"/>
    </row>
    <row r="28" spans="1:11" ht="15">
      <c r="A28" s="132" t="s">
        <v>497</v>
      </c>
      <c r="B28" s="131">
        <f>SUM(B20:B27)</f>
        <v>0</v>
      </c>
      <c r="C28" s="132" t="s">
        <v>497</v>
      </c>
      <c r="D28" s="131">
        <f>SUM(D20:D27)</f>
        <v>0</v>
      </c>
      <c r="E28" s="132" t="s">
        <v>497</v>
      </c>
      <c r="F28" s="145">
        <f>SUM(F20:F27)</f>
        <v>0</v>
      </c>
      <c r="G28" s="132" t="s">
        <v>497</v>
      </c>
      <c r="H28" s="145">
        <f>SUM(H20:H27)</f>
        <v>0</v>
      </c>
      <c r="I28" s="132" t="s">
        <v>497</v>
      </c>
      <c r="J28" s="131">
        <f>SUM(J20:J27)</f>
        <v>0</v>
      </c>
      <c r="K28" s="131">
        <f>SUM(B28+D28+F28+H28+J28)</f>
        <v>0</v>
      </c>
    </row>
    <row r="29" spans="1:12" ht="15">
      <c r="A29" s="132" t="s">
        <v>143</v>
      </c>
      <c r="B29" s="131">
        <f>SUM(B18-B28)</f>
        <v>0</v>
      </c>
      <c r="C29" s="132" t="s">
        <v>143</v>
      </c>
      <c r="D29" s="131">
        <f>SUM(D18-D28)</f>
        <v>0</v>
      </c>
      <c r="E29" s="132" t="s">
        <v>143</v>
      </c>
      <c r="F29" s="131">
        <f>SUM(F18-F28)</f>
        <v>0</v>
      </c>
      <c r="G29" s="132" t="s">
        <v>143</v>
      </c>
      <c r="H29" s="131">
        <f>SUM(H18-H28)</f>
        <v>0</v>
      </c>
      <c r="I29" s="132" t="s">
        <v>143</v>
      </c>
      <c r="J29" s="131">
        <f>SUM(J18-J28)</f>
        <v>0</v>
      </c>
      <c r="K29" s="146">
        <f>SUM(B29+D29+F29+H29+J29)</f>
        <v>0</v>
      </c>
      <c r="L29" s="103" t="s">
        <v>144</v>
      </c>
    </row>
    <row r="30" spans="1:12" ht="15">
      <c r="A30" s="132"/>
      <c r="B30" s="151">
        <f>IF(B29&lt;0,"See Tab B","")</f>
      </c>
      <c r="C30" s="132"/>
      <c r="D30" s="151">
        <f>IF(D29&lt;0,"See Tab B","")</f>
      </c>
      <c r="E30" s="132"/>
      <c r="F30" s="151">
        <f>IF(F29&lt;0,"See Tab B","")</f>
      </c>
      <c r="G30" s="117"/>
      <c r="H30" s="151">
        <f>IF(H29&lt;0,"See Tab B","")</f>
      </c>
      <c r="I30" s="117"/>
      <c r="J30" s="151">
        <f>IF(J29&lt;0,"See Tab B","")</f>
      </c>
      <c r="K30" s="146">
        <f>SUM(K7+K17-K28)</f>
        <v>0</v>
      </c>
      <c r="L30" s="103" t="s">
        <v>144</v>
      </c>
    </row>
    <row r="31" spans="1:11" ht="15">
      <c r="A31" s="117"/>
      <c r="B31" s="147"/>
      <c r="C31" s="117"/>
      <c r="D31" s="116"/>
      <c r="E31" s="117"/>
      <c r="F31" s="117"/>
      <c r="G31" s="148" t="s">
        <v>145</v>
      </c>
      <c r="H31" s="148"/>
      <c r="I31" s="148"/>
      <c r="J31" s="148"/>
      <c r="K31" s="117"/>
    </row>
    <row r="32" spans="1:11" ht="15">
      <c r="A32" s="117"/>
      <c r="B32" s="147"/>
      <c r="C32" s="117"/>
      <c r="D32" s="117"/>
      <c r="E32" s="117"/>
      <c r="F32" s="117"/>
      <c r="G32" s="117"/>
      <c r="H32" s="117"/>
      <c r="I32" s="117"/>
      <c r="J32" s="117"/>
      <c r="K32" s="117"/>
    </row>
    <row r="33" spans="1:11" ht="15">
      <c r="A33" s="117"/>
      <c r="B33" s="147"/>
      <c r="C33" s="117"/>
      <c r="D33" s="117"/>
      <c r="E33" s="149" t="s">
        <v>480</v>
      </c>
      <c r="F33" s="87"/>
      <c r="G33" s="117"/>
      <c r="H33" s="117"/>
      <c r="I33" s="117"/>
      <c r="J33" s="117"/>
      <c r="K33" s="117"/>
    </row>
    <row r="34" ht="15">
      <c r="B34" s="150"/>
    </row>
    <row r="35" ht="15">
      <c r="B35" s="150"/>
    </row>
    <row r="36" ht="15">
      <c r="B36" s="150"/>
    </row>
    <row r="37" ht="15">
      <c r="B37" s="150"/>
    </row>
    <row r="38" ht="15">
      <c r="B38" s="150"/>
    </row>
    <row r="39" ht="15">
      <c r="B39" s="150"/>
    </row>
    <row r="40" ht="15">
      <c r="B40" s="150"/>
    </row>
    <row r="41" ht="15">
      <c r="B41" s="15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Footer>&amp;Lrevised 8/25/09</oddFooter>
  </headerFooter>
</worksheet>
</file>

<file path=xl/worksheets/sheet19.xml><?xml version="1.0" encoding="utf-8"?>
<worksheet xmlns="http://schemas.openxmlformats.org/spreadsheetml/2006/main" xmlns:r="http://schemas.openxmlformats.org/officeDocument/2006/relationships">
  <dimension ref="A1:A23"/>
  <sheetViews>
    <sheetView zoomScalePageLayoutView="0" workbookViewId="0" topLeftCell="A1">
      <selection activeCell="A2" sqref="A2"/>
    </sheetView>
  </sheetViews>
  <sheetFormatPr defaultColWidth="8.796875" defaultRowHeight="15.75"/>
  <cols>
    <col min="1" max="1" width="62.3984375" style="12" customWidth="1"/>
    <col min="2" max="16384" width="8.796875" style="12" customWidth="1"/>
  </cols>
  <sheetData>
    <row r="1" ht="20.25">
      <c r="A1" s="192" t="s">
        <v>153</v>
      </c>
    </row>
    <row r="2" ht="54.75" customHeight="1">
      <c r="A2" s="193" t="s">
        <v>154</v>
      </c>
    </row>
    <row r="3" ht="15">
      <c r="A3" s="194"/>
    </row>
    <row r="4" ht="56.25" customHeight="1">
      <c r="A4" s="193" t="s">
        <v>155</v>
      </c>
    </row>
    <row r="5" ht="15">
      <c r="A5" s="103"/>
    </row>
    <row r="6" ht="50.25" customHeight="1">
      <c r="A6" s="193" t="s">
        <v>156</v>
      </c>
    </row>
    <row r="7" ht="15">
      <c r="A7" s="194"/>
    </row>
    <row r="8" ht="40.5" customHeight="1">
      <c r="A8" s="193" t="s">
        <v>157</v>
      </c>
    </row>
    <row r="9" ht="15">
      <c r="A9" s="103"/>
    </row>
    <row r="10" ht="40.5" customHeight="1">
      <c r="A10" s="193" t="s">
        <v>158</v>
      </c>
    </row>
    <row r="11" ht="15">
      <c r="A11" s="194"/>
    </row>
    <row r="12" ht="71.25" customHeight="1">
      <c r="A12" s="193" t="s">
        <v>159</v>
      </c>
    </row>
    <row r="13" ht="15">
      <c r="A13" s="194"/>
    </row>
    <row r="14" ht="40.5" customHeight="1">
      <c r="A14" s="193" t="s">
        <v>160</v>
      </c>
    </row>
    <row r="15" ht="15">
      <c r="A15" s="103"/>
    </row>
    <row r="16" ht="49.5" customHeight="1">
      <c r="A16" s="193" t="s">
        <v>161</v>
      </c>
    </row>
    <row r="17" ht="15">
      <c r="A17" s="194"/>
    </row>
    <row r="18" ht="52.5" customHeight="1">
      <c r="A18" s="193" t="s">
        <v>162</v>
      </c>
    </row>
    <row r="19" ht="15">
      <c r="A19" s="194"/>
    </row>
    <row r="20" ht="48.75" customHeight="1">
      <c r="A20" s="193" t="s">
        <v>163</v>
      </c>
    </row>
    <row r="21" ht="15">
      <c r="A21" s="194"/>
    </row>
    <row r="22" ht="15">
      <c r="A22" s="103"/>
    </row>
    <row r="23" ht="51.75" customHeight="1">
      <c r="A23" s="193" t="s">
        <v>164</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53" t="s">
        <v>78</v>
      </c>
      <c r="B1" s="14"/>
      <c r="C1" s="14"/>
      <c r="D1" s="14"/>
      <c r="E1" s="14"/>
    </row>
    <row r="2" spans="1:5" ht="15">
      <c r="A2" s="90" t="s">
        <v>29</v>
      </c>
      <c r="B2" s="14"/>
      <c r="C2" s="14"/>
      <c r="D2" s="325" t="s">
        <v>693</v>
      </c>
      <c r="E2" s="19"/>
    </row>
    <row r="3" spans="1:5" ht="15">
      <c r="A3" s="90" t="s">
        <v>28</v>
      </c>
      <c r="B3" s="14"/>
      <c r="C3" s="14"/>
      <c r="D3" s="354" t="s">
        <v>467</v>
      </c>
      <c r="E3" s="19"/>
    </row>
    <row r="4" spans="1:5" ht="15">
      <c r="A4" s="14"/>
      <c r="B4" s="14"/>
      <c r="C4" s="14"/>
      <c r="D4" s="14"/>
      <c r="E4" s="14"/>
    </row>
    <row r="5" spans="1:5" ht="15">
      <c r="A5" s="17" t="s">
        <v>627</v>
      </c>
      <c r="B5" s="14"/>
      <c r="C5" s="14"/>
      <c r="D5" s="355">
        <v>2012</v>
      </c>
      <c r="E5" s="14"/>
    </row>
    <row r="6" spans="1:5" ht="15">
      <c r="A6" s="14"/>
      <c r="B6" s="14"/>
      <c r="C6" s="14"/>
      <c r="D6" s="14"/>
      <c r="E6" s="14"/>
    </row>
    <row r="7" spans="1:5" ht="15">
      <c r="A7" s="171" t="s">
        <v>629</v>
      </c>
      <c r="B7" s="175"/>
      <c r="C7" s="175"/>
      <c r="D7" s="175"/>
      <c r="E7" s="175"/>
    </row>
    <row r="8" spans="1:5" ht="15">
      <c r="A8" s="171" t="s">
        <v>687</v>
      </c>
      <c r="B8" s="175"/>
      <c r="C8" s="175"/>
      <c r="D8" s="175"/>
      <c r="E8" s="175"/>
    </row>
    <row r="9" spans="1:5" ht="15">
      <c r="A9" s="14"/>
      <c r="B9" s="14"/>
      <c r="C9" s="14"/>
      <c r="D9" s="14"/>
      <c r="E9" s="14"/>
    </row>
    <row r="10" spans="1:5" ht="15">
      <c r="A10" s="433" t="s">
        <v>640</v>
      </c>
      <c r="B10" s="434"/>
      <c r="C10" s="434"/>
      <c r="D10" s="434"/>
      <c r="E10" s="434"/>
    </row>
    <row r="11" spans="1:5" ht="15">
      <c r="A11" s="90"/>
      <c r="B11" s="14"/>
      <c r="C11" s="14"/>
      <c r="D11" s="14"/>
      <c r="E11" s="14"/>
    </row>
    <row r="12" spans="1:5" ht="15">
      <c r="A12" s="356" t="s">
        <v>628</v>
      </c>
      <c r="B12" s="339"/>
      <c r="C12" s="14"/>
      <c r="D12" s="56"/>
      <c r="E12" s="357"/>
    </row>
    <row r="13" spans="1:5" ht="15">
      <c r="A13" s="358" t="str">
        <f>CONCATENATE("the ",D5-1," Budget, Certificate Page:")</f>
        <v>the 2011 Budget, Certificate Page:</v>
      </c>
      <c r="B13" s="359"/>
      <c r="C13" s="56"/>
      <c r="D13" s="14"/>
      <c r="E13" s="14"/>
    </row>
    <row r="14" spans="1:5" ht="15">
      <c r="A14" s="358" t="s">
        <v>124</v>
      </c>
      <c r="B14" s="359"/>
      <c r="C14" s="56"/>
      <c r="D14" s="360">
        <f>$D$5-1</f>
        <v>2011</v>
      </c>
      <c r="E14" s="361">
        <f>$D$5-2</f>
        <v>2010</v>
      </c>
    </row>
    <row r="15" spans="1:5" ht="15">
      <c r="A15" s="22" t="s">
        <v>80</v>
      </c>
      <c r="B15" s="14"/>
      <c r="C15" s="362" t="s">
        <v>79</v>
      </c>
      <c r="D15" s="363" t="s">
        <v>152</v>
      </c>
      <c r="E15" s="364" t="s">
        <v>487</v>
      </c>
    </row>
    <row r="16" spans="1:5" ht="15">
      <c r="A16" s="14"/>
      <c r="B16" s="94" t="s">
        <v>81</v>
      </c>
      <c r="C16" s="189" t="s">
        <v>82</v>
      </c>
      <c r="D16" s="217">
        <v>8474</v>
      </c>
      <c r="E16" s="217">
        <v>800</v>
      </c>
    </row>
    <row r="17" spans="1:5" ht="15">
      <c r="A17" s="14"/>
      <c r="B17" s="94" t="s">
        <v>108</v>
      </c>
      <c r="C17" s="189" t="s">
        <v>634</v>
      </c>
      <c r="D17" s="217"/>
      <c r="E17" s="217"/>
    </row>
    <row r="18" spans="1:5" ht="15">
      <c r="A18" s="14"/>
      <c r="B18" s="94" t="s">
        <v>83</v>
      </c>
      <c r="C18" s="209" t="s">
        <v>123</v>
      </c>
      <c r="D18" s="217"/>
      <c r="E18" s="217"/>
    </row>
    <row r="19" spans="1:5" ht="15">
      <c r="A19" s="14"/>
      <c r="B19" s="217" t="s">
        <v>690</v>
      </c>
      <c r="C19" s="365"/>
      <c r="D19" s="217">
        <v>0</v>
      </c>
      <c r="E19" s="217">
        <v>0</v>
      </c>
    </row>
    <row r="20" spans="1:5" ht="15">
      <c r="A20" s="14"/>
      <c r="B20" s="217"/>
      <c r="C20" s="365"/>
      <c r="D20" s="217"/>
      <c r="E20" s="217"/>
    </row>
    <row r="21" spans="1:5" ht="15">
      <c r="A21" s="14"/>
      <c r="B21" s="98"/>
      <c r="C21" s="366"/>
      <c r="D21" s="217"/>
      <c r="E21" s="217"/>
    </row>
    <row r="22" spans="1:5" ht="15">
      <c r="A22" s="14"/>
      <c r="B22" s="98"/>
      <c r="C22" s="366"/>
      <c r="D22" s="217"/>
      <c r="E22" s="217"/>
    </row>
    <row r="23" spans="1:5" ht="15">
      <c r="A23" s="14"/>
      <c r="B23" s="98"/>
      <c r="C23" s="366"/>
      <c r="D23" s="217"/>
      <c r="E23" s="217"/>
    </row>
    <row r="24" spans="1:5" ht="15">
      <c r="A24" s="14"/>
      <c r="B24" s="98"/>
      <c r="C24" s="366"/>
      <c r="D24" s="217"/>
      <c r="E24" s="217"/>
    </row>
    <row r="25" spans="1:5" ht="15">
      <c r="A25" s="367" t="str">
        <f>CONCATENATE("Total Ad Valorem Tax for ",D5-1," Budgeted Year")</f>
        <v>Total Ad Valorem Tax for 2011 Budgeted Year</v>
      </c>
      <c r="B25" s="20"/>
      <c r="C25" s="309"/>
      <c r="D25" s="368"/>
      <c r="E25" s="369">
        <f>SUM(E16:E24)</f>
        <v>800</v>
      </c>
    </row>
    <row r="26" spans="1:5" ht="15">
      <c r="A26" s="19"/>
      <c r="B26" s="19"/>
      <c r="C26" s="19"/>
      <c r="D26" s="24"/>
      <c r="E26" s="167"/>
    </row>
    <row r="27" spans="1:5" ht="15">
      <c r="A27" s="14" t="s">
        <v>623</v>
      </c>
      <c r="B27" s="14"/>
      <c r="C27" s="14"/>
      <c r="D27" s="14"/>
      <c r="E27" s="14"/>
    </row>
    <row r="28" spans="1:5" ht="15">
      <c r="A28" s="14"/>
      <c r="B28" s="258"/>
      <c r="C28" s="14"/>
      <c r="D28" s="37"/>
      <c r="E28" s="19"/>
    </row>
    <row r="29" spans="1:5" ht="15">
      <c r="A29" s="14"/>
      <c r="B29" s="258"/>
      <c r="C29" s="14"/>
      <c r="D29" s="37"/>
      <c r="E29" s="19"/>
    </row>
    <row r="30" spans="1:5" ht="15">
      <c r="A30" s="367" t="str">
        <f>CONCATENATE("Total Expenditures for ",D5-1,"")</f>
        <v>Total Expenditures for 2011</v>
      </c>
      <c r="B30" s="370"/>
      <c r="C30" s="301"/>
      <c r="D30" s="186">
        <f>SUM(D16:D24,D28:D29)</f>
        <v>8474</v>
      </c>
      <c r="E30" s="14"/>
    </row>
    <row r="31" spans="1:5" ht="15">
      <c r="A31" s="14"/>
      <c r="B31" s="14"/>
      <c r="C31" s="14"/>
      <c r="D31" s="14"/>
      <c r="E31" s="14"/>
    </row>
    <row r="32" spans="1:5" ht="15">
      <c r="A32" s="319" t="s">
        <v>146</v>
      </c>
      <c r="B32" s="19"/>
      <c r="C32" s="14"/>
      <c r="D32" s="14"/>
      <c r="E32" s="14"/>
    </row>
    <row r="33" spans="1:5" ht="15">
      <c r="A33" s="371">
        <v>1</v>
      </c>
      <c r="B33" s="258" t="s">
        <v>460</v>
      </c>
      <c r="C33" s="14"/>
      <c r="D33" s="14"/>
      <c r="E33" s="14"/>
    </row>
    <row r="34" spans="1:5" ht="15">
      <c r="A34" s="371">
        <v>2</v>
      </c>
      <c r="B34" s="258" t="s">
        <v>461</v>
      </c>
      <c r="C34" s="14"/>
      <c r="D34" s="14"/>
      <c r="E34" s="14"/>
    </row>
    <row r="35" spans="1:5" ht="15">
      <c r="A35" s="371">
        <v>3</v>
      </c>
      <c r="B35" s="258" t="s">
        <v>462</v>
      </c>
      <c r="C35" s="14"/>
      <c r="D35" s="14"/>
      <c r="E35" s="14"/>
    </row>
    <row r="36" spans="1:5" ht="15">
      <c r="A36" s="371">
        <v>4</v>
      </c>
      <c r="B36" s="258" t="s">
        <v>463</v>
      </c>
      <c r="C36" s="14"/>
      <c r="D36" s="14"/>
      <c r="E36" s="14"/>
    </row>
    <row r="37" spans="1:5" ht="15">
      <c r="A37" s="371">
        <v>5</v>
      </c>
      <c r="B37" s="258" t="s">
        <v>464</v>
      </c>
      <c r="C37" s="14"/>
      <c r="D37" s="14"/>
      <c r="E37" s="14"/>
    </row>
    <row r="38" spans="1:5" ht="15">
      <c r="A38" s="14"/>
      <c r="B38" s="14"/>
      <c r="C38" s="14"/>
      <c r="D38" s="14"/>
      <c r="E38" s="14"/>
    </row>
    <row r="39" spans="1:5" ht="15.75" customHeight="1">
      <c r="A39" s="356" t="s">
        <v>628</v>
      </c>
      <c r="B39" s="339"/>
      <c r="C39" s="14"/>
      <c r="D39" s="431" t="str">
        <f>CONCATENATE("",D5-3," Tax Rate                    (",D5-2," Column)")</f>
        <v>2009 Tax Rate                    (2010 Column)</v>
      </c>
      <c r="E39" s="14"/>
    </row>
    <row r="40" spans="1:5" ht="15">
      <c r="A40" s="358" t="str">
        <f>CONCATENATE("the ",D5-1," Budget, Budget Summary Page:")</f>
        <v>the 2011 Budget, Budget Summary Page:</v>
      </c>
      <c r="B40" s="327"/>
      <c r="C40" s="14"/>
      <c r="D40" s="432"/>
      <c r="E40" s="14"/>
    </row>
    <row r="41" spans="1:5" ht="15">
      <c r="A41" s="14"/>
      <c r="B41" s="110" t="str">
        <f aca="true" t="shared" si="0" ref="B41:B49">B16</f>
        <v>General</v>
      </c>
      <c r="C41" s="14"/>
      <c r="D41" s="372">
        <v>0.972</v>
      </c>
      <c r="E41" s="14"/>
    </row>
    <row r="42" spans="1:5" ht="15">
      <c r="A42" s="14"/>
      <c r="B42" s="110" t="str">
        <f t="shared" si="0"/>
        <v>Debt Service</v>
      </c>
      <c r="C42" s="14"/>
      <c r="D42" s="373"/>
      <c r="E42" s="14"/>
    </row>
    <row r="43" spans="1:5" ht="15">
      <c r="A43" s="14"/>
      <c r="B43" s="110" t="str">
        <f t="shared" si="0"/>
        <v>Road</v>
      </c>
      <c r="C43" s="14"/>
      <c r="D43" s="373"/>
      <c r="E43" s="14"/>
    </row>
    <row r="44" spans="1:5" ht="15">
      <c r="A44" s="14"/>
      <c r="B44" s="94" t="str">
        <f t="shared" si="0"/>
        <v>Fire</v>
      </c>
      <c r="C44" s="14"/>
      <c r="D44" s="373" t="s">
        <v>86</v>
      </c>
      <c r="E44" s="14"/>
    </row>
    <row r="45" spans="1:5" ht="15">
      <c r="A45" s="14"/>
      <c r="B45" s="94">
        <f t="shared" si="0"/>
        <v>0</v>
      </c>
      <c r="C45" s="14"/>
      <c r="D45" s="373"/>
      <c r="E45" s="14"/>
    </row>
    <row r="46" spans="1:5" ht="15">
      <c r="A46" s="14"/>
      <c r="B46" s="94">
        <f t="shared" si="0"/>
        <v>0</v>
      </c>
      <c r="C46" s="14"/>
      <c r="D46" s="373"/>
      <c r="E46" s="14"/>
    </row>
    <row r="47" spans="1:5" ht="15">
      <c r="A47" s="14"/>
      <c r="B47" s="94">
        <f t="shared" si="0"/>
        <v>0</v>
      </c>
      <c r="C47" s="14"/>
      <c r="D47" s="373"/>
      <c r="E47" s="14"/>
    </row>
    <row r="48" spans="1:5" ht="15">
      <c r="A48" s="14"/>
      <c r="B48" s="94">
        <f t="shared" si="0"/>
        <v>0</v>
      </c>
      <c r="C48" s="14"/>
      <c r="D48" s="373"/>
      <c r="E48" s="14"/>
    </row>
    <row r="49" spans="1:5" ht="15">
      <c r="A49" s="14"/>
      <c r="B49" s="94">
        <f t="shared" si="0"/>
        <v>0</v>
      </c>
      <c r="C49" s="14"/>
      <c r="D49" s="373"/>
      <c r="E49" s="14"/>
    </row>
    <row r="50" spans="1:5" ht="15.75" thickBot="1">
      <c r="A50" s="93" t="str">
        <f>CONCATENATE("Total ",D5-3," Tax Levy Rate")</f>
        <v>Total 2009 Tax Levy Rate</v>
      </c>
      <c r="B50" s="374"/>
      <c r="C50" s="301"/>
      <c r="D50" s="375">
        <f>SUM(D41:D49)</f>
        <v>0.972</v>
      </c>
      <c r="E50" s="14"/>
    </row>
    <row r="51" spans="1:5" ht="15.75" thickTop="1">
      <c r="A51" s="14"/>
      <c r="B51" s="14"/>
      <c r="C51" s="14"/>
      <c r="D51" s="14"/>
      <c r="E51" s="14"/>
    </row>
    <row r="52" spans="1:5" ht="15">
      <c r="A52" s="376" t="str">
        <f>CONCATENATE("Total Tax Levied (",D5-2," budget column)")</f>
        <v>Total Tax Levied (2010 budget column)</v>
      </c>
      <c r="B52" s="377"/>
      <c r="C52" s="20"/>
      <c r="D52" s="301"/>
      <c r="E52" s="217">
        <v>800</v>
      </c>
    </row>
    <row r="53" spans="1:5" ht="15">
      <c r="A53" s="378" t="str">
        <f>CONCATENATE("Assessed Valuation (",D5-2," budget column)")</f>
        <v>Assessed Valuation (2010 budget column)</v>
      </c>
      <c r="B53" s="379"/>
      <c r="C53" s="309"/>
      <c r="D53" s="29"/>
      <c r="E53" s="217">
        <v>822740</v>
      </c>
    </row>
    <row r="54" spans="1:5" ht="15">
      <c r="A54" s="319"/>
      <c r="B54" s="19"/>
      <c r="C54" s="19"/>
      <c r="D54" s="19"/>
      <c r="E54" s="330"/>
    </row>
    <row r="55" spans="1:5" ht="15">
      <c r="A55" s="14"/>
      <c r="B55" s="14"/>
      <c r="C55" s="14"/>
      <c r="D55" s="14"/>
      <c r="E55" s="63"/>
    </row>
    <row r="56" spans="1:5" ht="15">
      <c r="A56" s="339" t="s">
        <v>688</v>
      </c>
      <c r="B56" s="339"/>
      <c r="C56" s="156"/>
      <c r="D56" s="380">
        <f>D5-3</f>
        <v>2009</v>
      </c>
      <c r="E56" s="380">
        <f>D5-2</f>
        <v>2010</v>
      </c>
    </row>
    <row r="57" spans="1:5" ht="15">
      <c r="A57" s="377" t="s">
        <v>649</v>
      </c>
      <c r="B57" s="377"/>
      <c r="C57" s="381"/>
      <c r="D57" s="37"/>
      <c r="E57" s="37"/>
    </row>
    <row r="58" spans="1:5" ht="15">
      <c r="A58" s="379" t="s">
        <v>650</v>
      </c>
      <c r="B58" s="379"/>
      <c r="C58" s="382"/>
      <c r="D58" s="37"/>
      <c r="E58" s="37"/>
    </row>
    <row r="59" spans="1:5" ht="15">
      <c r="A59" s="379" t="s">
        <v>651</v>
      </c>
      <c r="B59" s="379"/>
      <c r="C59" s="382"/>
      <c r="D59" s="37"/>
      <c r="E59" s="37"/>
    </row>
    <row r="60" spans="1:5" ht="15">
      <c r="A60" s="379"/>
      <c r="B60" s="379"/>
      <c r="C60" s="383"/>
      <c r="D60" s="37"/>
      <c r="E60" s="37"/>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84"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103" customFormat="1" ht="15">
      <c r="A81" s="12"/>
      <c r="B81" s="12"/>
      <c r="C81" s="12"/>
      <c r="D81" s="12"/>
      <c r="E81" s="12"/>
      <c r="G81" s="16"/>
    </row>
    <row r="82" spans="1:7" s="103"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106"/>
  <sheetViews>
    <sheetView zoomScale="75" zoomScaleNormal="75" zoomScalePageLayoutView="0" workbookViewId="0" topLeftCell="A19">
      <selection activeCell="B45" sqref="B45"/>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
      <c r="A1" s="171" t="s">
        <v>550</v>
      </c>
      <c r="B1" s="172"/>
      <c r="C1" s="172"/>
      <c r="D1" s="172"/>
      <c r="E1" s="172"/>
      <c r="F1" s="172"/>
      <c r="G1" s="172"/>
      <c r="H1" s="172">
        <f>inputPrYr!D5</f>
        <v>2012</v>
      </c>
    </row>
    <row r="2" spans="1:8" ht="15">
      <c r="A2" s="14"/>
      <c r="B2" s="14"/>
      <c r="C2" s="14"/>
      <c r="D2" s="14"/>
      <c r="E2" s="14"/>
      <c r="F2" s="22" t="s">
        <v>509</v>
      </c>
      <c r="G2" s="22" t="s">
        <v>510</v>
      </c>
      <c r="H2" s="14"/>
    </row>
    <row r="3" spans="1:8" ht="15">
      <c r="A3" s="455" t="s">
        <v>511</v>
      </c>
      <c r="B3" s="455"/>
      <c r="C3" s="455"/>
      <c r="D3" s="455"/>
      <c r="E3" s="455"/>
      <c r="F3" s="455"/>
      <c r="G3" s="455"/>
      <c r="H3" s="455"/>
    </row>
    <row r="4" spans="1:8" ht="15">
      <c r="A4" s="524" t="str">
        <f>inputPrYr!D2</f>
        <v>ODESSA TOWNSHIP</v>
      </c>
      <c r="B4" s="524"/>
      <c r="C4" s="524"/>
      <c r="D4" s="524"/>
      <c r="E4" s="524"/>
      <c r="F4" s="524"/>
      <c r="G4" s="524"/>
      <c r="H4" s="524"/>
    </row>
    <row r="5" spans="1:8" ht="15">
      <c r="A5" s="524" t="str">
        <f>inputPrYr!D3</f>
        <v>JEWELL COUNTY</v>
      </c>
      <c r="B5" s="524"/>
      <c r="C5" s="524"/>
      <c r="D5" s="524"/>
      <c r="E5" s="524"/>
      <c r="F5" s="524"/>
      <c r="G5" s="524"/>
      <c r="H5" s="524"/>
    </row>
    <row r="6" spans="1:8" ht="15">
      <c r="A6" s="455" t="str">
        <f>CONCATENATE("will meet on ",inputBudSum!B5," at ",inputBudSum!B7," at ",inputBudSum!B9," for the purpose of hearing and")</f>
        <v>will meet on August 2, 2011 at 7:00 P.M. at Marion Atwood's Residence for the purpose of hearing and</v>
      </c>
      <c r="B6" s="455"/>
      <c r="C6" s="455"/>
      <c r="D6" s="455"/>
      <c r="E6" s="455"/>
      <c r="F6" s="455"/>
      <c r="G6" s="455"/>
      <c r="H6" s="455"/>
    </row>
    <row r="7" spans="1:8" ht="15">
      <c r="A7" s="174" t="s">
        <v>443</v>
      </c>
      <c r="B7" s="172"/>
      <c r="C7" s="172"/>
      <c r="D7" s="172"/>
      <c r="E7" s="172"/>
      <c r="F7" s="172"/>
      <c r="G7" s="172"/>
      <c r="H7" s="172"/>
    </row>
    <row r="8" spans="1:8" ht="15">
      <c r="A8" s="174" t="str">
        <f>CONCATENATE("Detailed budget information is available ",inputBudSum!B12," and will be available at this hearing.")</f>
        <v>Detailed budget information is available from a Township Officer and will be available at this hearing.</v>
      </c>
      <c r="B8" s="172"/>
      <c r="C8" s="172"/>
      <c r="D8" s="172"/>
      <c r="E8" s="172"/>
      <c r="F8" s="172"/>
      <c r="G8" s="172"/>
      <c r="H8" s="172"/>
    </row>
    <row r="9" spans="1:8" ht="15">
      <c r="A9" s="171" t="s">
        <v>551</v>
      </c>
      <c r="B9" s="175"/>
      <c r="C9" s="175"/>
      <c r="D9" s="175"/>
      <c r="E9" s="175"/>
      <c r="F9" s="175"/>
      <c r="G9" s="175"/>
      <c r="H9" s="175"/>
    </row>
    <row r="10" spans="1:8" ht="15">
      <c r="A10" s="174" t="str">
        <f>CONCATENATE("Proposed Budget ",H1," Expenditures and Amount of ",H1-1," Ad Valorem Tax establish the maximum limits")</f>
        <v>Proposed Budget 2012 Expenditures and Amount of 2011 Ad Valorem Tax establish the maximum limits</v>
      </c>
      <c r="B10" s="172"/>
      <c r="C10" s="172"/>
      <c r="D10" s="172"/>
      <c r="E10" s="172"/>
      <c r="F10" s="172"/>
      <c r="G10" s="172"/>
      <c r="H10" s="172"/>
    </row>
    <row r="11" spans="1:8" ht="15">
      <c r="A11" s="174" t="str">
        <f>CONCATENATE("of the ",H1," budget.  Estimated Tax Rate is subject to change depending on the final assessed valuation.")</f>
        <v>of the 2012 budget.  Estimated Tax Rate is subject to change depending on the final assessed valuation.</v>
      </c>
      <c r="B11" s="172"/>
      <c r="C11" s="172"/>
      <c r="D11" s="172"/>
      <c r="E11" s="172"/>
      <c r="F11" s="172"/>
      <c r="G11" s="172"/>
      <c r="H11" s="172"/>
    </row>
    <row r="12" spans="1:9" ht="15">
      <c r="A12" s="22"/>
      <c r="B12" s="19"/>
      <c r="C12" s="19"/>
      <c r="D12" s="19"/>
      <c r="E12" s="19"/>
      <c r="F12" s="19"/>
      <c r="G12" s="19"/>
      <c r="H12" s="19"/>
      <c r="I12" s="176"/>
    </row>
    <row r="13" spans="1:9" ht="15">
      <c r="A13" s="14"/>
      <c r="B13" s="177" t="str">
        <f>CONCATENATE("Prior Year Actual ",H1-2,"")</f>
        <v>Prior Year Actual 2010</v>
      </c>
      <c r="C13" s="178"/>
      <c r="D13" s="177" t="str">
        <f>CONCATENATE("Current Year Estimate ",H1-1,"")</f>
        <v>Current Year Estimate 2011</v>
      </c>
      <c r="E13" s="179"/>
      <c r="F13" s="180" t="str">
        <f>CONCATENATE("Proposed Budget ",H1,"")</f>
        <v>Proposed Budget 2012</v>
      </c>
      <c r="G13" s="181"/>
      <c r="H13" s="179"/>
      <c r="I13" s="176"/>
    </row>
    <row r="14" spans="1:9" ht="22.5" customHeight="1">
      <c r="A14" s="14"/>
      <c r="B14" s="91"/>
      <c r="C14" s="23" t="s">
        <v>503</v>
      </c>
      <c r="D14" s="23"/>
      <c r="E14" s="23" t="s">
        <v>503</v>
      </c>
      <c r="F14" s="182"/>
      <c r="G14" s="447" t="str">
        <f>CONCATENATE("Amount of ",H1-1," Ad Valorem Tax")</f>
        <v>Amount of 2011 Ad Valorem Tax</v>
      </c>
      <c r="H14" s="23" t="s">
        <v>512</v>
      </c>
      <c r="I14" s="176"/>
    </row>
    <row r="15" spans="1:9" ht="15">
      <c r="A15" s="14"/>
      <c r="B15" s="183"/>
      <c r="C15" s="183" t="s">
        <v>513</v>
      </c>
      <c r="D15" s="183"/>
      <c r="E15" s="183" t="s">
        <v>513</v>
      </c>
      <c r="F15" s="183"/>
      <c r="G15" s="522"/>
      <c r="H15" s="183" t="s">
        <v>513</v>
      </c>
      <c r="I15" s="176"/>
    </row>
    <row r="16" spans="1:9" ht="15">
      <c r="A16" s="26" t="s">
        <v>94</v>
      </c>
      <c r="B16" s="27" t="s">
        <v>514</v>
      </c>
      <c r="C16" s="27" t="s">
        <v>515</v>
      </c>
      <c r="D16" s="27" t="s">
        <v>514</v>
      </c>
      <c r="E16" s="27" t="s">
        <v>515</v>
      </c>
      <c r="F16" s="27" t="s">
        <v>514</v>
      </c>
      <c r="G16" s="523"/>
      <c r="H16" s="27" t="s">
        <v>515</v>
      </c>
      <c r="I16" s="176"/>
    </row>
    <row r="17" spans="1:9" ht="15">
      <c r="A17" s="110" t="str">
        <f>inputPrYr!B16</f>
        <v>General</v>
      </c>
      <c r="B17" s="110">
        <f>IF(gen!$C$50&lt;&gt;0,gen!$C$50,"  ")</f>
        <v>962.5</v>
      </c>
      <c r="C17" s="184">
        <f>IF(inputPrYr!D41&gt;0,inputPrYr!D41,"  ")</f>
        <v>0.972</v>
      </c>
      <c r="D17" s="110">
        <f>IF(gen!$E$50&lt;&gt;0,gen!$E$50,"  ")</f>
        <v>1600</v>
      </c>
      <c r="E17" s="184">
        <f>IF(inputOth!D17&gt;0,inputOth!D17,"  ")</f>
        <v>1.027</v>
      </c>
      <c r="F17" s="110">
        <f>IF(gen!$G$50&lt;&gt;0,gen!$G$50,"  ")</f>
        <v>8481</v>
      </c>
      <c r="G17" s="110">
        <f>IF(gen!$G$56&lt;&gt;0,gen!$G$56," ")</f>
        <v>800.0699999999988</v>
      </c>
      <c r="H17" s="185">
        <f>IF(gen!G56&gt;0,ROUND(G17/$F$35*1000,3)," ")</f>
        <v>1.023</v>
      </c>
      <c r="I17" s="176"/>
    </row>
    <row r="18" spans="1:9" ht="15">
      <c r="A18" s="110" t="s">
        <v>108</v>
      </c>
      <c r="B18" s="110" t="str">
        <f>IF(DebtService!$C$53&lt;&gt;0,DebtService!$C$53,"  ")</f>
        <v>  </v>
      </c>
      <c r="C18" s="184" t="str">
        <f>IF(inputPrYr!D42&gt;0,inputPrYr!D42,"  ")</f>
        <v>  </v>
      </c>
      <c r="D18" s="110" t="str">
        <f>IF(DebtService!$E$53&lt;&gt;0,DebtService!$E$53,"  ")</f>
        <v>  </v>
      </c>
      <c r="E18" s="184" t="str">
        <f>IF(inputOth!D18&gt;0,inputOth!D18,"  ")</f>
        <v>  </v>
      </c>
      <c r="F18" s="110" t="str">
        <f>IF(DebtService!$G$53&lt;&gt;0,DebtService!$G$53,"  ")</f>
        <v>  </v>
      </c>
      <c r="G18" s="110" t="str">
        <f>IF(DebtService!$G$59&lt;&gt;0,DebtService!$G$59," ")</f>
        <v> </v>
      </c>
      <c r="H18" s="185" t="str">
        <f>IF(DebtService!G59&gt;0,ROUND(G18/$F$35*1000,3)," ")</f>
        <v> </v>
      </c>
      <c r="I18" s="176"/>
    </row>
    <row r="19" spans="1:8" ht="15">
      <c r="A19" s="110" t="str">
        <f>IF(inputPrYr!$B18&gt;"  ",inputPrYr!$B18,"  ")</f>
        <v>Road</v>
      </c>
      <c r="B19" s="110" t="str">
        <f>IF(road!$C$43&lt;&gt;0,road!$C$43,"  ")</f>
        <v>  </v>
      </c>
      <c r="C19" s="184" t="str">
        <f>IF(inputPrYr!D43&gt;0,inputPrYr!D43,"  ")</f>
        <v>  </v>
      </c>
      <c r="D19" s="110" t="str">
        <f>IF(road!$E$43&lt;&gt;0,road!$E$43,"  ")</f>
        <v>  </v>
      </c>
      <c r="E19" s="184" t="str">
        <f>IF(inputOth!D19&gt;0,inputOth!D19,"  ")</f>
        <v>  </v>
      </c>
      <c r="F19" s="110" t="str">
        <f>IF(road!$G$43&lt;&gt;0,road!$G$43,"  ")</f>
        <v>  </v>
      </c>
      <c r="G19" s="110" t="str">
        <f>IF(road!$G$49&lt;&gt;0,road!$G$49,"  ")</f>
        <v>  </v>
      </c>
      <c r="H19" s="185" t="str">
        <f>IF(road!G49&gt;0,ROUND(G19/$F$35*1000,3)," ")</f>
        <v> </v>
      </c>
    </row>
    <row r="20" spans="1:8" ht="15">
      <c r="A20" s="110" t="str">
        <f>IF(inputPrYr!$B19&gt;"  ",inputPrYr!$B19,"  ")</f>
        <v>Fire</v>
      </c>
      <c r="B20" s="110" t="str">
        <f>IF(levypage9!$C$31&lt;&gt;0,levypage9!$C$31,"  ")</f>
        <v>  </v>
      </c>
      <c r="C20" s="184" t="str">
        <f>IF(inputPrYr!D44&gt;0,inputPrYr!D44,"  ")</f>
        <v> </v>
      </c>
      <c r="D20" s="110" t="str">
        <f>IF(levypage9!$E$31&lt;&gt;0,levypage9!$E$31,"  ")</f>
        <v>  </v>
      </c>
      <c r="E20" s="184" t="str">
        <f>IF(inputOth!D20&gt;0,inputOth!D20,"  ")</f>
        <v> </v>
      </c>
      <c r="F20" s="110" t="str">
        <f>IF(levypage9!$G$31&lt;&gt;0,levypage9!$G$31,"  ")</f>
        <v>  </v>
      </c>
      <c r="G20" s="110" t="str">
        <f>IF(levypage9!$G$37&lt;&gt;0,levypage9!$G$37,"  ")</f>
        <v>  </v>
      </c>
      <c r="H20" s="185" t="str">
        <f>IF(levypage9!G37&gt;0,ROUND(G20/$F$35*1000,3)," ")</f>
        <v> </v>
      </c>
    </row>
    <row r="21" spans="1:8" ht="15">
      <c r="A21" s="110" t="str">
        <f>IF(inputPrYr!$B20&gt;"  ",inputPrYr!$B20,"  ")</f>
        <v>  </v>
      </c>
      <c r="B21" s="110" t="str">
        <f>IF(levypage9!$C$66&lt;&gt;0,levypage9!$C$66,"  ")</f>
        <v>  </v>
      </c>
      <c r="C21" s="184" t="str">
        <f>IF(inputPrYr!D45&gt;0,inputPrYr!D45,"  ")</f>
        <v>  </v>
      </c>
      <c r="D21" s="110" t="str">
        <f>IF(levypage9!$E$66&lt;&gt;0,levypage9!$E$66,"  ")</f>
        <v>  </v>
      </c>
      <c r="E21" s="184" t="str">
        <f>IF(inputOth!D21&gt;0,inputOth!D21,"  ")</f>
        <v>  </v>
      </c>
      <c r="F21" s="110" t="str">
        <f>IF(levypage9!$G$66&lt;&gt;0,levypage9!$G$66,"  ")</f>
        <v>  </v>
      </c>
      <c r="G21" s="110" t="str">
        <f>IF(levypage9!$G$72&lt;&gt;0,levypage9!$G$72,"  ")</f>
        <v>  </v>
      </c>
      <c r="H21" s="185" t="str">
        <f>IF(levypage9!G72&gt;0,ROUND(G21/$F$35*1000,3)," ")</f>
        <v> </v>
      </c>
    </row>
    <row r="22" spans="1:8" ht="15">
      <c r="A22" s="110" t="str">
        <f>IF(inputPrYr!$B21&gt;"  ",inputPrYr!$B21,"  ")</f>
        <v>  </v>
      </c>
      <c r="B22" s="110" t="str">
        <f>IF(levypage10!$C$31&lt;&gt;0,levypage10!$C$31,"  ")</f>
        <v>  </v>
      </c>
      <c r="C22" s="184" t="str">
        <f>IF(inputPrYr!D46&gt;0,inputPrYr!D46,"  ")</f>
        <v>  </v>
      </c>
      <c r="D22" s="110" t="str">
        <f>IF(levypage10!$E$31&lt;&gt;0,levypage10!$E$31,"  ")</f>
        <v>  </v>
      </c>
      <c r="E22" s="184" t="str">
        <f>IF(inputOth!D22&gt;0,inputOth!D22,"  ")</f>
        <v>  </v>
      </c>
      <c r="F22" s="110" t="str">
        <f>IF(levypage10!$G$31&lt;&gt;0,levypage10!$G$31,"  ")</f>
        <v>  </v>
      </c>
      <c r="G22" s="110" t="str">
        <f>IF(levypage10!$G$37&lt;&gt;0,levypage10!$G$37,"  ")</f>
        <v>  </v>
      </c>
      <c r="H22" s="185" t="str">
        <f>IF(levypage10!G37&gt;0,ROUND(G22/$F$35*1000,3)," ")</f>
        <v> </v>
      </c>
    </row>
    <row r="23" spans="1:8" ht="15">
      <c r="A23" s="110" t="str">
        <f>IF(inputPrYr!$B22&gt;"  ",inputPrYr!$B22,"  ")</f>
        <v>  </v>
      </c>
      <c r="B23" s="110" t="str">
        <f>IF(levypage10!$C$66&lt;&gt;0,levypage10!$C$66,"  ")</f>
        <v>  </v>
      </c>
      <c r="C23" s="184" t="str">
        <f>IF(inputPrYr!D47&gt;0,inputPrYr!D47,"  ")</f>
        <v>  </v>
      </c>
      <c r="D23" s="110" t="str">
        <f>IF(levypage10!$E$66&lt;&gt;0,levypage10!$E$66,"  ")</f>
        <v>  </v>
      </c>
      <c r="E23" s="184" t="str">
        <f>IF(inputOth!D23&gt;0,inputOth!D23,"  ")</f>
        <v>  </v>
      </c>
      <c r="F23" s="110" t="str">
        <f>IF(levypage10!$G$66&lt;&gt;0,levypage10!$G$66,"  ")</f>
        <v>  </v>
      </c>
      <c r="G23" s="110" t="str">
        <f>IF(levypage10!$G$72&lt;&gt;0,levypage10!$G$72,"  ")</f>
        <v>  </v>
      </c>
      <c r="H23" s="185" t="str">
        <f>IF(levypage10!G72&gt;0,ROUND(G23/$F$35*1000,3)," ")</f>
        <v> </v>
      </c>
    </row>
    <row r="24" spans="1:8" ht="15">
      <c r="A24" s="110" t="str">
        <f>IF(inputPrYr!$B23&gt;"  ",inputPrYr!$B23,"  ")</f>
        <v>  </v>
      </c>
      <c r="B24" s="110" t="str">
        <f>IF(levypage11!$C$31&lt;&gt;0,levypage11!$C$31,"  ")</f>
        <v>  </v>
      </c>
      <c r="C24" s="184" t="str">
        <f>IF(inputPrYr!D48&gt;0,inputPrYr!D48,"  ")</f>
        <v>  </v>
      </c>
      <c r="D24" s="110" t="str">
        <f>IF(levypage11!$E$31&lt;&gt;0,levypage11!$E$31,"  ")</f>
        <v>  </v>
      </c>
      <c r="E24" s="184" t="str">
        <f>IF(inputOth!D24&gt;0,inputOth!D24,"  ")</f>
        <v>  </v>
      </c>
      <c r="F24" s="110" t="str">
        <f>IF(levypage11!$G$31&lt;&gt;0,levypage11!$G$31,"  ")</f>
        <v>  </v>
      </c>
      <c r="G24" s="110" t="str">
        <f>IF(levypage11!$G$37&lt;&gt;0,levypage11!$G$37,"  ")</f>
        <v>  </v>
      </c>
      <c r="H24" s="185" t="str">
        <f>IF(levypage11!G37&gt;0,ROUND(G24/$F$35*1000,3)," ")</f>
        <v> </v>
      </c>
    </row>
    <row r="25" spans="1:8" ht="15">
      <c r="A25" s="110" t="str">
        <f>IF(inputPrYr!$B24&gt;"  ",inputPrYr!$B24,"  ")</f>
        <v>  </v>
      </c>
      <c r="B25" s="110" t="str">
        <f>IF(levypage11!$C$66&lt;&gt;0,levypage11!$C$66,"  ")</f>
        <v>  </v>
      </c>
      <c r="C25" s="184" t="str">
        <f>IF(inputPrYr!D49&gt;0,inputPrYr!D49,"  ")</f>
        <v>  </v>
      </c>
      <c r="D25" s="110" t="str">
        <f>IF(levypage11!$E$66&lt;&gt;0,levypage11!$E$66,"  ")</f>
        <v>  </v>
      </c>
      <c r="E25" s="184" t="str">
        <f>IF(inputOth!D25&gt;0,inputOth!D25,"  ")</f>
        <v>  </v>
      </c>
      <c r="F25" s="110" t="str">
        <f>IF(levypage11!$G$66&lt;&gt;0,levypage11!$G$66,"  ")</f>
        <v>  </v>
      </c>
      <c r="G25" s="110" t="str">
        <f>IF(levypage11!$G$72&lt;&gt;0,levypage11!$G$72,"  ")</f>
        <v>  </v>
      </c>
      <c r="H25" s="185" t="str">
        <f>IF(levypage11!G72&gt;0,ROUND(G25/$F$35*1000,3)," ")</f>
        <v> </v>
      </c>
    </row>
    <row r="26" spans="1:8" ht="15">
      <c r="A26" s="110" t="str">
        <f>IF(inputPrYr!$B28&gt;"  ",inputPrYr!$B28,"  ")</f>
        <v>  </v>
      </c>
      <c r="B26" s="110" t="str">
        <f>IF(nolevypage12!$C$28&lt;&gt;0,nolevypage12!$C$28,"  ")</f>
        <v>  </v>
      </c>
      <c r="C26" s="184"/>
      <c r="D26" s="110" t="str">
        <f>IF(nolevypage12!$D$28&lt;&gt;0,nolevypage12!$D$28,"  ")</f>
        <v>  </v>
      </c>
      <c r="E26" s="184"/>
      <c r="F26" s="110" t="str">
        <f>IF(nolevypage12!$E$28&lt;&gt;0,nolevypage12!$E$28,"  ")</f>
        <v>  </v>
      </c>
      <c r="G26" s="110"/>
      <c r="H26" s="184"/>
    </row>
    <row r="27" spans="1:8" ht="15">
      <c r="A27" s="110" t="str">
        <f>IF(inputPrYr!$B29&gt;"  ",inputPrYr!$B29,"  ")</f>
        <v>  </v>
      </c>
      <c r="B27" s="110" t="str">
        <f>IF(nolevypage12!$C$59&lt;&gt;0,nolevypage12!$C$59,"  ")</f>
        <v>  </v>
      </c>
      <c r="C27" s="184"/>
      <c r="D27" s="110" t="str">
        <f>IF(nolevypage12!$D$59&lt;&gt;0,nolevypage12!$D$59,"  ")</f>
        <v>  </v>
      </c>
      <c r="E27" s="184"/>
      <c r="F27" s="110" t="str">
        <f>IF(nolevypage12!$E$59&lt;&gt;0,nolevypage12!$E$59,"  ")</f>
        <v>  </v>
      </c>
      <c r="G27" s="110"/>
      <c r="H27" s="184"/>
    </row>
    <row r="28" spans="1:8" ht="15">
      <c r="A28" s="110" t="str">
        <f>IF((inputPrYr!$B33&gt;"  "),(nonbud!$A3),"  ")</f>
        <v>Non-Budgeted Funds</v>
      </c>
      <c r="B28" s="159" t="str">
        <f>IF((nonbud!$K$28)&lt;&gt;0,(nonbud!$K$28),"  ")</f>
        <v>  </v>
      </c>
      <c r="C28" s="184"/>
      <c r="D28" s="110"/>
      <c r="E28" s="184"/>
      <c r="F28" s="110"/>
      <c r="G28" s="110"/>
      <c r="H28" s="184"/>
    </row>
    <row r="29" spans="1:8" ht="15">
      <c r="A29" s="94" t="s">
        <v>96</v>
      </c>
      <c r="B29" s="110" t="str">
        <f>IF(road!B63&lt;&gt;0,road!B63,"  ")</f>
        <v>  </v>
      </c>
      <c r="C29" s="95"/>
      <c r="D29" s="95"/>
      <c r="E29" s="95"/>
      <c r="F29" s="95"/>
      <c r="G29" s="95"/>
      <c r="H29" s="95"/>
    </row>
    <row r="30" spans="1:8" ht="15">
      <c r="A30" s="94" t="s">
        <v>97</v>
      </c>
      <c r="B30" s="186">
        <f aca="true" t="shared" si="0" ref="B30:H30">SUM(B17:B29)</f>
        <v>962.5</v>
      </c>
      <c r="C30" s="185">
        <f t="shared" si="0"/>
        <v>0.972</v>
      </c>
      <c r="D30" s="186">
        <f t="shared" si="0"/>
        <v>1600</v>
      </c>
      <c r="E30" s="185">
        <f t="shared" si="0"/>
        <v>1.027</v>
      </c>
      <c r="F30" s="186">
        <f t="shared" si="0"/>
        <v>8481</v>
      </c>
      <c r="G30" s="186">
        <f t="shared" si="0"/>
        <v>800.0699999999988</v>
      </c>
      <c r="H30" s="185">
        <f t="shared" si="0"/>
        <v>1.023</v>
      </c>
    </row>
    <row r="31" spans="1:8" ht="15">
      <c r="A31" s="94" t="s">
        <v>516</v>
      </c>
      <c r="B31" s="110">
        <f>transfer!C29</f>
        <v>0</v>
      </c>
      <c r="C31" s="14"/>
      <c r="D31" s="110">
        <f>transfer!D29</f>
        <v>0</v>
      </c>
      <c r="E31" s="71"/>
      <c r="F31" s="110">
        <f>transfer!E29</f>
        <v>0</v>
      </c>
      <c r="G31" s="14"/>
      <c r="H31" s="14"/>
    </row>
    <row r="32" spans="1:8" ht="15">
      <c r="A32" s="94" t="s">
        <v>517</v>
      </c>
      <c r="B32" s="186">
        <f>B30-B31</f>
        <v>962.5</v>
      </c>
      <c r="C32" s="14"/>
      <c r="D32" s="186">
        <f>D30-D31</f>
        <v>1600</v>
      </c>
      <c r="E32" s="14"/>
      <c r="F32" s="186">
        <f>F30-F31</f>
        <v>8481</v>
      </c>
      <c r="G32" s="14"/>
      <c r="H32" s="14"/>
    </row>
    <row r="33" spans="1:8" ht="15">
      <c r="A33" s="94" t="s">
        <v>518</v>
      </c>
      <c r="B33" s="110">
        <f>inputPrYr!E52</f>
        <v>800</v>
      </c>
      <c r="C33" s="71"/>
      <c r="D33" s="110">
        <f>inputPrYr!E25</f>
        <v>800</v>
      </c>
      <c r="E33" s="14"/>
      <c r="F33" s="187" t="s">
        <v>98</v>
      </c>
      <c r="G33" s="14"/>
      <c r="H33" s="14"/>
    </row>
    <row r="34" spans="1:8" ht="15">
      <c r="A34" s="22" t="s">
        <v>519</v>
      </c>
      <c r="B34" s="14"/>
      <c r="C34" s="71"/>
      <c r="D34" s="14"/>
      <c r="E34" s="71"/>
      <c r="F34" s="14"/>
      <c r="G34" s="14"/>
      <c r="H34" s="14"/>
    </row>
    <row r="35" spans="1:8" ht="15">
      <c r="A35" s="94" t="s">
        <v>520</v>
      </c>
      <c r="B35" s="110">
        <f>inputPrYr!E53</f>
        <v>822740</v>
      </c>
      <c r="C35" s="14"/>
      <c r="D35" s="110">
        <f>inputOth!E28</f>
        <v>778738</v>
      </c>
      <c r="E35" s="14"/>
      <c r="F35" s="110">
        <f>inputOth!E7</f>
        <v>782171</v>
      </c>
      <c r="G35" s="14"/>
      <c r="H35" s="14"/>
    </row>
    <row r="36" spans="1:8" ht="15">
      <c r="A36" s="22" t="s">
        <v>521</v>
      </c>
      <c r="B36" s="14"/>
      <c r="C36" s="14"/>
      <c r="D36" s="14"/>
      <c r="E36" s="14"/>
      <c r="F36" s="14"/>
      <c r="G36" s="14"/>
      <c r="H36" s="14"/>
    </row>
    <row r="37" spans="1:8" ht="15">
      <c r="A37" s="22" t="s">
        <v>522</v>
      </c>
      <c r="B37" s="188">
        <f>H1-3</f>
        <v>2009</v>
      </c>
      <c r="C37" s="14"/>
      <c r="D37" s="188">
        <f>H1-2</f>
        <v>2010</v>
      </c>
      <c r="E37" s="14"/>
      <c r="F37" s="188">
        <f>H1-1</f>
        <v>2011</v>
      </c>
      <c r="G37" s="14"/>
      <c r="H37" s="14"/>
    </row>
    <row r="38" spans="1:8" ht="15">
      <c r="A38" s="22" t="s">
        <v>523</v>
      </c>
      <c r="B38" s="189">
        <f>inputPrYr!D57</f>
        <v>0</v>
      </c>
      <c r="C38" s="68"/>
      <c r="D38" s="189">
        <f>inputPrYr!E57</f>
        <v>0</v>
      </c>
      <c r="E38" s="68"/>
      <c r="F38" s="189">
        <f>debt!E11</f>
        <v>0</v>
      </c>
      <c r="G38" s="14"/>
      <c r="H38" s="14"/>
    </row>
    <row r="39" spans="1:8" ht="15">
      <c r="A39" s="22" t="s">
        <v>492</v>
      </c>
      <c r="B39" s="189">
        <f>inputPrYr!D58</f>
        <v>0</v>
      </c>
      <c r="C39" s="68"/>
      <c r="D39" s="189">
        <f>inputPrYr!E58</f>
        <v>0</v>
      </c>
      <c r="E39" s="68"/>
      <c r="F39" s="189">
        <f>debt!E15</f>
        <v>0</v>
      </c>
      <c r="G39" s="14"/>
      <c r="H39" s="14"/>
    </row>
    <row r="40" spans="1:8" ht="15">
      <c r="A40" s="22" t="s">
        <v>524</v>
      </c>
      <c r="B40" s="189">
        <f>inputPrYr!D59</f>
        <v>0</v>
      </c>
      <c r="C40" s="68"/>
      <c r="D40" s="189">
        <f>inputPrYr!E59</f>
        <v>0</v>
      </c>
      <c r="E40" s="68"/>
      <c r="F40" s="189">
        <f>debt!F36</f>
        <v>0</v>
      </c>
      <c r="G40" s="14"/>
      <c r="H40" s="14"/>
    </row>
    <row r="41" spans="1:8" ht="15.75" thickBot="1">
      <c r="A41" s="22" t="s">
        <v>525</v>
      </c>
      <c r="B41" s="190">
        <f>SUM(B38:B40)</f>
        <v>0</v>
      </c>
      <c r="C41" s="68"/>
      <c r="D41" s="190">
        <f>SUM(D38:D40)</f>
        <v>0</v>
      </c>
      <c r="E41" s="68"/>
      <c r="F41" s="190">
        <f>SUM(F38:F40)</f>
        <v>0</v>
      </c>
      <c r="G41" s="14"/>
      <c r="H41" s="14"/>
    </row>
    <row r="42" spans="1:8" ht="15.75" thickTop="1">
      <c r="A42" s="22" t="s">
        <v>526</v>
      </c>
      <c r="B42" s="14"/>
      <c r="C42" s="14"/>
      <c r="D42" s="14"/>
      <c r="E42" s="14"/>
      <c r="F42" s="14"/>
      <c r="G42" s="14"/>
      <c r="H42" s="14"/>
    </row>
    <row r="43" spans="1:8" ht="15">
      <c r="A43" s="14"/>
      <c r="B43" s="14"/>
      <c r="C43" s="14"/>
      <c r="D43" s="14"/>
      <c r="E43" s="14"/>
      <c r="F43" s="14"/>
      <c r="G43" s="14"/>
      <c r="H43" s="14"/>
    </row>
    <row r="44" spans="1:8" ht="15">
      <c r="A44" s="191"/>
      <c r="B44" s="191" t="s">
        <v>697</v>
      </c>
      <c r="C44" s="14"/>
      <c r="D44" s="14"/>
      <c r="E44" s="14"/>
      <c r="F44" s="14"/>
      <c r="G44" s="14"/>
      <c r="H44" s="14"/>
    </row>
    <row r="45" spans="1:8" ht="15">
      <c r="A45" s="174" t="s">
        <v>527</v>
      </c>
      <c r="B45" s="172"/>
      <c r="C45" s="14"/>
      <c r="D45" s="14"/>
      <c r="E45" s="14"/>
      <c r="F45" s="14"/>
      <c r="G45" s="14"/>
      <c r="H45" s="14"/>
    </row>
    <row r="46" spans="1:8" ht="15">
      <c r="A46" s="14"/>
      <c r="B46" s="14"/>
      <c r="C46" s="14"/>
      <c r="D46" s="14"/>
      <c r="E46" s="14"/>
      <c r="F46" s="14"/>
      <c r="G46" s="14"/>
      <c r="H46" s="14"/>
    </row>
    <row r="47" spans="1:8" ht="15">
      <c r="A47" s="14"/>
      <c r="B47" s="59" t="s">
        <v>480</v>
      </c>
      <c r="C47" s="104">
        <v>7</v>
      </c>
      <c r="D47" s="14"/>
      <c r="E47" s="14"/>
      <c r="F47" s="14"/>
      <c r="G47" s="14"/>
      <c r="H47" s="14"/>
    </row>
    <row r="48" spans="1:3" ht="15">
      <c r="A48" s="103"/>
      <c r="B48" s="103"/>
      <c r="C48" s="103"/>
    </row>
    <row r="50" spans="1:7" ht="15">
      <c r="A50" s="103"/>
      <c r="B50" s="103"/>
      <c r="C50" s="103"/>
      <c r="D50" s="103"/>
      <c r="E50" s="103"/>
      <c r="F50" s="103"/>
      <c r="G50" s="103"/>
    </row>
    <row r="51" ht="15">
      <c r="H51" s="103"/>
    </row>
    <row r="72" spans="1:6" ht="15">
      <c r="A72" s="103"/>
      <c r="B72" s="103"/>
      <c r="C72" s="103"/>
      <c r="D72" s="103"/>
      <c r="E72" s="103"/>
      <c r="F72" s="103"/>
    </row>
    <row r="79" spans="1:7" ht="15">
      <c r="A79" s="103"/>
      <c r="B79" s="103"/>
      <c r="C79" s="103"/>
      <c r="D79" s="103"/>
      <c r="E79" s="103"/>
      <c r="F79" s="103"/>
      <c r="G79" s="103"/>
    </row>
    <row r="80" ht="15">
      <c r="H80" s="103"/>
    </row>
    <row r="85" spans="1:7" ht="15">
      <c r="A85" s="103"/>
      <c r="B85" s="103"/>
      <c r="C85" s="103"/>
      <c r="D85" s="103"/>
      <c r="E85" s="103"/>
      <c r="F85" s="103"/>
      <c r="G85" s="103"/>
    </row>
    <row r="86" ht="15">
      <c r="H86" s="103"/>
    </row>
    <row r="106" spans="1:7" ht="15">
      <c r="A106" s="103"/>
      <c r="B106" s="103"/>
      <c r="C106" s="103"/>
      <c r="D106" s="103"/>
      <c r="E106" s="103"/>
      <c r="F106" s="103"/>
      <c r="G106" s="103"/>
    </row>
  </sheetData>
  <sheetProtection sheet="1"/>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29" sqref="A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ODESSA TOWNSHIP</v>
      </c>
      <c r="B1" s="14"/>
      <c r="C1" s="14"/>
      <c r="D1" s="14"/>
      <c r="E1" s="14"/>
      <c r="F1" s="14">
        <f>inputPrYr!D5</f>
        <v>2012</v>
      </c>
    </row>
    <row r="2" spans="1:6" ht="15">
      <c r="A2" s="14"/>
      <c r="B2" s="14"/>
      <c r="C2" s="14"/>
      <c r="D2" s="14"/>
      <c r="E2" s="14"/>
      <c r="F2" s="14"/>
    </row>
    <row r="3" spans="1:6" ht="15">
      <c r="A3" s="14"/>
      <c r="B3" s="446" t="str">
        <f>CONCATENATE("",F1," Neighborhood Revitalization Rebate")</f>
        <v>2012 Neighborhood Revitalization Rebate</v>
      </c>
      <c r="C3" s="454"/>
      <c r="D3" s="454"/>
      <c r="E3" s="454"/>
      <c r="F3" s="14"/>
    </row>
    <row r="4" spans="1:6" ht="15">
      <c r="A4" s="14"/>
      <c r="B4" s="14"/>
      <c r="C4" s="14"/>
      <c r="D4" s="14"/>
      <c r="E4" s="14"/>
      <c r="F4" s="14"/>
    </row>
    <row r="5" spans="1:6" ht="51" customHeight="1">
      <c r="A5" s="14"/>
      <c r="B5" s="153" t="str">
        <f>CONCATENATE("Budgeted Funds                            for ",F1,"")</f>
        <v>Budgeted Funds                            for 2012</v>
      </c>
      <c r="C5" s="153" t="str">
        <f>CONCATENATE("",F1-1," Ad Valorem before Rebate**")</f>
        <v>2011 Ad Valorem before Rebate**</v>
      </c>
      <c r="D5" s="154" t="str">
        <f>CONCATENATE("",F1-1," Mil Rate before Rebate")</f>
        <v>2011 Mil Rate before Rebate</v>
      </c>
      <c r="E5" s="155" t="str">
        <f>CONCATENATE("Estimate ",F1," NR Rebate")</f>
        <v>Estimate 2012 NR Rebate</v>
      </c>
      <c r="F5" s="156"/>
    </row>
    <row r="6" spans="1:6" ht="15">
      <c r="A6" s="14"/>
      <c r="B6" s="94" t="str">
        <f>inputPrYr!B16</f>
        <v>General</v>
      </c>
      <c r="C6" s="157"/>
      <c r="D6" s="158">
        <f aca="true" t="shared" si="0" ref="D6:D14">IF(C6&gt;0,C6/$D$20,"")</f>
      </c>
      <c r="E6" s="159">
        <f aca="true" t="shared" si="1" ref="E6:E14">IF(C6&gt;0,ROUND(D6*$D$24,0),"")</f>
      </c>
      <c r="F6" s="156"/>
    </row>
    <row r="7" spans="1:6" ht="15">
      <c r="A7" s="14"/>
      <c r="B7" s="94" t="str">
        <f>inputPrYr!B17</f>
        <v>Debt Service</v>
      </c>
      <c r="C7" s="157"/>
      <c r="D7" s="158">
        <f t="shared" si="0"/>
      </c>
      <c r="E7" s="159">
        <f t="shared" si="1"/>
      </c>
      <c r="F7" s="156"/>
    </row>
    <row r="8" spans="1:6" ht="15">
      <c r="A8" s="14"/>
      <c r="B8" s="94" t="str">
        <f>inputPrYr!B18</f>
        <v>Road</v>
      </c>
      <c r="C8" s="157"/>
      <c r="D8" s="158">
        <f t="shared" si="0"/>
      </c>
      <c r="E8" s="159">
        <f t="shared" si="1"/>
      </c>
      <c r="F8" s="156"/>
    </row>
    <row r="9" spans="1:6" ht="15">
      <c r="A9" s="14"/>
      <c r="B9" s="94" t="str">
        <f>inputPrYr!B19</f>
        <v>Fire</v>
      </c>
      <c r="C9" s="157"/>
      <c r="D9" s="158">
        <f t="shared" si="0"/>
      </c>
      <c r="E9" s="159">
        <f t="shared" si="1"/>
      </c>
      <c r="F9" s="156"/>
    </row>
    <row r="10" spans="1:6" ht="15">
      <c r="A10" s="14"/>
      <c r="B10" s="94">
        <f>inputPrYr!B20</f>
        <v>0</v>
      </c>
      <c r="C10" s="157"/>
      <c r="D10" s="158">
        <f t="shared" si="0"/>
      </c>
      <c r="E10" s="159">
        <f t="shared" si="1"/>
      </c>
      <c r="F10" s="156"/>
    </row>
    <row r="11" spans="1:6" ht="15">
      <c r="A11" s="14"/>
      <c r="B11" s="94">
        <f>inputPrYr!B21</f>
        <v>0</v>
      </c>
      <c r="C11" s="157"/>
      <c r="D11" s="158">
        <f t="shared" si="0"/>
      </c>
      <c r="E11" s="159">
        <f t="shared" si="1"/>
      </c>
      <c r="F11" s="156"/>
    </row>
    <row r="12" spans="1:6" ht="15">
      <c r="A12" s="14"/>
      <c r="B12" s="94">
        <f>inputPrYr!B22</f>
        <v>0</v>
      </c>
      <c r="C12" s="160"/>
      <c r="D12" s="158">
        <f t="shared" si="0"/>
      </c>
      <c r="E12" s="159">
        <f t="shared" si="1"/>
      </c>
      <c r="F12" s="156"/>
    </row>
    <row r="13" spans="1:6" ht="15">
      <c r="A13" s="14"/>
      <c r="B13" s="94">
        <f>inputPrYr!B23</f>
        <v>0</v>
      </c>
      <c r="C13" s="160"/>
      <c r="D13" s="158">
        <f t="shared" si="0"/>
      </c>
      <c r="E13" s="159">
        <f t="shared" si="1"/>
      </c>
      <c r="F13" s="156"/>
    </row>
    <row r="14" spans="1:6" ht="15">
      <c r="A14" s="14"/>
      <c r="B14" s="94">
        <f>inputPrYr!B24</f>
        <v>0</v>
      </c>
      <c r="C14" s="160"/>
      <c r="D14" s="158">
        <f t="shared" si="0"/>
      </c>
      <c r="E14" s="159">
        <f t="shared" si="1"/>
      </c>
      <c r="F14" s="156"/>
    </row>
    <row r="15" spans="1:6" ht="15.75" thickBot="1">
      <c r="A15" s="14"/>
      <c r="B15" s="95" t="s">
        <v>13</v>
      </c>
      <c r="C15" s="161">
        <f>SUM(C6:C14)</f>
        <v>0</v>
      </c>
      <c r="D15" s="162">
        <f>SUM(D6:D14)</f>
        <v>0</v>
      </c>
      <c r="E15" s="161">
        <f>SUM(E6:E14)</f>
        <v>0</v>
      </c>
      <c r="F15" s="156"/>
    </row>
    <row r="16" spans="1:6" ht="15.75" thickTop="1">
      <c r="A16" s="14"/>
      <c r="B16" s="14"/>
      <c r="C16" s="14"/>
      <c r="D16" s="14"/>
      <c r="E16" s="14"/>
      <c r="F16" s="156"/>
    </row>
    <row r="17" spans="1:6" ht="15">
      <c r="A17" s="14"/>
      <c r="B17" s="14"/>
      <c r="C17" s="14"/>
      <c r="D17" s="14"/>
      <c r="E17" s="14"/>
      <c r="F17" s="156"/>
    </row>
    <row r="18" spans="1:6" ht="15">
      <c r="A18" s="527" t="str">
        <f>CONCATENATE("",F1-1," July 1 Valuation:")</f>
        <v>2011 July 1 Valuation:</v>
      </c>
      <c r="B18" s="526"/>
      <c r="C18" s="527"/>
      <c r="D18" s="163">
        <f>inputOth!E7</f>
        <v>782171</v>
      </c>
      <c r="E18" s="14"/>
      <c r="F18" s="156"/>
    </row>
    <row r="19" spans="1:6" ht="15">
      <c r="A19" s="14"/>
      <c r="B19" s="14"/>
      <c r="C19" s="14"/>
      <c r="D19" s="14"/>
      <c r="E19" s="14"/>
      <c r="F19" s="156"/>
    </row>
    <row r="20" spans="1:6" ht="15">
      <c r="A20" s="14"/>
      <c r="B20" s="527" t="s">
        <v>176</v>
      </c>
      <c r="C20" s="527"/>
      <c r="D20" s="164">
        <f>IF(D18&gt;0,(D18*0.001),"")</f>
        <v>782.171</v>
      </c>
      <c r="E20" s="14"/>
      <c r="F20" s="156"/>
    </row>
    <row r="21" spans="1:6" ht="15">
      <c r="A21" s="14"/>
      <c r="B21" s="54"/>
      <c r="C21" s="54"/>
      <c r="D21" s="165"/>
      <c r="E21" s="14"/>
      <c r="F21" s="156"/>
    </row>
    <row r="22" spans="1:6" ht="15">
      <c r="A22" s="525" t="s">
        <v>178</v>
      </c>
      <c r="B22" s="445"/>
      <c r="C22" s="445"/>
      <c r="D22" s="166">
        <f>inputOth!E13</f>
        <v>0</v>
      </c>
      <c r="E22" s="167"/>
      <c r="F22" s="167"/>
    </row>
    <row r="23" spans="1:6" ht="15">
      <c r="A23" s="167"/>
      <c r="B23" s="167"/>
      <c r="C23" s="167"/>
      <c r="D23" s="168"/>
      <c r="E23" s="167"/>
      <c r="F23" s="167"/>
    </row>
    <row r="24" spans="1:6" ht="15">
      <c r="A24" s="167"/>
      <c r="B24" s="525" t="s">
        <v>179</v>
      </c>
      <c r="C24" s="526"/>
      <c r="D24" s="169">
        <f>IF(D22&gt;0,(D22*0.001),"")</f>
      </c>
      <c r="E24" s="167"/>
      <c r="F24" s="167"/>
    </row>
    <row r="25" spans="1:6" ht="15">
      <c r="A25" s="167"/>
      <c r="B25" s="167"/>
      <c r="C25" s="167"/>
      <c r="D25" s="167"/>
      <c r="E25" s="167"/>
      <c r="F25" s="167"/>
    </row>
    <row r="26" spans="1:6" ht="15">
      <c r="A26" s="167"/>
      <c r="B26" s="167"/>
      <c r="C26" s="167"/>
      <c r="D26" s="167"/>
      <c r="E26" s="167"/>
      <c r="F26" s="167"/>
    </row>
    <row r="27" spans="1:6" ht="15">
      <c r="A27" s="167"/>
      <c r="B27" s="167"/>
      <c r="C27" s="167"/>
      <c r="D27" s="167"/>
      <c r="E27" s="167"/>
      <c r="F27" s="167"/>
    </row>
    <row r="28" spans="1:6" ht="15">
      <c r="A28" s="426" t="str">
        <f>CONCATENATE("**This information comes from the ",F1," Budget Summary page.  See instructions tab #11 for completing")</f>
        <v>**This information comes from the 2012 Budget Summary page.  See instructions tab #11 for completing</v>
      </c>
      <c r="B28" s="167"/>
      <c r="C28" s="167"/>
      <c r="D28" s="167"/>
      <c r="E28" s="167"/>
      <c r="F28" s="167"/>
    </row>
    <row r="29" spans="1:6" ht="15">
      <c r="A29" s="426" t="s">
        <v>444</v>
      </c>
      <c r="B29" s="167"/>
      <c r="C29" s="167"/>
      <c r="D29" s="167"/>
      <c r="E29" s="167"/>
      <c r="F29" s="167"/>
    </row>
    <row r="30" spans="1:6" ht="15">
      <c r="A30" s="426"/>
      <c r="B30" s="167"/>
      <c r="C30" s="167"/>
      <c r="D30" s="167"/>
      <c r="E30" s="167"/>
      <c r="F30" s="167"/>
    </row>
    <row r="31" spans="1:6" ht="15">
      <c r="A31" s="426"/>
      <c r="B31" s="167"/>
      <c r="C31" s="167"/>
      <c r="D31" s="167"/>
      <c r="E31" s="167"/>
      <c r="F31" s="167"/>
    </row>
    <row r="32" spans="1:6" ht="15">
      <c r="A32" s="426"/>
      <c r="B32" s="167"/>
      <c r="C32" s="167"/>
      <c r="D32" s="167"/>
      <c r="E32" s="167"/>
      <c r="F32" s="167"/>
    </row>
    <row r="33" spans="1:6" ht="15">
      <c r="A33" s="426"/>
      <c r="B33" s="167"/>
      <c r="C33" s="167"/>
      <c r="D33" s="167"/>
      <c r="E33" s="167"/>
      <c r="F33" s="167"/>
    </row>
    <row r="34" spans="1:6" ht="15">
      <c r="A34" s="426"/>
      <c r="B34" s="167"/>
      <c r="C34" s="167"/>
      <c r="D34" s="167"/>
      <c r="E34" s="167"/>
      <c r="F34" s="167"/>
    </row>
    <row r="35" spans="1:6" ht="15">
      <c r="A35" s="426"/>
      <c r="B35" s="167"/>
      <c r="C35" s="167"/>
      <c r="D35" s="167"/>
      <c r="E35" s="167"/>
      <c r="F35" s="167"/>
    </row>
    <row r="36" spans="1:6" ht="15">
      <c r="A36" s="167"/>
      <c r="B36" s="167"/>
      <c r="C36" s="167"/>
      <c r="D36" s="167"/>
      <c r="E36" s="167"/>
      <c r="F36" s="167"/>
    </row>
    <row r="37" spans="1:6" ht="15">
      <c r="A37" s="167"/>
      <c r="B37" s="149" t="s">
        <v>480</v>
      </c>
      <c r="C37" s="87"/>
      <c r="D37" s="167"/>
      <c r="E37" s="167"/>
      <c r="F37" s="167"/>
    </row>
    <row r="38" spans="1:6" ht="15">
      <c r="A38" s="156"/>
      <c r="B38" s="14"/>
      <c r="C38" s="14"/>
      <c r="D38" s="170"/>
      <c r="E38" s="156"/>
      <c r="F38" s="156"/>
    </row>
  </sheetData>
  <sheetProtection sheet="1" objects="1" scenarios="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529" t="s">
        <v>610</v>
      </c>
      <c r="B1" s="529"/>
      <c r="C1" s="529"/>
      <c r="D1" s="529"/>
      <c r="E1" s="529"/>
      <c r="F1" s="529"/>
      <c r="G1" s="529"/>
    </row>
    <row r="2" ht="15">
      <c r="A2" s="1"/>
    </row>
    <row r="3" spans="1:7" ht="15">
      <c r="A3" s="530" t="s">
        <v>611</v>
      </c>
      <c r="B3" s="530"/>
      <c r="C3" s="530"/>
      <c r="D3" s="530"/>
      <c r="E3" s="530"/>
      <c r="F3" s="530"/>
      <c r="G3" s="530"/>
    </row>
    <row r="4" ht="15">
      <c r="A4" s="2"/>
    </row>
    <row r="5" ht="15">
      <c r="A5" s="2"/>
    </row>
    <row r="6" spans="1:9" ht="15">
      <c r="A6" s="8" t="str">
        <f>CONCATENATE("A resolution expressing the property taxation policy of the Board of ",(inputPrYr!D2)," ")</f>
        <v>A resolution expressing the property taxation policy of the Board of ODESSA TOWNSHIP </v>
      </c>
      <c r="I6">
        <f>CONCATENATE(I7)</f>
      </c>
    </row>
    <row r="7" spans="1:7" ht="15">
      <c r="A7" s="531" t="str">
        <f>CONCATENATE("   with respect to financing the ",inputPrYr!D5," annual budget for ",(inputPrYr!D2)," , ",(inputPrYr!D3)," , Kansas.")</f>
        <v>   with respect to financing the 2012 annual budget for ODESSA TOWNSHIP , JEWELL COUNTY , Kansas.</v>
      </c>
      <c r="B7" s="532"/>
      <c r="C7" s="532"/>
      <c r="D7" s="532"/>
      <c r="E7" s="532"/>
      <c r="F7" s="532"/>
      <c r="G7" s="532"/>
    </row>
    <row r="8" spans="1:7" ht="15">
      <c r="A8" s="532"/>
      <c r="B8" s="532"/>
      <c r="C8" s="532"/>
      <c r="D8" s="532"/>
      <c r="E8" s="532"/>
      <c r="F8" s="532"/>
      <c r="G8" s="532"/>
    </row>
    <row r="9" ht="15">
      <c r="A9" s="1"/>
    </row>
    <row r="10" ht="15">
      <c r="A10" s="9" t="s">
        <v>612</v>
      </c>
    </row>
    <row r="11" ht="15">
      <c r="A11" s="7" t="str">
        <f>CONCATENATE("to finance the ",inputPrYr!D5," ",(inputPrYr!D2)," budget exceed the amount levied to finance the ",inputPrYr!D5-1,"")</f>
        <v>to finance the 2012 ODESSA TOWNSHIP budget exceed the amount levied to finance the 2011</v>
      </c>
    </row>
    <row r="12" spans="1:7" ht="15">
      <c r="A12" s="535" t="str">
        <f>CONCATENATE((inputPrYr!D2)," Township budget, except with regard to revenue produced and attributable to the taxation of 1) new improvements to real property; 2) increased personal property valuation, other than increased")</f>
        <v>ODESSA TOWNSHIP Township budget, except with regard to revenue produced and attributable to the taxation of 1) new improvements to real property; 2) increased personal property valuation, other than increased</v>
      </c>
      <c r="B12" s="532"/>
      <c r="C12" s="532"/>
      <c r="D12" s="532"/>
      <c r="E12" s="532"/>
      <c r="F12" s="532"/>
      <c r="G12" s="532"/>
    </row>
    <row r="13" spans="1:7" ht="15">
      <c r="A13" s="532"/>
      <c r="B13" s="532"/>
      <c r="C13" s="532"/>
      <c r="D13" s="532"/>
      <c r="E13" s="532"/>
      <c r="F13" s="532"/>
      <c r="G13" s="532"/>
    </row>
    <row r="14" spans="1:7" ht="15">
      <c r="A14" s="535" t="s">
        <v>617</v>
      </c>
      <c r="B14" s="532"/>
      <c r="C14" s="532"/>
      <c r="D14" s="532"/>
      <c r="E14" s="532"/>
      <c r="F14" s="532"/>
      <c r="G14" s="532"/>
    </row>
    <row r="15" spans="1:7" ht="15">
      <c r="A15" s="532"/>
      <c r="B15" s="532"/>
      <c r="C15" s="532"/>
      <c r="D15" s="532"/>
      <c r="E15" s="532"/>
      <c r="F15" s="532"/>
      <c r="G15" s="532"/>
    </row>
    <row r="16" spans="1:7" ht="15">
      <c r="A16" s="536"/>
      <c r="B16" s="536"/>
      <c r="C16" s="536"/>
      <c r="D16" s="536"/>
      <c r="E16" s="536"/>
      <c r="F16" s="536"/>
      <c r="G16" s="536"/>
    </row>
    <row r="17" ht="15">
      <c r="A17" s="2"/>
    </row>
    <row r="18" spans="1:7" ht="15">
      <c r="A18" s="533" t="s">
        <v>613</v>
      </c>
      <c r="B18" s="532"/>
      <c r="C18" s="532"/>
      <c r="D18" s="532"/>
      <c r="E18" s="532"/>
      <c r="F18" s="532"/>
      <c r="G18" s="532"/>
    </row>
    <row r="19" spans="1:7" ht="15">
      <c r="A19" s="532"/>
      <c r="B19" s="532"/>
      <c r="C19" s="532"/>
      <c r="D19" s="532"/>
      <c r="E19" s="532"/>
      <c r="F19" s="532"/>
      <c r="G19" s="532"/>
    </row>
    <row r="20" ht="15">
      <c r="A20" s="2"/>
    </row>
    <row r="21" spans="1:7" ht="15">
      <c r="A21" s="533" t="str">
        <f>CONCATENATE("Whereas, ",(inputPrYr!D2)," provides essential services to protect the safety and well being of the citizens of the township; and")</f>
        <v>Whereas, ODESSA TOWNSHIP provides essential services to protect the safety and well being of the citizens of the township; and</v>
      </c>
      <c r="B21" s="532"/>
      <c r="C21" s="532"/>
      <c r="D21" s="532"/>
      <c r="E21" s="532"/>
      <c r="F21" s="532"/>
      <c r="G21" s="532"/>
    </row>
    <row r="22" spans="1:7" ht="15">
      <c r="A22" s="532"/>
      <c r="B22" s="532"/>
      <c r="C22" s="532"/>
      <c r="D22" s="532"/>
      <c r="E22" s="532"/>
      <c r="F22" s="532"/>
      <c r="G22" s="532"/>
    </row>
    <row r="23" ht="15">
      <c r="A23" s="4"/>
    </row>
    <row r="24" ht="15">
      <c r="A24" s="3" t="s">
        <v>614</v>
      </c>
    </row>
    <row r="25" ht="15">
      <c r="A25" s="4"/>
    </row>
    <row r="26" spans="1:7" ht="15">
      <c r="A26" s="533" t="str">
        <f>CONCATENATE("NOW, THEREFORE, BE IT RESOLVED by the Board of ",(inputPrYr!D2)," of ",(inputPrYr!D3),", Kansas that is our desire to notify the public of increased property taxes to finance the ",inputPrYr!D5," ",(inputPrYr!D2),"  budget as defined above.")</f>
        <v>NOW, THEREFORE, BE IT RESOLVED by the Board of ODESSA TOWNSHIP of JEWELL COUNTY, Kansas that is our desire to notify the public of increased property taxes to finance the 2012 ODESSA TOWNSHIP  budget as defined above.</v>
      </c>
      <c r="B26" s="532"/>
      <c r="C26" s="532"/>
      <c r="D26" s="532"/>
      <c r="E26" s="532"/>
      <c r="F26" s="532"/>
      <c r="G26" s="532"/>
    </row>
    <row r="27" spans="1:7" ht="15">
      <c r="A27" s="532"/>
      <c r="B27" s="532"/>
      <c r="C27" s="532"/>
      <c r="D27" s="532"/>
      <c r="E27" s="532"/>
      <c r="F27" s="532"/>
      <c r="G27" s="532"/>
    </row>
    <row r="28" spans="1:7" ht="15">
      <c r="A28" s="532"/>
      <c r="B28" s="532"/>
      <c r="C28" s="532"/>
      <c r="D28" s="532"/>
      <c r="E28" s="532"/>
      <c r="F28" s="532"/>
      <c r="G28" s="532"/>
    </row>
    <row r="29" ht="15">
      <c r="A29" s="4"/>
    </row>
    <row r="30" spans="1:7" ht="15">
      <c r="A30" s="534" t="str">
        <f>CONCATENATE("Adopted this _________ day of ___________, ",inputPrYr!D5-1," by the ",(inputPrYr!D2)," Board, ",(inputPrYr!D3),", Kansas.")</f>
        <v>Adopted this _________ day of ___________, 2011 by the ODESSA TOWNSHIP Board, JEWELL COUNTY, Kansas.</v>
      </c>
      <c r="B30" s="532"/>
      <c r="C30" s="532"/>
      <c r="D30" s="532"/>
      <c r="E30" s="532"/>
      <c r="F30" s="532"/>
      <c r="G30" s="532"/>
    </row>
    <row r="31" spans="1:7" ht="15">
      <c r="A31" s="532"/>
      <c r="B31" s="532"/>
      <c r="C31" s="532"/>
      <c r="D31" s="532"/>
      <c r="E31" s="532"/>
      <c r="F31" s="532"/>
      <c r="G31" s="532"/>
    </row>
    <row r="32" ht="15">
      <c r="A32" s="4"/>
    </row>
    <row r="33" spans="4:7" ht="15">
      <c r="D33" s="537" t="str">
        <f>CONCATENATE((inputPrYr!D2)," Board")</f>
        <v>ODESSA TOWNSHIP Board</v>
      </c>
      <c r="E33" s="537"/>
      <c r="F33" s="537"/>
      <c r="G33" s="537"/>
    </row>
    <row r="35" spans="4:7" ht="15">
      <c r="D35" s="528" t="s">
        <v>615</v>
      </c>
      <c r="E35" s="528"/>
      <c r="F35" s="528"/>
      <c r="G35" s="528"/>
    </row>
    <row r="36" spans="1:7" ht="15">
      <c r="A36" s="5"/>
      <c r="D36" s="528" t="s">
        <v>619</v>
      </c>
      <c r="E36" s="528"/>
      <c r="F36" s="528"/>
      <c r="G36" s="528"/>
    </row>
    <row r="37" spans="4:7" ht="15">
      <c r="D37" s="528"/>
      <c r="E37" s="528"/>
      <c r="F37" s="528"/>
      <c r="G37" s="528"/>
    </row>
    <row r="38" spans="4:7" ht="15">
      <c r="D38" s="528" t="s">
        <v>615</v>
      </c>
      <c r="E38" s="528"/>
      <c r="F38" s="528"/>
      <c r="G38" s="528"/>
    </row>
    <row r="39" spans="1:7" ht="15">
      <c r="A39" s="4"/>
      <c r="D39" s="528" t="s">
        <v>620</v>
      </c>
      <c r="E39" s="528"/>
      <c r="F39" s="528"/>
      <c r="G39" s="528"/>
    </row>
    <row r="40" spans="4:7" ht="15">
      <c r="D40" s="528"/>
      <c r="E40" s="528"/>
      <c r="F40" s="528"/>
      <c r="G40" s="528"/>
    </row>
    <row r="41" spans="4:7" ht="15">
      <c r="D41" s="528" t="s">
        <v>618</v>
      </c>
      <c r="E41" s="528"/>
      <c r="F41" s="528"/>
      <c r="G41" s="528"/>
    </row>
    <row r="42" spans="1:7" ht="15">
      <c r="A42" s="4"/>
      <c r="D42" s="528" t="s">
        <v>621</v>
      </c>
      <c r="E42" s="528"/>
      <c r="F42" s="528"/>
      <c r="G42" s="528"/>
    </row>
    <row r="43" ht="15">
      <c r="A43" s="6"/>
    </row>
    <row r="44" ht="15">
      <c r="A44" s="6"/>
    </row>
    <row r="45" ht="15">
      <c r="A45" s="6" t="s">
        <v>616</v>
      </c>
    </row>
    <row r="50" spans="3:4" ht="15">
      <c r="C50" s="10" t="s">
        <v>480</v>
      </c>
      <c r="D50" s="11"/>
    </row>
  </sheetData>
  <sheetProtection sheet="1" objects="1" scenarios="1"/>
  <mergeCells count="18">
    <mergeCell ref="D39:G39"/>
    <mergeCell ref="D35:G35"/>
    <mergeCell ref="A21:G22"/>
    <mergeCell ref="A26:G28"/>
    <mergeCell ref="D33:G33"/>
    <mergeCell ref="D42:G42"/>
    <mergeCell ref="D37:G37"/>
    <mergeCell ref="D38:G38"/>
    <mergeCell ref="D40:G40"/>
    <mergeCell ref="D41:G41"/>
    <mergeCell ref="D36:G36"/>
    <mergeCell ref="A1:G1"/>
    <mergeCell ref="A3:G3"/>
    <mergeCell ref="A7:G8"/>
    <mergeCell ref="A18:G19"/>
    <mergeCell ref="A30:G31"/>
    <mergeCell ref="A12:G13"/>
    <mergeCell ref="A14:G16"/>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405" t="s">
        <v>193</v>
      </c>
      <c r="B3" s="405"/>
      <c r="C3" s="405"/>
      <c r="D3" s="405"/>
      <c r="E3" s="405"/>
      <c r="F3" s="405"/>
      <c r="G3" s="405"/>
      <c r="H3" s="405"/>
      <c r="I3" s="405"/>
      <c r="J3" s="405"/>
      <c r="K3" s="405"/>
      <c r="L3" s="405"/>
    </row>
    <row r="5" ht="15.75">
      <c r="A5" s="404" t="s">
        <v>194</v>
      </c>
    </row>
    <row r="6" ht="15.75">
      <c r="A6" s="404" t="str">
        <f>CONCATENATE(inputPrYr!D5-2," 'total expenditures' exceed your ",inputPrYr!D5-2," 'budget authority.'")</f>
        <v>2010 'total expenditures' exceed your 2010 'budget authority.'</v>
      </c>
    </row>
    <row r="7" ht="15.75">
      <c r="A7" s="404"/>
    </row>
    <row r="8" ht="15.75">
      <c r="A8" s="404" t="s">
        <v>195</v>
      </c>
    </row>
    <row r="9" ht="15.75">
      <c r="A9" s="404" t="s">
        <v>196</v>
      </c>
    </row>
    <row r="10" ht="15.75">
      <c r="A10" s="404" t="s">
        <v>197</v>
      </c>
    </row>
    <row r="11" ht="15.75">
      <c r="A11" s="404"/>
    </row>
    <row r="12" ht="15.75">
      <c r="A12" s="404"/>
    </row>
    <row r="13" ht="15.75">
      <c r="A13" s="403" t="s">
        <v>198</v>
      </c>
    </row>
    <row r="15" ht="15.75">
      <c r="A15" s="404" t="s">
        <v>199</v>
      </c>
    </row>
    <row r="16" ht="15.75">
      <c r="A16" s="404" t="str">
        <f>CONCATENATE("(i.e. an audit has not been completed, or the ",inputPrYr!D5," adopted")</f>
        <v>(i.e. an audit has not been completed, or the 2012 adopted</v>
      </c>
    </row>
    <row r="17" ht="15.75">
      <c r="A17" s="404" t="s">
        <v>200</v>
      </c>
    </row>
    <row r="18" ht="15.75">
      <c r="A18" s="404" t="s">
        <v>201</v>
      </c>
    </row>
    <row r="19" ht="15.75">
      <c r="A19" s="404" t="s">
        <v>202</v>
      </c>
    </row>
    <row r="21" ht="15.75">
      <c r="A21" s="403" t="s">
        <v>203</v>
      </c>
    </row>
    <row r="22" ht="15.75">
      <c r="A22" s="403"/>
    </row>
    <row r="23" ht="15.75">
      <c r="A23" s="404" t="s">
        <v>204</v>
      </c>
    </row>
    <row r="24" ht="15.75">
      <c r="A24" s="404" t="s">
        <v>205</v>
      </c>
    </row>
    <row r="25" ht="15.75">
      <c r="A25" s="404" t="str">
        <f>CONCATENATE("particular fund.  If your ",inputPrYr!D5-2," budget was amended, did you")</f>
        <v>particular fund.  If your 2010 budget was amended, did you</v>
      </c>
    </row>
    <row r="26" ht="15.75">
      <c r="A26" s="404" t="s">
        <v>206</v>
      </c>
    </row>
    <row r="27" ht="15.75">
      <c r="A27" s="404"/>
    </row>
    <row r="28" ht="15.75">
      <c r="A28" s="404" t="str">
        <f>CONCATENATE("Next, look to see if any of your ",inputPrYr!D5-2," expenditures can be")</f>
        <v>Next, look to see if any of your 2010 expenditures can be</v>
      </c>
    </row>
    <row r="29" ht="15.75">
      <c r="A29" s="404" t="s">
        <v>207</v>
      </c>
    </row>
    <row r="30" ht="15.75">
      <c r="A30" s="404" t="s">
        <v>208</v>
      </c>
    </row>
    <row r="31" ht="15.75">
      <c r="A31" s="404" t="s">
        <v>209</v>
      </c>
    </row>
    <row r="32" ht="15.75">
      <c r="A32" s="404"/>
    </row>
    <row r="33" ht="15.75">
      <c r="A33" s="404" t="str">
        <f>CONCATENATE("Additionally, do your ",inputPrYr!D5-2," receipts contain a reimbursement")</f>
        <v>Additionally, do your 2010 receipts contain a reimbursement</v>
      </c>
    </row>
    <row r="34" ht="15.75">
      <c r="A34" s="404" t="s">
        <v>210</v>
      </c>
    </row>
    <row r="35" ht="15.75">
      <c r="A35" s="404" t="s">
        <v>211</v>
      </c>
    </row>
    <row r="36" ht="15.75">
      <c r="A36" s="404"/>
    </row>
    <row r="37" ht="15.75">
      <c r="A37" s="404" t="s">
        <v>212</v>
      </c>
    </row>
    <row r="38" ht="15.75">
      <c r="A38" s="404" t="s">
        <v>401</v>
      </c>
    </row>
    <row r="39" ht="15.75">
      <c r="A39" s="404" t="s">
        <v>402</v>
      </c>
    </row>
    <row r="40" ht="15.75">
      <c r="A40" s="404" t="s">
        <v>213</v>
      </c>
    </row>
    <row r="41" ht="15.75">
      <c r="A41" s="404" t="s">
        <v>214</v>
      </c>
    </row>
    <row r="42" ht="15.75">
      <c r="A42" s="404" t="s">
        <v>215</v>
      </c>
    </row>
    <row r="43" ht="15.75">
      <c r="A43" s="404" t="s">
        <v>216</v>
      </c>
    </row>
    <row r="44" ht="15.75">
      <c r="A44" s="404" t="s">
        <v>217</v>
      </c>
    </row>
    <row r="45" ht="15.75">
      <c r="A45" s="404"/>
    </row>
    <row r="46" ht="15.75">
      <c r="A46" s="404" t="s">
        <v>218</v>
      </c>
    </row>
    <row r="47" ht="15.75">
      <c r="A47" s="404" t="s">
        <v>219</v>
      </c>
    </row>
    <row r="48" ht="15.75">
      <c r="A48" s="404" t="s">
        <v>220</v>
      </c>
    </row>
    <row r="49" ht="15.75">
      <c r="A49" s="404"/>
    </row>
    <row r="50" ht="15.75">
      <c r="A50" s="404" t="s">
        <v>221</v>
      </c>
    </row>
    <row r="51" ht="15.75">
      <c r="A51" s="404" t="s">
        <v>222</v>
      </c>
    </row>
    <row r="52" ht="15.75">
      <c r="A52" s="404" t="s">
        <v>223</v>
      </c>
    </row>
    <row r="53" ht="15.75">
      <c r="A53" s="404"/>
    </row>
    <row r="54" ht="15.75">
      <c r="A54" s="403" t="s">
        <v>224</v>
      </c>
    </row>
    <row r="55" ht="15.75">
      <c r="A55" s="404"/>
    </row>
    <row r="56" ht="15.75">
      <c r="A56" s="404" t="s">
        <v>225</v>
      </c>
    </row>
    <row r="57" ht="15.75">
      <c r="A57" s="404" t="s">
        <v>226</v>
      </c>
    </row>
    <row r="58" ht="15.75">
      <c r="A58" s="404" t="s">
        <v>227</v>
      </c>
    </row>
    <row r="59" ht="15.75">
      <c r="A59" s="404" t="s">
        <v>228</v>
      </c>
    </row>
    <row r="60" ht="15.75">
      <c r="A60" s="404" t="s">
        <v>229</v>
      </c>
    </row>
    <row r="61" ht="15.75">
      <c r="A61" s="404" t="s">
        <v>230</v>
      </c>
    </row>
    <row r="62" ht="15.75">
      <c r="A62" s="404" t="s">
        <v>231</v>
      </c>
    </row>
    <row r="63" ht="15.75">
      <c r="A63" s="404" t="s">
        <v>232</v>
      </c>
    </row>
    <row r="64" ht="15.75">
      <c r="A64" s="404" t="s">
        <v>233</v>
      </c>
    </row>
    <row r="65" ht="15.75">
      <c r="A65" s="404" t="s">
        <v>234</v>
      </c>
    </row>
    <row r="66" ht="15.75">
      <c r="A66" s="404" t="s">
        <v>235</v>
      </c>
    </row>
    <row r="67" ht="15.75">
      <c r="A67" s="404" t="s">
        <v>236</v>
      </c>
    </row>
    <row r="68" ht="15.75">
      <c r="A68" s="404" t="s">
        <v>237</v>
      </c>
    </row>
    <row r="69" ht="15.75">
      <c r="A69" s="404"/>
    </row>
    <row r="70" ht="15.75">
      <c r="A70" s="404" t="s">
        <v>238</v>
      </c>
    </row>
    <row r="71" ht="15.75">
      <c r="A71" s="404" t="s">
        <v>239</v>
      </c>
    </row>
    <row r="72" ht="15.75">
      <c r="A72" s="404" t="s">
        <v>240</v>
      </c>
    </row>
    <row r="73" ht="15.75">
      <c r="A73" s="404"/>
    </row>
    <row r="74" ht="15.75">
      <c r="A74" s="403" t="str">
        <f>CONCATENATE("What if the ",inputPrYr!D5-2," financial records have been closed?")</f>
        <v>What if the 2010 financial records have been closed?</v>
      </c>
    </row>
    <row r="76" ht="15.75">
      <c r="A76" s="404" t="s">
        <v>241</v>
      </c>
    </row>
    <row r="77" ht="15.75">
      <c r="A77" s="404" t="str">
        <f>CONCATENATE("(i.e. an audit for ",inputPrYr!D5-2," has been completed, or the ",inputPrYr!D5)</f>
        <v>(i.e. an audit for 2010 has been completed, or the 2012</v>
      </c>
    </row>
    <row r="78" ht="15.75">
      <c r="A78" s="404" t="s">
        <v>242</v>
      </c>
    </row>
    <row r="79" ht="15.75">
      <c r="A79" s="404" t="s">
        <v>243</v>
      </c>
    </row>
    <row r="80" ht="15.75">
      <c r="A80" s="404"/>
    </row>
    <row r="81" ht="15.75">
      <c r="A81" s="404" t="s">
        <v>244</v>
      </c>
    </row>
    <row r="82" ht="15.75">
      <c r="A82" s="404" t="s">
        <v>245</v>
      </c>
    </row>
    <row r="83" ht="15.75">
      <c r="A83" s="404" t="s">
        <v>246</v>
      </c>
    </row>
    <row r="84" ht="15.75">
      <c r="A84" s="404"/>
    </row>
    <row r="85" ht="15.75">
      <c r="A8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405" t="s">
        <v>248</v>
      </c>
      <c r="B3" s="405"/>
      <c r="C3" s="405"/>
      <c r="D3" s="405"/>
      <c r="E3" s="405"/>
      <c r="F3" s="405"/>
      <c r="G3" s="405"/>
      <c r="H3" s="402"/>
      <c r="I3" s="402"/>
      <c r="J3" s="402"/>
    </row>
    <row r="5" ht="15.75">
      <c r="A5" s="404" t="s">
        <v>249</v>
      </c>
    </row>
    <row r="6" ht="15">
      <c r="A6" t="str">
        <f>CONCATENATE(inputPrYr!D5-2," expenditures show that you finished the year with a ")</f>
        <v>2010 expenditures show that you finished the year with a </v>
      </c>
    </row>
    <row r="7" ht="15">
      <c r="A7" t="s">
        <v>250</v>
      </c>
    </row>
    <row r="9" ht="15">
      <c r="A9" t="s">
        <v>251</v>
      </c>
    </row>
    <row r="10" ht="15">
      <c r="A10" t="s">
        <v>252</v>
      </c>
    </row>
    <row r="11" ht="15">
      <c r="A11" t="s">
        <v>253</v>
      </c>
    </row>
    <row r="13" ht="15.75">
      <c r="A13" s="403" t="s">
        <v>254</v>
      </c>
    </row>
    <row r="14" ht="15.75">
      <c r="A14" s="403"/>
    </row>
    <row r="15" ht="15.75">
      <c r="A15" s="404" t="s">
        <v>255</v>
      </c>
    </row>
    <row r="16" ht="15.75">
      <c r="A16" s="404" t="s">
        <v>256</v>
      </c>
    </row>
    <row r="17" ht="15.75">
      <c r="A17" s="404" t="s">
        <v>257</v>
      </c>
    </row>
    <row r="18" ht="15.75">
      <c r="A18" s="404"/>
    </row>
    <row r="19" ht="15.75">
      <c r="A19" s="403" t="s">
        <v>258</v>
      </c>
    </row>
    <row r="20" ht="15.75">
      <c r="A20" s="403"/>
    </row>
    <row r="21" ht="15.75">
      <c r="A21" s="404" t="s">
        <v>259</v>
      </c>
    </row>
    <row r="22" ht="15.75">
      <c r="A22" s="404" t="s">
        <v>260</v>
      </c>
    </row>
    <row r="23" ht="15.75">
      <c r="A23" s="404" t="s">
        <v>261</v>
      </c>
    </row>
    <row r="24" ht="15.75">
      <c r="A24" s="404"/>
    </row>
    <row r="25" ht="15.75">
      <c r="A25" s="403" t="s">
        <v>262</v>
      </c>
    </row>
    <row r="26" ht="15.75">
      <c r="A26" s="403"/>
    </row>
    <row r="27" ht="15.75">
      <c r="A27" s="404" t="s">
        <v>263</v>
      </c>
    </row>
    <row r="28" ht="15.75">
      <c r="A28" s="404" t="s">
        <v>264</v>
      </c>
    </row>
    <row r="29" ht="15.75">
      <c r="A29" s="404" t="s">
        <v>265</v>
      </c>
    </row>
    <row r="30" ht="15.75">
      <c r="A30" s="404"/>
    </row>
    <row r="31" ht="15.75">
      <c r="A31" s="403" t="s">
        <v>266</v>
      </c>
    </row>
    <row r="32" ht="15.75">
      <c r="A32" s="403"/>
    </row>
    <row r="33" spans="1:8" ht="15.75">
      <c r="A33" s="404" t="str">
        <f>CONCATENATE("If your financial records for ",inputPrYr!D5-2," are not closed")</f>
        <v>If your financial records for 2010 are not closed</v>
      </c>
      <c r="B33" s="404"/>
      <c r="C33" s="404"/>
      <c r="D33" s="404"/>
      <c r="E33" s="404"/>
      <c r="F33" s="404"/>
      <c r="G33" s="404"/>
      <c r="H33" s="404"/>
    </row>
    <row r="34" spans="1:8" ht="15.75">
      <c r="A34" s="404" t="str">
        <f>CONCATENATE("(i.e. an audit has not been completed, or the ",inputPrYr!D5," adopted ")</f>
        <v>(i.e. an audit has not been completed, or the 2012 adopted </v>
      </c>
      <c r="B34" s="404"/>
      <c r="C34" s="404"/>
      <c r="D34" s="404"/>
      <c r="E34" s="404"/>
      <c r="F34" s="404"/>
      <c r="G34" s="404"/>
      <c r="H34" s="404"/>
    </row>
    <row r="35" spans="1:8" ht="15.75">
      <c r="A35" s="404" t="s">
        <v>267</v>
      </c>
      <c r="B35" s="404"/>
      <c r="C35" s="404"/>
      <c r="D35" s="404"/>
      <c r="E35" s="404"/>
      <c r="F35" s="404"/>
      <c r="G35" s="404"/>
      <c r="H35" s="404"/>
    </row>
    <row r="36" spans="1:8" ht="15.75">
      <c r="A36" s="404" t="s">
        <v>268</v>
      </c>
      <c r="B36" s="404"/>
      <c r="C36" s="404"/>
      <c r="D36" s="404"/>
      <c r="E36" s="404"/>
      <c r="F36" s="404"/>
      <c r="G36" s="404"/>
      <c r="H36" s="404"/>
    </row>
    <row r="37" spans="1:8" ht="15.75">
      <c r="A37" s="404" t="s">
        <v>269</v>
      </c>
      <c r="B37" s="404"/>
      <c r="C37" s="404"/>
      <c r="D37" s="404"/>
      <c r="E37" s="404"/>
      <c r="F37" s="404"/>
      <c r="G37" s="404"/>
      <c r="H37" s="404"/>
    </row>
    <row r="38" spans="1:8" ht="15.75">
      <c r="A38" s="404" t="s">
        <v>270</v>
      </c>
      <c r="B38" s="404"/>
      <c r="C38" s="404"/>
      <c r="D38" s="404"/>
      <c r="E38" s="404"/>
      <c r="F38" s="404"/>
      <c r="G38" s="404"/>
      <c r="H38" s="404"/>
    </row>
    <row r="39" spans="1:8" ht="15.75">
      <c r="A39" s="404" t="s">
        <v>271</v>
      </c>
      <c r="B39" s="404"/>
      <c r="C39" s="404"/>
      <c r="D39" s="404"/>
      <c r="E39" s="404"/>
      <c r="F39" s="404"/>
      <c r="G39" s="404"/>
      <c r="H39" s="404"/>
    </row>
    <row r="40" spans="1:8" ht="15.75">
      <c r="A40" s="404"/>
      <c r="B40" s="404"/>
      <c r="C40" s="404"/>
      <c r="D40" s="404"/>
      <c r="E40" s="404"/>
      <c r="F40" s="404"/>
      <c r="G40" s="404"/>
      <c r="H40" s="404"/>
    </row>
    <row r="41" spans="1:8" ht="15.75">
      <c r="A41" s="404" t="s">
        <v>272</v>
      </c>
      <c r="B41" s="404"/>
      <c r="C41" s="404"/>
      <c r="D41" s="404"/>
      <c r="E41" s="404"/>
      <c r="F41" s="404"/>
      <c r="G41" s="404"/>
      <c r="H41" s="404"/>
    </row>
    <row r="42" spans="1:8" ht="15.75">
      <c r="A42" s="404" t="s">
        <v>273</v>
      </c>
      <c r="B42" s="404"/>
      <c r="C42" s="404"/>
      <c r="D42" s="404"/>
      <c r="E42" s="404"/>
      <c r="F42" s="404"/>
      <c r="G42" s="404"/>
      <c r="H42" s="404"/>
    </row>
    <row r="43" spans="1:8" ht="15.75">
      <c r="A43" s="404" t="s">
        <v>274</v>
      </c>
      <c r="B43" s="404"/>
      <c r="C43" s="404"/>
      <c r="D43" s="404"/>
      <c r="E43" s="404"/>
      <c r="F43" s="404"/>
      <c r="G43" s="404"/>
      <c r="H43" s="404"/>
    </row>
    <row r="44" spans="1:8" ht="15.75">
      <c r="A44" s="404" t="s">
        <v>275</v>
      </c>
      <c r="B44" s="404"/>
      <c r="C44" s="404"/>
      <c r="D44" s="404"/>
      <c r="E44" s="404"/>
      <c r="F44" s="404"/>
      <c r="G44" s="404"/>
      <c r="H44" s="404"/>
    </row>
    <row r="45" spans="1:8" ht="15.75">
      <c r="A45" s="404"/>
      <c r="B45" s="404"/>
      <c r="C45" s="404"/>
      <c r="D45" s="404"/>
      <c r="E45" s="404"/>
      <c r="F45" s="404"/>
      <c r="G45" s="404"/>
      <c r="H45" s="404"/>
    </row>
    <row r="46" spans="1:8" ht="15.75">
      <c r="A46" s="404" t="s">
        <v>276</v>
      </c>
      <c r="B46" s="404"/>
      <c r="C46" s="404"/>
      <c r="D46" s="404"/>
      <c r="E46" s="404"/>
      <c r="F46" s="404"/>
      <c r="G46" s="404"/>
      <c r="H46" s="404"/>
    </row>
    <row r="47" spans="1:8" ht="15.75">
      <c r="A47" s="404" t="s">
        <v>277</v>
      </c>
      <c r="B47" s="404"/>
      <c r="C47" s="404"/>
      <c r="D47" s="404"/>
      <c r="E47" s="404"/>
      <c r="F47" s="404"/>
      <c r="G47" s="404"/>
      <c r="H47" s="404"/>
    </row>
    <row r="48" spans="1:8" ht="15.75">
      <c r="A48" s="404" t="s">
        <v>278</v>
      </c>
      <c r="B48" s="404"/>
      <c r="C48" s="404"/>
      <c r="D48" s="404"/>
      <c r="E48" s="404"/>
      <c r="F48" s="404"/>
      <c r="G48" s="404"/>
      <c r="H48" s="404"/>
    </row>
    <row r="49" spans="1:8" ht="15.75">
      <c r="A49" s="404" t="s">
        <v>279</v>
      </c>
      <c r="B49" s="404"/>
      <c r="C49" s="404"/>
      <c r="D49" s="404"/>
      <c r="E49" s="404"/>
      <c r="F49" s="404"/>
      <c r="G49" s="404"/>
      <c r="H49" s="404"/>
    </row>
    <row r="50" spans="1:8" ht="15.75">
      <c r="A50" s="404" t="s">
        <v>280</v>
      </c>
      <c r="B50" s="404"/>
      <c r="C50" s="404"/>
      <c r="D50" s="404"/>
      <c r="E50" s="404"/>
      <c r="F50" s="404"/>
      <c r="G50" s="404"/>
      <c r="H50" s="404"/>
    </row>
    <row r="51" spans="1:8" ht="15.75">
      <c r="A51" s="404"/>
      <c r="B51" s="404"/>
      <c r="C51" s="404"/>
      <c r="D51" s="404"/>
      <c r="E51" s="404"/>
      <c r="F51" s="404"/>
      <c r="G51" s="404"/>
      <c r="H51" s="404"/>
    </row>
    <row r="52" spans="1:8" ht="15.75">
      <c r="A52" s="403" t="s">
        <v>281</v>
      </c>
      <c r="B52" s="403"/>
      <c r="C52" s="403"/>
      <c r="D52" s="403"/>
      <c r="E52" s="403"/>
      <c r="F52" s="403"/>
      <c r="G52" s="403"/>
      <c r="H52" s="404"/>
    </row>
    <row r="53" spans="1:8" ht="15.75">
      <c r="A53" s="403" t="s">
        <v>282</v>
      </c>
      <c r="B53" s="403"/>
      <c r="C53" s="403"/>
      <c r="D53" s="403"/>
      <c r="E53" s="403"/>
      <c r="F53" s="403"/>
      <c r="G53" s="403"/>
      <c r="H53" s="404"/>
    </row>
    <row r="54" spans="1:8" ht="15.75">
      <c r="A54" s="404"/>
      <c r="B54" s="404"/>
      <c r="C54" s="404"/>
      <c r="D54" s="404"/>
      <c r="E54" s="404"/>
      <c r="F54" s="404"/>
      <c r="G54" s="404"/>
      <c r="H54" s="404"/>
    </row>
    <row r="55" spans="1:8" ht="15.75">
      <c r="A55" s="404" t="s">
        <v>283</v>
      </c>
      <c r="B55" s="404"/>
      <c r="C55" s="404"/>
      <c r="D55" s="404"/>
      <c r="E55" s="404"/>
      <c r="F55" s="404"/>
      <c r="G55" s="404"/>
      <c r="H55" s="404"/>
    </row>
    <row r="56" spans="1:8" ht="15.75">
      <c r="A56" s="404" t="s">
        <v>284</v>
      </c>
      <c r="B56" s="404"/>
      <c r="C56" s="404"/>
      <c r="D56" s="404"/>
      <c r="E56" s="404"/>
      <c r="F56" s="404"/>
      <c r="G56" s="404"/>
      <c r="H56" s="404"/>
    </row>
    <row r="57" spans="1:8" ht="15.75">
      <c r="A57" s="404" t="s">
        <v>285</v>
      </c>
      <c r="B57" s="404"/>
      <c r="C57" s="404"/>
      <c r="D57" s="404"/>
      <c r="E57" s="404"/>
      <c r="F57" s="404"/>
      <c r="G57" s="404"/>
      <c r="H57" s="404"/>
    </row>
    <row r="58" spans="1:8" ht="15.75">
      <c r="A58" s="404" t="s">
        <v>286</v>
      </c>
      <c r="B58" s="404"/>
      <c r="C58" s="404"/>
      <c r="D58" s="404"/>
      <c r="E58" s="404"/>
      <c r="F58" s="404"/>
      <c r="G58" s="404"/>
      <c r="H58" s="404"/>
    </row>
    <row r="59" spans="1:8" ht="15.75">
      <c r="A59" s="404"/>
      <c r="B59" s="404"/>
      <c r="C59" s="404"/>
      <c r="D59" s="404"/>
      <c r="E59" s="404"/>
      <c r="F59" s="404"/>
      <c r="G59" s="404"/>
      <c r="H59" s="404"/>
    </row>
    <row r="60" spans="1:8" ht="15.75">
      <c r="A60" s="404" t="s">
        <v>287</v>
      </c>
      <c r="B60" s="404"/>
      <c r="C60" s="404"/>
      <c r="D60" s="404"/>
      <c r="E60" s="404"/>
      <c r="F60" s="404"/>
      <c r="G60" s="404"/>
      <c r="H60" s="404"/>
    </row>
    <row r="61" spans="1:8" ht="15.75">
      <c r="A61" s="404" t="s">
        <v>288</v>
      </c>
      <c r="B61" s="404"/>
      <c r="C61" s="404"/>
      <c r="D61" s="404"/>
      <c r="E61" s="404"/>
      <c r="F61" s="404"/>
      <c r="G61" s="404"/>
      <c r="H61" s="404"/>
    </row>
    <row r="62" spans="1:8" ht="15.75">
      <c r="A62" s="404" t="s">
        <v>289</v>
      </c>
      <c r="B62" s="404"/>
      <c r="C62" s="404"/>
      <c r="D62" s="404"/>
      <c r="E62" s="404"/>
      <c r="F62" s="404"/>
      <c r="G62" s="404"/>
      <c r="H62" s="404"/>
    </row>
    <row r="63" spans="1:8" ht="15.75">
      <c r="A63" s="404" t="s">
        <v>290</v>
      </c>
      <c r="B63" s="404"/>
      <c r="C63" s="404"/>
      <c r="D63" s="404"/>
      <c r="E63" s="404"/>
      <c r="F63" s="404"/>
      <c r="G63" s="404"/>
      <c r="H63" s="404"/>
    </row>
    <row r="64" spans="1:8" ht="15.75">
      <c r="A64" s="404" t="s">
        <v>291</v>
      </c>
      <c r="B64" s="404"/>
      <c r="C64" s="404"/>
      <c r="D64" s="404"/>
      <c r="E64" s="404"/>
      <c r="F64" s="404"/>
      <c r="G64" s="404"/>
      <c r="H64" s="404"/>
    </row>
    <row r="65" spans="1:8" ht="15.75">
      <c r="A65" s="404" t="s">
        <v>292</v>
      </c>
      <c r="B65" s="404"/>
      <c r="C65" s="404"/>
      <c r="D65" s="404"/>
      <c r="E65" s="404"/>
      <c r="F65" s="404"/>
      <c r="G65" s="404"/>
      <c r="H65" s="404"/>
    </row>
    <row r="66" spans="1:8" ht="15.75">
      <c r="A66" s="404"/>
      <c r="B66" s="404"/>
      <c r="C66" s="404"/>
      <c r="D66" s="404"/>
      <c r="E66" s="404"/>
      <c r="F66" s="404"/>
      <c r="G66" s="404"/>
      <c r="H66" s="404"/>
    </row>
    <row r="67" spans="1:8" ht="15.75">
      <c r="A67" s="404" t="s">
        <v>293</v>
      </c>
      <c r="B67" s="404"/>
      <c r="C67" s="404"/>
      <c r="D67" s="404"/>
      <c r="E67" s="404"/>
      <c r="F67" s="404"/>
      <c r="G67" s="404"/>
      <c r="H67" s="404"/>
    </row>
    <row r="68" spans="1:8" ht="15.75">
      <c r="A68" s="404" t="s">
        <v>294</v>
      </c>
      <c r="B68" s="404"/>
      <c r="C68" s="404"/>
      <c r="D68" s="404"/>
      <c r="E68" s="404"/>
      <c r="F68" s="404"/>
      <c r="G68" s="404"/>
      <c r="H68" s="404"/>
    </row>
    <row r="69" spans="1:8" ht="15.75">
      <c r="A69" s="404" t="s">
        <v>295</v>
      </c>
      <c r="B69" s="404"/>
      <c r="C69" s="404"/>
      <c r="D69" s="404"/>
      <c r="E69" s="404"/>
      <c r="F69" s="404"/>
      <c r="G69" s="404"/>
      <c r="H69" s="404"/>
    </row>
    <row r="70" spans="1:8" ht="15.75">
      <c r="A70" s="404" t="s">
        <v>296</v>
      </c>
      <c r="B70" s="404"/>
      <c r="C70" s="404"/>
      <c r="D70" s="404"/>
      <c r="E70" s="404"/>
      <c r="F70" s="404"/>
      <c r="G70" s="404"/>
      <c r="H70" s="404"/>
    </row>
    <row r="71" spans="1:8" ht="15.75">
      <c r="A71" s="404" t="s">
        <v>297</v>
      </c>
      <c r="B71" s="404"/>
      <c r="C71" s="404"/>
      <c r="D71" s="404"/>
      <c r="E71" s="404"/>
      <c r="F71" s="404"/>
      <c r="G71" s="404"/>
      <c r="H71" s="404"/>
    </row>
    <row r="72" spans="1:8" ht="15.75">
      <c r="A72" s="404" t="s">
        <v>298</v>
      </c>
      <c r="B72" s="404"/>
      <c r="C72" s="404"/>
      <c r="D72" s="404"/>
      <c r="E72" s="404"/>
      <c r="F72" s="404"/>
      <c r="G72" s="404"/>
      <c r="H72" s="404"/>
    </row>
    <row r="73" spans="1:8" ht="15.75">
      <c r="A73" s="404" t="s">
        <v>299</v>
      </c>
      <c r="B73" s="404"/>
      <c r="C73" s="404"/>
      <c r="D73" s="404"/>
      <c r="E73" s="404"/>
      <c r="F73" s="404"/>
      <c r="G73" s="404"/>
      <c r="H73" s="404"/>
    </row>
    <row r="74" spans="1:8" ht="15.75">
      <c r="A74" s="404"/>
      <c r="B74" s="404"/>
      <c r="C74" s="404"/>
      <c r="D74" s="404"/>
      <c r="E74" s="404"/>
      <c r="F74" s="404"/>
      <c r="G74" s="404"/>
      <c r="H74" s="404"/>
    </row>
    <row r="75" spans="1:8" ht="15.75">
      <c r="A75" s="404" t="s">
        <v>300</v>
      </c>
      <c r="B75" s="404"/>
      <c r="C75" s="404"/>
      <c r="D75" s="404"/>
      <c r="E75" s="404"/>
      <c r="F75" s="404"/>
      <c r="G75" s="404"/>
      <c r="H75" s="404"/>
    </row>
    <row r="76" spans="1:8" ht="15.75">
      <c r="A76" s="404" t="s">
        <v>301</v>
      </c>
      <c r="B76" s="404"/>
      <c r="C76" s="404"/>
      <c r="D76" s="404"/>
      <c r="E76" s="404"/>
      <c r="F76" s="404"/>
      <c r="G76" s="404"/>
      <c r="H76" s="404"/>
    </row>
    <row r="77" spans="1:8" ht="15.75">
      <c r="A77" s="404" t="s">
        <v>305</v>
      </c>
      <c r="B77" s="404"/>
      <c r="C77" s="404"/>
      <c r="D77" s="404"/>
      <c r="E77" s="404"/>
      <c r="F77" s="404"/>
      <c r="G77" s="404"/>
      <c r="H77" s="404"/>
    </row>
    <row r="78" spans="1:8" ht="15.75">
      <c r="A78" s="404"/>
      <c r="B78" s="404"/>
      <c r="C78" s="404"/>
      <c r="D78" s="404"/>
      <c r="E78" s="404"/>
      <c r="F78" s="404"/>
      <c r="G78" s="404"/>
      <c r="H78" s="404"/>
    </row>
    <row r="79" ht="15.75">
      <c r="A79" s="404" t="s">
        <v>247</v>
      </c>
    </row>
    <row r="80" ht="15.75">
      <c r="A80" s="403"/>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1" ht="15.75">
      <c r="A91"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3" ht="15.75">
      <c r="A103" s="404"/>
    </row>
    <row r="104" ht="15.75">
      <c r="A104" s="404"/>
    </row>
    <row r="105" ht="15.75">
      <c r="A105" s="404"/>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405" t="s">
        <v>306</v>
      </c>
      <c r="B3" s="405"/>
      <c r="C3" s="405"/>
      <c r="D3" s="405"/>
      <c r="E3" s="405"/>
      <c r="F3" s="405"/>
      <c r="G3" s="405"/>
      <c r="H3" s="405"/>
      <c r="I3" s="405"/>
      <c r="J3" s="405"/>
      <c r="K3" s="405"/>
      <c r="L3" s="405"/>
    </row>
    <row r="4" spans="1:12" ht="15.75">
      <c r="A4" s="405"/>
      <c r="B4" s="405"/>
      <c r="C4" s="405"/>
      <c r="D4" s="405"/>
      <c r="E4" s="405"/>
      <c r="F4" s="405"/>
      <c r="G4" s="405"/>
      <c r="H4" s="405"/>
      <c r="I4" s="405"/>
      <c r="J4" s="405"/>
      <c r="K4" s="405"/>
      <c r="L4" s="405"/>
    </row>
    <row r="5" spans="1:12" ht="15.75">
      <c r="A5" s="404" t="s">
        <v>194</v>
      </c>
      <c r="I5" s="405"/>
      <c r="J5" s="405"/>
      <c r="K5" s="405"/>
      <c r="L5" s="405"/>
    </row>
    <row r="6" spans="1:12" ht="15.75">
      <c r="A6" s="404" t="str">
        <f>CONCATENATE("estimated ",inputPrYr!D5-1," 'total expenditures' exceed your ",inputPrYr!D5-1,"")</f>
        <v>estimated 2011 'total expenditures' exceed your 2011</v>
      </c>
      <c r="I6" s="405"/>
      <c r="J6" s="405"/>
      <c r="K6" s="405"/>
      <c r="L6" s="405"/>
    </row>
    <row r="7" spans="1:12" ht="15.75">
      <c r="A7" s="419" t="s">
        <v>307</v>
      </c>
      <c r="I7" s="405"/>
      <c r="J7" s="405"/>
      <c r="K7" s="405"/>
      <c r="L7" s="405"/>
    </row>
    <row r="8" spans="1:12" ht="15.75">
      <c r="A8" s="404"/>
      <c r="I8" s="405"/>
      <c r="J8" s="405"/>
      <c r="K8" s="405"/>
      <c r="L8" s="405"/>
    </row>
    <row r="9" spans="1:12" ht="15.75">
      <c r="A9" s="404" t="s">
        <v>308</v>
      </c>
      <c r="I9" s="405"/>
      <c r="J9" s="405"/>
      <c r="K9" s="405"/>
      <c r="L9" s="405"/>
    </row>
    <row r="10" spans="1:12" ht="15.75">
      <c r="A10" s="404" t="s">
        <v>309</v>
      </c>
      <c r="I10" s="405"/>
      <c r="J10" s="405"/>
      <c r="K10" s="405"/>
      <c r="L10" s="405"/>
    </row>
    <row r="11" spans="1:12" ht="15.75">
      <c r="A11" s="404" t="s">
        <v>310</v>
      </c>
      <c r="I11" s="405"/>
      <c r="J11" s="405"/>
      <c r="K11" s="405"/>
      <c r="L11" s="405"/>
    </row>
    <row r="12" spans="1:12" ht="15.75">
      <c r="A12" s="404" t="s">
        <v>311</v>
      </c>
      <c r="I12" s="405"/>
      <c r="J12" s="405"/>
      <c r="K12" s="405"/>
      <c r="L12" s="405"/>
    </row>
    <row r="13" spans="1:12" ht="15.75">
      <c r="A13" s="404" t="s">
        <v>312</v>
      </c>
      <c r="I13" s="405"/>
      <c r="J13" s="405"/>
      <c r="K13" s="405"/>
      <c r="L13" s="405"/>
    </row>
    <row r="14" spans="1:12" ht="15.75">
      <c r="A14" s="405"/>
      <c r="B14" s="405"/>
      <c r="C14" s="405"/>
      <c r="D14" s="405"/>
      <c r="E14" s="405"/>
      <c r="F14" s="405"/>
      <c r="G14" s="405"/>
      <c r="H14" s="405"/>
      <c r="I14" s="405"/>
      <c r="J14" s="405"/>
      <c r="K14" s="405"/>
      <c r="L14" s="405"/>
    </row>
    <row r="15" ht="15.75">
      <c r="A15" s="403" t="s">
        <v>313</v>
      </c>
    </row>
    <row r="16" ht="15.75">
      <c r="A16" s="403" t="s">
        <v>314</v>
      </c>
    </row>
    <row r="17" ht="15.75">
      <c r="A17" s="403"/>
    </row>
    <row r="18" spans="1:7" ht="15.75">
      <c r="A18" s="404" t="s">
        <v>315</v>
      </c>
      <c r="B18" s="404"/>
      <c r="C18" s="404"/>
      <c r="D18" s="404"/>
      <c r="E18" s="404"/>
      <c r="F18" s="404"/>
      <c r="G18" s="404"/>
    </row>
    <row r="19" spans="1:7" ht="15.75">
      <c r="A19" s="404" t="str">
        <f>CONCATENATE("your ",inputPrYr!D5-1," numbers to see what steps might be necessary to")</f>
        <v>your 2011 numbers to see what steps might be necessary to</v>
      </c>
      <c r="B19" s="404"/>
      <c r="C19" s="404"/>
      <c r="D19" s="404"/>
      <c r="E19" s="404"/>
      <c r="F19" s="404"/>
      <c r="G19" s="404"/>
    </row>
    <row r="20" spans="1:7" ht="15.75">
      <c r="A20" s="404" t="s">
        <v>316</v>
      </c>
      <c r="B20" s="404"/>
      <c r="C20" s="404"/>
      <c r="D20" s="404"/>
      <c r="E20" s="404"/>
      <c r="F20" s="404"/>
      <c r="G20" s="404"/>
    </row>
    <row r="21" spans="1:7" ht="15.75">
      <c r="A21" s="404" t="s">
        <v>317</v>
      </c>
      <c r="B21" s="404"/>
      <c r="C21" s="404"/>
      <c r="D21" s="404"/>
      <c r="E21" s="404"/>
      <c r="F21" s="404"/>
      <c r="G21" s="404"/>
    </row>
    <row r="22" ht="15.75">
      <c r="A22" s="404"/>
    </row>
    <row r="23" ht="15.75">
      <c r="A23" s="403" t="s">
        <v>318</v>
      </c>
    </row>
    <row r="24" ht="15.75">
      <c r="A24" s="403"/>
    </row>
    <row r="25" ht="15.75">
      <c r="A25" s="404" t="s">
        <v>319</v>
      </c>
    </row>
    <row r="26" spans="1:6" ht="15.75">
      <c r="A26" s="404" t="s">
        <v>320</v>
      </c>
      <c r="B26" s="404"/>
      <c r="C26" s="404"/>
      <c r="D26" s="404"/>
      <c r="E26" s="404"/>
      <c r="F26" s="404"/>
    </row>
    <row r="27" spans="1:6" ht="15.75">
      <c r="A27" s="404" t="s">
        <v>321</v>
      </c>
      <c r="B27" s="404"/>
      <c r="C27" s="404"/>
      <c r="D27" s="404"/>
      <c r="E27" s="404"/>
      <c r="F27" s="404"/>
    </row>
    <row r="28" spans="1:6" ht="15.75">
      <c r="A28" s="404" t="s">
        <v>322</v>
      </c>
      <c r="B28" s="404"/>
      <c r="C28" s="404"/>
      <c r="D28" s="404"/>
      <c r="E28" s="404"/>
      <c r="F28" s="404"/>
    </row>
    <row r="29" spans="1:6" ht="15.75">
      <c r="A29" s="404"/>
      <c r="B29" s="404"/>
      <c r="C29" s="404"/>
      <c r="D29" s="404"/>
      <c r="E29" s="404"/>
      <c r="F29" s="404"/>
    </row>
    <row r="30" spans="1:7" ht="15.75">
      <c r="A30" s="403" t="s">
        <v>323</v>
      </c>
      <c r="B30" s="403"/>
      <c r="C30" s="403"/>
      <c r="D30" s="403"/>
      <c r="E30" s="403"/>
      <c r="F30" s="403"/>
      <c r="G30" s="403"/>
    </row>
    <row r="31" spans="1:7" ht="15.75">
      <c r="A31" s="403" t="s">
        <v>324</v>
      </c>
      <c r="B31" s="403"/>
      <c r="C31" s="403"/>
      <c r="D31" s="403"/>
      <c r="E31" s="403"/>
      <c r="F31" s="403"/>
      <c r="G31" s="403"/>
    </row>
    <row r="32" spans="1:6" ht="15.75">
      <c r="A32" s="404"/>
      <c r="B32" s="404"/>
      <c r="C32" s="404"/>
      <c r="D32" s="404"/>
      <c r="E32" s="404"/>
      <c r="F32" s="404"/>
    </row>
    <row r="33" spans="1:6" ht="15.75">
      <c r="A33" s="416" t="str">
        <f>CONCATENATE("Well, let's look to see if any of your ",inputPrYr!D5-1," expenditures can")</f>
        <v>Well, let's look to see if any of your 2011 expenditures can</v>
      </c>
      <c r="B33" s="404"/>
      <c r="C33" s="404"/>
      <c r="D33" s="404"/>
      <c r="E33" s="404"/>
      <c r="F33" s="404"/>
    </row>
    <row r="34" spans="1:6" ht="15.75">
      <c r="A34" s="416" t="s">
        <v>325</v>
      </c>
      <c r="B34" s="404"/>
      <c r="C34" s="404"/>
      <c r="D34" s="404"/>
      <c r="E34" s="404"/>
      <c r="F34" s="404"/>
    </row>
    <row r="35" spans="1:6" ht="15.75">
      <c r="A35" s="416" t="s">
        <v>208</v>
      </c>
      <c r="B35" s="404"/>
      <c r="C35" s="404"/>
      <c r="D35" s="404"/>
      <c r="E35" s="404"/>
      <c r="F35" s="404"/>
    </row>
    <row r="36" spans="1:6" ht="15.75">
      <c r="A36" s="416" t="s">
        <v>209</v>
      </c>
      <c r="B36" s="404"/>
      <c r="C36" s="404"/>
      <c r="D36" s="404"/>
      <c r="E36" s="404"/>
      <c r="F36" s="404"/>
    </row>
    <row r="37" spans="1:6" ht="15.75">
      <c r="A37" s="416"/>
      <c r="B37" s="404"/>
      <c r="C37" s="404"/>
      <c r="D37" s="404"/>
      <c r="E37" s="404"/>
      <c r="F37" s="404"/>
    </row>
    <row r="38" spans="1:6" ht="15.75">
      <c r="A38" s="416" t="str">
        <f>CONCATENATE("Additionally, do your ",inputPrYr!D5-1," receipts contain a reimbursement")</f>
        <v>Additionally, do your 2011 receipts contain a reimbursement</v>
      </c>
      <c r="B38" s="404"/>
      <c r="C38" s="404"/>
      <c r="D38" s="404"/>
      <c r="E38" s="404"/>
      <c r="F38" s="404"/>
    </row>
    <row r="39" spans="1:6" ht="15.75">
      <c r="A39" s="416" t="s">
        <v>210</v>
      </c>
      <c r="B39" s="404"/>
      <c r="C39" s="404"/>
      <c r="D39" s="404"/>
      <c r="E39" s="404"/>
      <c r="F39" s="404"/>
    </row>
    <row r="40" spans="1:6" ht="15.75">
      <c r="A40" s="416" t="s">
        <v>211</v>
      </c>
      <c r="B40" s="404"/>
      <c r="C40" s="404"/>
      <c r="D40" s="404"/>
      <c r="E40" s="404"/>
      <c r="F40" s="404"/>
    </row>
    <row r="41" spans="1:6" ht="15.75">
      <c r="A41" s="416"/>
      <c r="B41" s="404"/>
      <c r="C41" s="404"/>
      <c r="D41" s="404"/>
      <c r="E41" s="404"/>
      <c r="F41" s="404"/>
    </row>
    <row r="42" spans="1:6" ht="15.75">
      <c r="A42" s="416" t="s">
        <v>212</v>
      </c>
      <c r="B42" s="404"/>
      <c r="C42" s="404"/>
      <c r="D42" s="404"/>
      <c r="E42" s="404"/>
      <c r="F42" s="404"/>
    </row>
    <row r="43" spans="1:6" ht="15.75">
      <c r="A43" s="416" t="s">
        <v>401</v>
      </c>
      <c r="B43" s="404"/>
      <c r="C43" s="404"/>
      <c r="D43" s="404"/>
      <c r="E43" s="404"/>
      <c r="F43" s="404"/>
    </row>
    <row r="44" spans="1:6" ht="15.75">
      <c r="A44" s="416" t="s">
        <v>402</v>
      </c>
      <c r="B44" s="404"/>
      <c r="C44" s="404"/>
      <c r="D44" s="404"/>
      <c r="E44" s="404"/>
      <c r="F44" s="404"/>
    </row>
    <row r="45" spans="1:6" ht="15.75">
      <c r="A45" s="416" t="s">
        <v>326</v>
      </c>
      <c r="B45" s="404"/>
      <c r="C45" s="404"/>
      <c r="D45" s="404"/>
      <c r="E45" s="404"/>
      <c r="F45" s="404"/>
    </row>
    <row r="46" spans="1:6" ht="15.75">
      <c r="A46" s="416" t="s">
        <v>214</v>
      </c>
      <c r="B46" s="404"/>
      <c r="C46" s="404"/>
      <c r="D46" s="404"/>
      <c r="E46" s="404"/>
      <c r="F46" s="404"/>
    </row>
    <row r="47" spans="1:6" ht="15.75">
      <c r="A47" s="416" t="s">
        <v>327</v>
      </c>
      <c r="B47" s="404"/>
      <c r="C47" s="404"/>
      <c r="D47" s="404"/>
      <c r="E47" s="404"/>
      <c r="F47" s="404"/>
    </row>
    <row r="48" spans="1:6" ht="15.75">
      <c r="A48" s="416" t="s">
        <v>328</v>
      </c>
      <c r="B48" s="404"/>
      <c r="C48" s="404"/>
      <c r="D48" s="404"/>
      <c r="E48" s="404"/>
      <c r="F48" s="404"/>
    </row>
    <row r="49" spans="1:6" ht="15.75">
      <c r="A49" s="416" t="s">
        <v>217</v>
      </c>
      <c r="B49" s="404"/>
      <c r="C49" s="404"/>
      <c r="D49" s="404"/>
      <c r="E49" s="404"/>
      <c r="F49" s="404"/>
    </row>
    <row r="50" spans="1:6" ht="15.75">
      <c r="A50" s="416"/>
      <c r="B50" s="404"/>
      <c r="C50" s="404"/>
      <c r="D50" s="404"/>
      <c r="E50" s="404"/>
      <c r="F50" s="404"/>
    </row>
    <row r="51" spans="1:6" ht="15.75">
      <c r="A51" s="416" t="s">
        <v>218</v>
      </c>
      <c r="B51" s="404"/>
      <c r="C51" s="404"/>
      <c r="D51" s="404"/>
      <c r="E51" s="404"/>
      <c r="F51" s="404"/>
    </row>
    <row r="52" spans="1:6" ht="15.75">
      <c r="A52" s="416" t="s">
        <v>219</v>
      </c>
      <c r="B52" s="404"/>
      <c r="C52" s="404"/>
      <c r="D52" s="404"/>
      <c r="E52" s="404"/>
      <c r="F52" s="404"/>
    </row>
    <row r="53" spans="1:6" ht="15.75">
      <c r="A53" s="416" t="s">
        <v>220</v>
      </c>
      <c r="B53" s="404"/>
      <c r="C53" s="404"/>
      <c r="D53" s="404"/>
      <c r="E53" s="404"/>
      <c r="F53" s="404"/>
    </row>
    <row r="54" spans="1:6" ht="15.75">
      <c r="A54" s="416"/>
      <c r="B54" s="404"/>
      <c r="C54" s="404"/>
      <c r="D54" s="404"/>
      <c r="E54" s="404"/>
      <c r="F54" s="404"/>
    </row>
    <row r="55" spans="1:6" ht="15.75">
      <c r="A55" s="416" t="s">
        <v>329</v>
      </c>
      <c r="B55" s="404"/>
      <c r="C55" s="404"/>
      <c r="D55" s="404"/>
      <c r="E55" s="404"/>
      <c r="F55" s="404"/>
    </row>
    <row r="56" spans="1:6" ht="15.75">
      <c r="A56" s="416" t="s">
        <v>330</v>
      </c>
      <c r="B56" s="404"/>
      <c r="C56" s="404"/>
      <c r="D56" s="404"/>
      <c r="E56" s="404"/>
      <c r="F56" s="404"/>
    </row>
    <row r="57" spans="1:6" ht="15.75">
      <c r="A57" s="416" t="s">
        <v>331</v>
      </c>
      <c r="B57" s="404"/>
      <c r="C57" s="404"/>
      <c r="D57" s="404"/>
      <c r="E57" s="404"/>
      <c r="F57" s="404"/>
    </row>
    <row r="58" spans="1:6" ht="15.75">
      <c r="A58" s="416" t="s">
        <v>332</v>
      </c>
      <c r="B58" s="404"/>
      <c r="C58" s="404"/>
      <c r="D58" s="404"/>
      <c r="E58" s="404"/>
      <c r="F58" s="404"/>
    </row>
    <row r="59" spans="1:6" ht="15.75">
      <c r="A59" s="416" t="s">
        <v>333</v>
      </c>
      <c r="B59" s="404"/>
      <c r="C59" s="404"/>
      <c r="D59" s="404"/>
      <c r="E59" s="404"/>
      <c r="F59" s="404"/>
    </row>
    <row r="60" spans="1:6" ht="15.75">
      <c r="A60" s="416"/>
      <c r="B60" s="404"/>
      <c r="C60" s="404"/>
      <c r="D60" s="404"/>
      <c r="E60" s="404"/>
      <c r="F60" s="404"/>
    </row>
    <row r="61" spans="1:6" ht="15.75">
      <c r="A61" s="417" t="s">
        <v>334</v>
      </c>
      <c r="B61" s="404"/>
      <c r="C61" s="404"/>
      <c r="D61" s="404"/>
      <c r="E61" s="404"/>
      <c r="F61" s="404"/>
    </row>
    <row r="62" spans="1:6" ht="15.75">
      <c r="A62" s="417" t="s">
        <v>335</v>
      </c>
      <c r="B62" s="404"/>
      <c r="C62" s="404"/>
      <c r="D62" s="404"/>
      <c r="E62" s="404"/>
      <c r="F62" s="404"/>
    </row>
    <row r="63" spans="1:6" ht="15.75">
      <c r="A63" s="417" t="s">
        <v>336</v>
      </c>
      <c r="B63" s="404"/>
      <c r="C63" s="404"/>
      <c r="D63" s="404"/>
      <c r="E63" s="404"/>
      <c r="F63" s="404"/>
    </row>
    <row r="64" ht="15.75">
      <c r="A64" s="417" t="s">
        <v>337</v>
      </c>
    </row>
    <row r="65" ht="15.75">
      <c r="A65" s="417" t="s">
        <v>338</v>
      </c>
    </row>
    <row r="66" ht="15.75">
      <c r="A66" s="417" t="s">
        <v>339</v>
      </c>
    </row>
    <row r="68" ht="15.75">
      <c r="A68" s="404" t="s">
        <v>340</v>
      </c>
    </row>
    <row r="69" ht="15.75">
      <c r="A69" s="404" t="s">
        <v>341</v>
      </c>
    </row>
    <row r="70" ht="15.75">
      <c r="A70" s="404" t="s">
        <v>342</v>
      </c>
    </row>
    <row r="71" ht="15.75">
      <c r="A71" s="404" t="s">
        <v>343</v>
      </c>
    </row>
    <row r="72" ht="15.75">
      <c r="A72" s="404" t="s">
        <v>344</v>
      </c>
    </row>
    <row r="73" ht="15.75">
      <c r="A73" s="404" t="s">
        <v>345</v>
      </c>
    </row>
    <row r="75" ht="15.75">
      <c r="A7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405" t="s">
        <v>346</v>
      </c>
      <c r="B3" s="405"/>
      <c r="C3" s="405"/>
      <c r="D3" s="405"/>
      <c r="E3" s="405"/>
      <c r="F3" s="405"/>
      <c r="G3" s="405"/>
    </row>
    <row r="4" spans="1:7" ht="15.75">
      <c r="A4" s="405"/>
      <c r="B4" s="405"/>
      <c r="C4" s="405"/>
      <c r="D4" s="405"/>
      <c r="E4" s="405"/>
      <c r="F4" s="405"/>
      <c r="G4" s="405"/>
    </row>
    <row r="5" ht="15.75">
      <c r="A5" s="404" t="s">
        <v>249</v>
      </c>
    </row>
    <row r="6" ht="15.75">
      <c r="A6" s="404" t="str">
        <f>CONCATENATE(inputPrYr!D5," estimated expenditures show that at the end of this year")</f>
        <v>2012 estimated expenditures show that at the end of this year</v>
      </c>
    </row>
    <row r="7" ht="15.75">
      <c r="A7" s="404" t="s">
        <v>347</v>
      </c>
    </row>
    <row r="8" ht="15.75">
      <c r="A8" s="404" t="s">
        <v>348</v>
      </c>
    </row>
    <row r="10" ht="15">
      <c r="A10" t="s">
        <v>251</v>
      </c>
    </row>
    <row r="11" ht="15">
      <c r="A11" t="s">
        <v>252</v>
      </c>
    </row>
    <row r="12" ht="15">
      <c r="A12" t="s">
        <v>253</v>
      </c>
    </row>
    <row r="13" spans="1:7" ht="15.75">
      <c r="A13" s="405"/>
      <c r="B13" s="405"/>
      <c r="C13" s="405"/>
      <c r="D13" s="405"/>
      <c r="E13" s="405"/>
      <c r="F13" s="405"/>
      <c r="G13" s="405"/>
    </row>
    <row r="14" ht="15.75">
      <c r="A14" s="403" t="s">
        <v>349</v>
      </c>
    </row>
    <row r="15" ht="15.75">
      <c r="A15" s="404"/>
    </row>
    <row r="16" ht="15.75">
      <c r="A16" s="404" t="s">
        <v>350</v>
      </c>
    </row>
    <row r="17" ht="15.75">
      <c r="A17" s="404" t="s">
        <v>351</v>
      </c>
    </row>
    <row r="18" ht="15.75">
      <c r="A18" s="404" t="s">
        <v>352</v>
      </c>
    </row>
    <row r="19" ht="15.75">
      <c r="A19" s="404"/>
    </row>
    <row r="20" ht="15.75">
      <c r="A20" s="404" t="s">
        <v>353</v>
      </c>
    </row>
    <row r="21" ht="15.75">
      <c r="A21" s="404" t="s">
        <v>354</v>
      </c>
    </row>
    <row r="22" ht="15.75">
      <c r="A22" s="404" t="s">
        <v>355</v>
      </c>
    </row>
    <row r="23" ht="15.75">
      <c r="A23" s="404" t="s">
        <v>356</v>
      </c>
    </row>
    <row r="24" ht="15.75">
      <c r="A24" s="404"/>
    </row>
    <row r="25" ht="15.75">
      <c r="A25" s="403" t="s">
        <v>318</v>
      </c>
    </row>
    <row r="26" ht="15.75">
      <c r="A26" s="403"/>
    </row>
    <row r="27" ht="15.75">
      <c r="A27" s="404" t="s">
        <v>319</v>
      </c>
    </row>
    <row r="28" spans="1:6" ht="15.75">
      <c r="A28" s="404" t="s">
        <v>320</v>
      </c>
      <c r="B28" s="404"/>
      <c r="C28" s="404"/>
      <c r="D28" s="404"/>
      <c r="E28" s="404"/>
      <c r="F28" s="404"/>
    </row>
    <row r="29" spans="1:6" ht="15.75">
      <c r="A29" s="404" t="s">
        <v>321</v>
      </c>
      <c r="B29" s="404"/>
      <c r="C29" s="404"/>
      <c r="D29" s="404"/>
      <c r="E29" s="404"/>
      <c r="F29" s="404"/>
    </row>
    <row r="30" spans="1:6" ht="15.75">
      <c r="A30" s="404" t="s">
        <v>322</v>
      </c>
      <c r="B30" s="404"/>
      <c r="C30" s="404"/>
      <c r="D30" s="404"/>
      <c r="E30" s="404"/>
      <c r="F30" s="404"/>
    </row>
    <row r="31" ht="15.75">
      <c r="A31" s="404"/>
    </row>
    <row r="32" spans="1:7" ht="15.75">
      <c r="A32" s="403" t="s">
        <v>323</v>
      </c>
      <c r="B32" s="403"/>
      <c r="C32" s="403"/>
      <c r="D32" s="403"/>
      <c r="E32" s="403"/>
      <c r="F32" s="403"/>
      <c r="G32" s="403"/>
    </row>
    <row r="33" spans="1:7" ht="15.75">
      <c r="A33" s="403" t="s">
        <v>324</v>
      </c>
      <c r="B33" s="403"/>
      <c r="C33" s="403"/>
      <c r="D33" s="403"/>
      <c r="E33" s="403"/>
      <c r="F33" s="403"/>
      <c r="G33" s="403"/>
    </row>
    <row r="34" spans="1:7" ht="15.75">
      <c r="A34" s="403"/>
      <c r="B34" s="403"/>
      <c r="C34" s="403"/>
      <c r="D34" s="403"/>
      <c r="E34" s="403"/>
      <c r="F34" s="403"/>
      <c r="G34" s="403"/>
    </row>
    <row r="35" spans="1:7" ht="15.75">
      <c r="A35" s="404" t="s">
        <v>357</v>
      </c>
      <c r="B35" s="404"/>
      <c r="C35" s="404"/>
      <c r="D35" s="404"/>
      <c r="E35" s="404"/>
      <c r="F35" s="404"/>
      <c r="G35" s="404"/>
    </row>
    <row r="36" spans="1:7" ht="15.75">
      <c r="A36" s="404" t="s">
        <v>358</v>
      </c>
      <c r="B36" s="404"/>
      <c r="C36" s="404"/>
      <c r="D36" s="404"/>
      <c r="E36" s="404"/>
      <c r="F36" s="404"/>
      <c r="G36" s="404"/>
    </row>
    <row r="37" spans="1:7" ht="15.75">
      <c r="A37" s="404" t="s">
        <v>359</v>
      </c>
      <c r="B37" s="404"/>
      <c r="C37" s="404"/>
      <c r="D37" s="404"/>
      <c r="E37" s="404"/>
      <c r="F37" s="404"/>
      <c r="G37" s="404"/>
    </row>
    <row r="38" spans="1:7" ht="15.75">
      <c r="A38" s="404" t="s">
        <v>360</v>
      </c>
      <c r="B38" s="404"/>
      <c r="C38" s="404"/>
      <c r="D38" s="404"/>
      <c r="E38" s="404"/>
      <c r="F38" s="404"/>
      <c r="G38" s="404"/>
    </row>
    <row r="39" spans="1:7" ht="15.75">
      <c r="A39" s="404" t="s">
        <v>361</v>
      </c>
      <c r="B39" s="404"/>
      <c r="C39" s="404"/>
      <c r="D39" s="404"/>
      <c r="E39" s="404"/>
      <c r="F39" s="404"/>
      <c r="G39" s="404"/>
    </row>
    <row r="40" spans="1:7" ht="15.75">
      <c r="A40" s="403"/>
      <c r="B40" s="403"/>
      <c r="C40" s="403"/>
      <c r="D40" s="403"/>
      <c r="E40" s="403"/>
      <c r="F40" s="403"/>
      <c r="G40" s="403"/>
    </row>
    <row r="41" spans="1:6" ht="15.75">
      <c r="A41" s="416" t="str">
        <f>CONCATENATE("So, let's look to see if any of your ",inputPrYr!D5-1," expenditures can")</f>
        <v>So, let's look to see if any of your 2011 expenditures can</v>
      </c>
      <c r="B41" s="404"/>
      <c r="C41" s="404"/>
      <c r="D41" s="404"/>
      <c r="E41" s="404"/>
      <c r="F41" s="404"/>
    </row>
    <row r="42" spans="1:6" ht="15.75">
      <c r="A42" s="416" t="s">
        <v>325</v>
      </c>
      <c r="B42" s="404"/>
      <c r="C42" s="404"/>
      <c r="D42" s="404"/>
      <c r="E42" s="404"/>
      <c r="F42" s="404"/>
    </row>
    <row r="43" spans="1:6" ht="15.75">
      <c r="A43" s="416" t="s">
        <v>208</v>
      </c>
      <c r="B43" s="404"/>
      <c r="C43" s="404"/>
      <c r="D43" s="404"/>
      <c r="E43" s="404"/>
      <c r="F43" s="404"/>
    </row>
    <row r="44" spans="1:6" ht="15.75">
      <c r="A44" s="416" t="s">
        <v>209</v>
      </c>
      <c r="B44" s="404"/>
      <c r="C44" s="404"/>
      <c r="D44" s="404"/>
      <c r="E44" s="404"/>
      <c r="F44" s="404"/>
    </row>
    <row r="45" ht="15.75">
      <c r="A45" s="404"/>
    </row>
    <row r="46" spans="1:6" ht="15.75">
      <c r="A46" s="416" t="str">
        <f>CONCATENATE("Additionally, do your ",inputPrYr!D5-1," receipts contain a reimbursement")</f>
        <v>Additionally, do your 2011 receipts contain a reimbursement</v>
      </c>
      <c r="B46" s="404"/>
      <c r="C46" s="404"/>
      <c r="D46" s="404"/>
      <c r="E46" s="404"/>
      <c r="F46" s="404"/>
    </row>
    <row r="47" spans="1:6" ht="15.75">
      <c r="A47" s="416" t="s">
        <v>210</v>
      </c>
      <c r="B47" s="404"/>
      <c r="C47" s="404"/>
      <c r="D47" s="404"/>
      <c r="E47" s="404"/>
      <c r="F47" s="404"/>
    </row>
    <row r="48" spans="1:6" ht="15.75">
      <c r="A48" s="416" t="s">
        <v>211</v>
      </c>
      <c r="B48" s="404"/>
      <c r="C48" s="404"/>
      <c r="D48" s="404"/>
      <c r="E48" s="404"/>
      <c r="F48" s="404"/>
    </row>
    <row r="49" spans="1:7" ht="15.75">
      <c r="A49" s="404"/>
      <c r="B49" s="404"/>
      <c r="C49" s="404"/>
      <c r="D49" s="404"/>
      <c r="E49" s="404"/>
      <c r="F49" s="404"/>
      <c r="G49" s="404"/>
    </row>
    <row r="50" spans="1:7" ht="15.75">
      <c r="A50" s="404" t="s">
        <v>276</v>
      </c>
      <c r="B50" s="404"/>
      <c r="C50" s="404"/>
      <c r="D50" s="404"/>
      <c r="E50" s="404"/>
      <c r="F50" s="404"/>
      <c r="G50" s="404"/>
    </row>
    <row r="51" spans="1:7" ht="15.75">
      <c r="A51" s="404" t="s">
        <v>277</v>
      </c>
      <c r="B51" s="404"/>
      <c r="C51" s="404"/>
      <c r="D51" s="404"/>
      <c r="E51" s="404"/>
      <c r="F51" s="404"/>
      <c r="G51" s="404"/>
    </row>
    <row r="52" spans="1:7" ht="15.75">
      <c r="A52" s="404" t="s">
        <v>278</v>
      </c>
      <c r="B52" s="404"/>
      <c r="C52" s="404"/>
      <c r="D52" s="404"/>
      <c r="E52" s="404"/>
      <c r="F52" s="404"/>
      <c r="G52" s="404"/>
    </row>
    <row r="53" spans="1:7" ht="15.75">
      <c r="A53" s="404" t="s">
        <v>279</v>
      </c>
      <c r="B53" s="404"/>
      <c r="C53" s="404"/>
      <c r="D53" s="404"/>
      <c r="E53" s="404"/>
      <c r="F53" s="404"/>
      <c r="G53" s="404"/>
    </row>
    <row r="54" spans="1:7" ht="15.75">
      <c r="A54" s="404" t="s">
        <v>280</v>
      </c>
      <c r="B54" s="404"/>
      <c r="C54" s="404"/>
      <c r="D54" s="404"/>
      <c r="E54" s="404"/>
      <c r="F54" s="404"/>
      <c r="G54" s="404"/>
    </row>
    <row r="55" spans="1:7" ht="15.75">
      <c r="A55" s="404"/>
      <c r="B55" s="404"/>
      <c r="C55" s="404"/>
      <c r="D55" s="404"/>
      <c r="E55" s="404"/>
      <c r="F55" s="404"/>
      <c r="G55" s="404"/>
    </row>
    <row r="56" spans="1:6" ht="15.75">
      <c r="A56" s="416" t="s">
        <v>218</v>
      </c>
      <c r="B56" s="404"/>
      <c r="C56" s="404"/>
      <c r="D56" s="404"/>
      <c r="E56" s="404"/>
      <c r="F56" s="404"/>
    </row>
    <row r="57" spans="1:6" ht="15.75">
      <c r="A57" s="416" t="s">
        <v>219</v>
      </c>
      <c r="B57" s="404"/>
      <c r="C57" s="404"/>
      <c r="D57" s="404"/>
      <c r="E57" s="404"/>
      <c r="F57" s="404"/>
    </row>
    <row r="58" spans="1:6" ht="15.75">
      <c r="A58" s="416" t="s">
        <v>220</v>
      </c>
      <c r="B58" s="404"/>
      <c r="C58" s="404"/>
      <c r="D58" s="404"/>
      <c r="E58" s="404"/>
      <c r="F58" s="404"/>
    </row>
    <row r="59" spans="1:6" ht="15.75">
      <c r="A59" s="416"/>
      <c r="B59" s="404"/>
      <c r="C59" s="404"/>
      <c r="D59" s="404"/>
      <c r="E59" s="404"/>
      <c r="F59" s="404"/>
    </row>
    <row r="60" spans="1:7" ht="15.75">
      <c r="A60" s="404" t="s">
        <v>362</v>
      </c>
      <c r="B60" s="404"/>
      <c r="C60" s="404"/>
      <c r="D60" s="404"/>
      <c r="E60" s="404"/>
      <c r="F60" s="404"/>
      <c r="G60" s="404"/>
    </row>
    <row r="61" spans="1:7" ht="15.75">
      <c r="A61" s="404" t="s">
        <v>363</v>
      </c>
      <c r="B61" s="404"/>
      <c r="C61" s="404"/>
      <c r="D61" s="404"/>
      <c r="E61" s="404"/>
      <c r="F61" s="404"/>
      <c r="G61" s="404"/>
    </row>
    <row r="62" spans="1:7" ht="15.75">
      <c r="A62" s="404" t="s">
        <v>364</v>
      </c>
      <c r="B62" s="404"/>
      <c r="C62" s="404"/>
      <c r="D62" s="404"/>
      <c r="E62" s="404"/>
      <c r="F62" s="404"/>
      <c r="G62" s="404"/>
    </row>
    <row r="63" spans="1:7" ht="15.75">
      <c r="A63" s="404" t="s">
        <v>365</v>
      </c>
      <c r="B63" s="404"/>
      <c r="C63" s="404"/>
      <c r="D63" s="404"/>
      <c r="E63" s="404"/>
      <c r="F63" s="404"/>
      <c r="G63" s="404"/>
    </row>
    <row r="64" spans="1:7" ht="15.75">
      <c r="A64" s="404" t="s">
        <v>366</v>
      </c>
      <c r="B64" s="404"/>
      <c r="C64" s="404"/>
      <c r="D64" s="404"/>
      <c r="E64" s="404"/>
      <c r="F64" s="404"/>
      <c r="G64" s="404"/>
    </row>
    <row r="66" spans="1:6" ht="15.75">
      <c r="A66" s="416" t="s">
        <v>329</v>
      </c>
      <c r="B66" s="404"/>
      <c r="C66" s="404"/>
      <c r="D66" s="404"/>
      <c r="E66" s="404"/>
      <c r="F66" s="404"/>
    </row>
    <row r="67" spans="1:6" ht="15.75">
      <c r="A67" s="416" t="s">
        <v>330</v>
      </c>
      <c r="B67" s="404"/>
      <c r="C67" s="404"/>
      <c r="D67" s="404"/>
      <c r="E67" s="404"/>
      <c r="F67" s="404"/>
    </row>
    <row r="68" spans="1:6" ht="15.75">
      <c r="A68" s="416" t="s">
        <v>331</v>
      </c>
      <c r="B68" s="404"/>
      <c r="C68" s="404"/>
      <c r="D68" s="404"/>
      <c r="E68" s="404"/>
      <c r="F68" s="404"/>
    </row>
    <row r="69" spans="1:6" ht="15.75">
      <c r="A69" s="416" t="s">
        <v>332</v>
      </c>
      <c r="B69" s="404"/>
      <c r="C69" s="404"/>
      <c r="D69" s="404"/>
      <c r="E69" s="404"/>
      <c r="F69" s="404"/>
    </row>
    <row r="70" spans="1:6" ht="15.75">
      <c r="A70" s="416" t="s">
        <v>333</v>
      </c>
      <c r="B70" s="404"/>
      <c r="C70" s="404"/>
      <c r="D70" s="404"/>
      <c r="E70" s="404"/>
      <c r="F70" s="404"/>
    </row>
    <row r="71" ht="15.75">
      <c r="A71" s="404"/>
    </row>
    <row r="72" ht="15.75">
      <c r="A72" s="404" t="s">
        <v>247</v>
      </c>
    </row>
    <row r="73" ht="15.75">
      <c r="A73" s="404"/>
    </row>
    <row r="74" ht="15.75">
      <c r="A74" s="404"/>
    </row>
    <row r="75" ht="15.75">
      <c r="A75" s="404"/>
    </row>
    <row r="78" ht="15.75">
      <c r="A78" s="403"/>
    </row>
    <row r="80" ht="15.75">
      <c r="A80" s="404"/>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2" ht="15.75">
      <c r="A102" s="404"/>
    </row>
    <row r="103" ht="15.75">
      <c r="A103" s="404"/>
    </row>
    <row r="104" ht="15.75">
      <c r="A104" s="404"/>
    </row>
    <row r="105" ht="15.75">
      <c r="A105" s="404"/>
    </row>
    <row r="106" ht="15.75">
      <c r="A106" s="404"/>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405" t="s">
        <v>367</v>
      </c>
      <c r="B3" s="405"/>
      <c r="C3" s="405"/>
      <c r="D3" s="405"/>
      <c r="E3" s="405"/>
      <c r="F3" s="405"/>
      <c r="G3" s="405"/>
    </row>
    <row r="4" spans="1:7" ht="15.75">
      <c r="A4" s="405" t="s">
        <v>368</v>
      </c>
      <c r="B4" s="405"/>
      <c r="C4" s="405"/>
      <c r="D4" s="405"/>
      <c r="E4" s="405"/>
      <c r="F4" s="405"/>
      <c r="G4" s="405"/>
    </row>
    <row r="5" spans="1:7" ht="15.75">
      <c r="A5" s="405"/>
      <c r="B5" s="405"/>
      <c r="C5" s="405"/>
      <c r="D5" s="405"/>
      <c r="E5" s="405"/>
      <c r="F5" s="405"/>
      <c r="G5" s="405"/>
    </row>
    <row r="6" spans="1:7" ht="15.75">
      <c r="A6" s="405"/>
      <c r="B6" s="405"/>
      <c r="C6" s="405"/>
      <c r="D6" s="405"/>
      <c r="E6" s="405"/>
      <c r="F6" s="405"/>
      <c r="G6" s="405"/>
    </row>
    <row r="7" ht="15.75">
      <c r="A7" s="404" t="s">
        <v>194</v>
      </c>
    </row>
    <row r="8" ht="15.75">
      <c r="A8" s="404" t="str">
        <f>CONCATENATE("estimated ",inputPrYr!D5," 'total expenditures' exceed your ",inputPrYr!D5,"")</f>
        <v>estimated 2012 'total expenditures' exceed your 2012</v>
      </c>
    </row>
    <row r="9" ht="15.75">
      <c r="A9" s="419" t="s">
        <v>369</v>
      </c>
    </row>
    <row r="10" ht="15.75">
      <c r="A10" s="404"/>
    </row>
    <row r="11" ht="15.75">
      <c r="A11" s="404" t="s">
        <v>370</v>
      </c>
    </row>
    <row r="12" ht="15.75">
      <c r="A12" s="404" t="s">
        <v>371</v>
      </c>
    </row>
    <row r="13" ht="15.75">
      <c r="A13" s="404" t="s">
        <v>372</v>
      </c>
    </row>
    <row r="14" ht="15.75">
      <c r="A14" s="404"/>
    </row>
    <row r="15" ht="15.75">
      <c r="A15" s="403" t="s">
        <v>373</v>
      </c>
    </row>
    <row r="16" spans="1:7" ht="15.75">
      <c r="A16" s="405"/>
      <c r="B16" s="405"/>
      <c r="C16" s="405"/>
      <c r="D16" s="405"/>
      <c r="E16" s="405"/>
      <c r="F16" s="405"/>
      <c r="G16" s="405"/>
    </row>
    <row r="17" spans="1:8" ht="15.75">
      <c r="A17" s="420" t="s">
        <v>374</v>
      </c>
      <c r="B17" s="399"/>
      <c r="C17" s="399"/>
      <c r="D17" s="399"/>
      <c r="E17" s="399"/>
      <c r="F17" s="399"/>
      <c r="G17" s="399"/>
      <c r="H17" s="399"/>
    </row>
    <row r="18" spans="1:7" ht="15.75">
      <c r="A18" s="404" t="s">
        <v>375</v>
      </c>
      <c r="B18" s="421"/>
      <c r="C18" s="421"/>
      <c r="D18" s="421"/>
      <c r="E18" s="421"/>
      <c r="F18" s="421"/>
      <c r="G18" s="421"/>
    </row>
    <row r="19" ht="15.75">
      <c r="A19" s="404" t="s">
        <v>376</v>
      </c>
    </row>
    <row r="20" ht="15.75">
      <c r="A20" s="404" t="s">
        <v>377</v>
      </c>
    </row>
    <row r="22" ht="15.75">
      <c r="A22" s="403" t="s">
        <v>378</v>
      </c>
    </row>
    <row r="24" ht="15.75">
      <c r="A24" s="404" t="s">
        <v>379</v>
      </c>
    </row>
    <row r="25" ht="15.75">
      <c r="A25" s="404" t="s">
        <v>380</v>
      </c>
    </row>
    <row r="26" ht="15.75">
      <c r="A26" s="404" t="s">
        <v>381</v>
      </c>
    </row>
    <row r="28" ht="15.75">
      <c r="A28" s="403" t="s">
        <v>382</v>
      </c>
    </row>
    <row r="30" ht="15">
      <c r="A30" t="s">
        <v>383</v>
      </c>
    </row>
    <row r="31" ht="15">
      <c r="A31" t="s">
        <v>384</v>
      </c>
    </row>
    <row r="32" ht="15">
      <c r="A32" t="s">
        <v>385</v>
      </c>
    </row>
    <row r="33" ht="15.75">
      <c r="A33" s="404" t="s">
        <v>386</v>
      </c>
    </row>
    <row r="35" ht="15">
      <c r="A35" t="s">
        <v>387</v>
      </c>
    </row>
    <row r="36" ht="15">
      <c r="A36" t="s">
        <v>388</v>
      </c>
    </row>
    <row r="37" ht="15">
      <c r="A37" t="s">
        <v>389</v>
      </c>
    </row>
    <row r="38" ht="15">
      <c r="A38" t="s">
        <v>390</v>
      </c>
    </row>
    <row r="40" ht="15">
      <c r="A40" t="s">
        <v>391</v>
      </c>
    </row>
    <row r="41" ht="15">
      <c r="A41" t="s">
        <v>392</v>
      </c>
    </row>
    <row r="42" ht="15">
      <c r="A42" t="s">
        <v>393</v>
      </c>
    </row>
    <row r="43" ht="15">
      <c r="A43" t="s">
        <v>394</v>
      </c>
    </row>
    <row r="44" ht="15">
      <c r="A44" t="s">
        <v>395</v>
      </c>
    </row>
    <row r="45" ht="15">
      <c r="A45" t="s">
        <v>396</v>
      </c>
    </row>
    <row r="47" ht="15">
      <c r="A47" t="s">
        <v>397</v>
      </c>
    </row>
    <row r="48" ht="15">
      <c r="A48" t="s">
        <v>398</v>
      </c>
    </row>
    <row r="49" ht="15.75">
      <c r="A49" s="404" t="s">
        <v>399</v>
      </c>
    </row>
    <row r="50" ht="15.75">
      <c r="A50" s="404" t="s">
        <v>400</v>
      </c>
    </row>
    <row r="52" ht="15">
      <c r="A52"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dimension ref="A1:A118"/>
  <sheetViews>
    <sheetView zoomScalePageLayoutView="0" workbookViewId="0" topLeftCell="A1">
      <selection activeCell="A2" sqref="A2"/>
    </sheetView>
  </sheetViews>
  <sheetFormatPr defaultColWidth="8.796875" defaultRowHeight="15.75"/>
  <cols>
    <col min="1" max="1" width="72.09765625" style="103" customWidth="1"/>
    <col min="2" max="16384" width="8.796875" style="103" customWidth="1"/>
  </cols>
  <sheetData>
    <row r="1" ht="15">
      <c r="A1" s="424" t="s">
        <v>465</v>
      </c>
    </row>
    <row r="2" ht="39" customHeight="1">
      <c r="A2" s="385" t="s">
        <v>466</v>
      </c>
    </row>
    <row r="3" ht="23.25" customHeight="1"/>
    <row r="4" ht="15">
      <c r="A4" s="424" t="s">
        <v>456</v>
      </c>
    </row>
    <row r="5" ht="15">
      <c r="A5" s="103" t="s">
        <v>457</v>
      </c>
    </row>
    <row r="6" ht="15">
      <c r="A6" s="103" t="s">
        <v>458</v>
      </c>
    </row>
    <row r="7" ht="15">
      <c r="A7" s="103" t="s">
        <v>459</v>
      </c>
    </row>
    <row r="9" ht="15">
      <c r="A9" s="427" t="s">
        <v>445</v>
      </c>
    </row>
    <row r="10" ht="15">
      <c r="A10" s="103" t="s">
        <v>455</v>
      </c>
    </row>
    <row r="12" ht="15">
      <c r="A12" s="424" t="s">
        <v>403</v>
      </c>
    </row>
    <row r="13" ht="15">
      <c r="A13" s="425" t="s">
        <v>404</v>
      </c>
    </row>
    <row r="14" ht="15">
      <c r="A14" s="425" t="s">
        <v>405</v>
      </c>
    </row>
    <row r="15" ht="15">
      <c r="A15" s="425" t="s">
        <v>406</v>
      </c>
    </row>
    <row r="16" ht="15">
      <c r="A16" s="423" t="s">
        <v>407</v>
      </c>
    </row>
    <row r="18" ht="15">
      <c r="A18" s="398" t="s">
        <v>125</v>
      </c>
    </row>
    <row r="19" ht="15">
      <c r="A19" s="103" t="s">
        <v>127</v>
      </c>
    </row>
    <row r="20" ht="15">
      <c r="A20" s="103" t="s">
        <v>128</v>
      </c>
    </row>
    <row r="21" ht="15">
      <c r="A21" s="103" t="s">
        <v>129</v>
      </c>
    </row>
    <row r="22" ht="15">
      <c r="A22" s="103" t="s">
        <v>130</v>
      </c>
    </row>
    <row r="23" ht="15">
      <c r="A23" s="103" t="s">
        <v>131</v>
      </c>
    </row>
    <row r="24" ht="15">
      <c r="A24" s="103" t="s">
        <v>132</v>
      </c>
    </row>
    <row r="25" ht="15">
      <c r="A25" s="103" t="s">
        <v>147</v>
      </c>
    </row>
    <row r="26" ht="15">
      <c r="A26" s="103" t="s">
        <v>148</v>
      </c>
    </row>
    <row r="27" ht="15">
      <c r="A27" s="103" t="s">
        <v>149</v>
      </c>
    </row>
    <row r="28" ht="15">
      <c r="A28" s="103" t="s">
        <v>150</v>
      </c>
    </row>
    <row r="29" ht="15">
      <c r="A29" s="103" t="s">
        <v>166</v>
      </c>
    </row>
    <row r="30" ht="30.75">
      <c r="A30" s="385" t="s">
        <v>167</v>
      </c>
    </row>
    <row r="31" ht="15">
      <c r="A31" s="385" t="s">
        <v>177</v>
      </c>
    </row>
    <row r="32" ht="15">
      <c r="A32" s="400" t="s">
        <v>180</v>
      </c>
    </row>
    <row r="33" ht="15">
      <c r="A33" s="401" t="s">
        <v>181</v>
      </c>
    </row>
    <row r="35" ht="15">
      <c r="A35" s="398" t="s">
        <v>120</v>
      </c>
    </row>
    <row r="36" ht="15">
      <c r="A36" s="103" t="s">
        <v>121</v>
      </c>
    </row>
    <row r="37" ht="15">
      <c r="A37" s="103" t="s">
        <v>122</v>
      </c>
    </row>
    <row r="39" ht="15">
      <c r="A39" s="398" t="s">
        <v>118</v>
      </c>
    </row>
    <row r="40" ht="15">
      <c r="A40" s="103" t="s">
        <v>119</v>
      </c>
    </row>
    <row r="42" ht="15">
      <c r="A42" s="398" t="s">
        <v>116</v>
      </c>
    </row>
    <row r="43" ht="15">
      <c r="A43" s="103" t="s">
        <v>117</v>
      </c>
    </row>
    <row r="45" ht="15">
      <c r="A45" s="398" t="s">
        <v>113</v>
      </c>
    </row>
    <row r="46" ht="15">
      <c r="A46" s="103" t="s">
        <v>114</v>
      </c>
    </row>
    <row r="47" ht="15">
      <c r="A47" s="103" t="s">
        <v>115</v>
      </c>
    </row>
    <row r="49" ht="15">
      <c r="A49" s="103" t="s">
        <v>109</v>
      </c>
    </row>
    <row r="50" ht="15">
      <c r="A50" s="103" t="s">
        <v>110</v>
      </c>
    </row>
    <row r="51" ht="15">
      <c r="A51" s="103" t="s">
        <v>111</v>
      </c>
    </row>
    <row r="52" ht="15">
      <c r="A52" s="103" t="s">
        <v>112</v>
      </c>
    </row>
    <row r="54" ht="15">
      <c r="A54" s="103" t="s">
        <v>105</v>
      </c>
    </row>
    <row r="55" ht="15">
      <c r="A55" s="103" t="s">
        <v>106</v>
      </c>
    </row>
    <row r="56" ht="15">
      <c r="A56" s="103" t="s">
        <v>107</v>
      </c>
    </row>
    <row r="58" ht="15">
      <c r="A58" s="103" t="s">
        <v>103</v>
      </c>
    </row>
    <row r="59" ht="34.5" customHeight="1">
      <c r="A59" s="103" t="s">
        <v>104</v>
      </c>
    </row>
    <row r="61" ht="15">
      <c r="A61" s="103" t="s">
        <v>57</v>
      </c>
    </row>
    <row r="62" ht="15">
      <c r="A62" s="103" t="s">
        <v>58</v>
      </c>
    </row>
    <row r="63" ht="30.75">
      <c r="A63" s="385" t="s">
        <v>75</v>
      </c>
    </row>
    <row r="64" ht="15">
      <c r="A64" s="103" t="s">
        <v>59</v>
      </c>
    </row>
    <row r="65" ht="15">
      <c r="A65" s="103" t="s">
        <v>60</v>
      </c>
    </row>
    <row r="66" ht="15">
      <c r="A66" s="103" t="s">
        <v>61</v>
      </c>
    </row>
    <row r="67" ht="15">
      <c r="A67" s="103" t="s">
        <v>62</v>
      </c>
    </row>
    <row r="68" ht="30.75">
      <c r="A68" s="385" t="s">
        <v>38</v>
      </c>
    </row>
    <row r="69" ht="30.75">
      <c r="A69" s="385" t="s">
        <v>70</v>
      </c>
    </row>
    <row r="70" ht="30.75">
      <c r="A70" s="385" t="s">
        <v>63</v>
      </c>
    </row>
    <row r="71" ht="15">
      <c r="A71" s="385" t="s">
        <v>64</v>
      </c>
    </row>
    <row r="72" ht="30.75">
      <c r="A72" s="385" t="s">
        <v>65</v>
      </c>
    </row>
    <row r="73" ht="33.75" customHeight="1">
      <c r="A73" s="103" t="s">
        <v>66</v>
      </c>
    </row>
    <row r="74" ht="26.25" customHeight="1">
      <c r="A74" s="103" t="s">
        <v>67</v>
      </c>
    </row>
    <row r="75" ht="33.75" customHeight="1">
      <c r="A75" s="103" t="s">
        <v>68</v>
      </c>
    </row>
    <row r="76" ht="30.75" customHeight="1">
      <c r="A76" s="103" t="s">
        <v>74</v>
      </c>
    </row>
    <row r="77" ht="21" customHeight="1">
      <c r="A77" s="385" t="s">
        <v>71</v>
      </c>
    </row>
    <row r="78" ht="38.25" customHeight="1">
      <c r="A78" s="385" t="s">
        <v>32</v>
      </c>
    </row>
    <row r="79" ht="33.75" customHeight="1">
      <c r="A79" s="385" t="s">
        <v>39</v>
      </c>
    </row>
    <row r="80" ht="33.75" customHeight="1">
      <c r="A80" s="385" t="s">
        <v>33</v>
      </c>
    </row>
    <row r="81" ht="33.75" customHeight="1">
      <c r="A81" s="385" t="s">
        <v>34</v>
      </c>
    </row>
    <row r="82" ht="33.75" customHeight="1">
      <c r="A82" s="385" t="s">
        <v>35</v>
      </c>
    </row>
    <row r="83" ht="30.75">
      <c r="A83" s="385" t="s">
        <v>36</v>
      </c>
    </row>
    <row r="84" ht="30.75">
      <c r="A84" s="385" t="s">
        <v>40</v>
      </c>
    </row>
    <row r="85" ht="30.75">
      <c r="A85" s="385" t="s">
        <v>37</v>
      </c>
    </row>
    <row r="86" ht="46.5">
      <c r="A86" s="385" t="s">
        <v>41</v>
      </c>
    </row>
    <row r="87" ht="15">
      <c r="A87" s="385" t="s">
        <v>47</v>
      </c>
    </row>
    <row r="89" ht="15">
      <c r="A89" s="103" t="s">
        <v>674</v>
      </c>
    </row>
    <row r="90" ht="46.5">
      <c r="A90" s="385" t="s">
        <v>42</v>
      </c>
    </row>
    <row r="91" ht="15">
      <c r="A91" s="103" t="s">
        <v>675</v>
      </c>
    </row>
    <row r="92" ht="15">
      <c r="A92" s="103" t="s">
        <v>679</v>
      </c>
    </row>
    <row r="93" ht="15">
      <c r="A93" s="103" t="s">
        <v>680</v>
      </c>
    </row>
    <row r="94" ht="15">
      <c r="A94" s="103" t="s">
        <v>676</v>
      </c>
    </row>
    <row r="95" ht="15">
      <c r="A95" s="103" t="s">
        <v>677</v>
      </c>
    </row>
    <row r="96" ht="15">
      <c r="A96" s="103" t="s">
        <v>678</v>
      </c>
    </row>
    <row r="97" ht="15">
      <c r="A97" s="385" t="s">
        <v>681</v>
      </c>
    </row>
    <row r="98" ht="15">
      <c r="A98" s="103" t="s">
        <v>682</v>
      </c>
    </row>
    <row r="99" ht="15">
      <c r="A99" s="103" t="s">
        <v>683</v>
      </c>
    </row>
    <row r="100" ht="15">
      <c r="A100" s="103" t="s">
        <v>43</v>
      </c>
    </row>
    <row r="101" ht="15">
      <c r="A101" s="103" t="s">
        <v>684</v>
      </c>
    </row>
    <row r="102" ht="15">
      <c r="A102" s="103" t="s">
        <v>44</v>
      </c>
    </row>
    <row r="103" ht="15">
      <c r="A103" s="103" t="s">
        <v>685</v>
      </c>
    </row>
    <row r="104" ht="15">
      <c r="A104" s="103" t="s">
        <v>45</v>
      </c>
    </row>
    <row r="105" ht="15">
      <c r="A105" s="103" t="s">
        <v>686</v>
      </c>
    </row>
    <row r="106" ht="15">
      <c r="A106" s="103" t="s">
        <v>0</v>
      </c>
    </row>
    <row r="107" ht="15">
      <c r="A107" s="103" t="s">
        <v>46</v>
      </c>
    </row>
    <row r="108" ht="15">
      <c r="A108" s="103" t="s">
        <v>21</v>
      </c>
    </row>
    <row r="109" ht="15">
      <c r="A109" s="103" t="s">
        <v>22</v>
      </c>
    </row>
    <row r="110" ht="15">
      <c r="A110" s="103" t="s">
        <v>23</v>
      </c>
    </row>
    <row r="111" ht="15">
      <c r="A111" s="103" t="s">
        <v>4</v>
      </c>
    </row>
    <row r="112" ht="15">
      <c r="A112" s="103" t="s">
        <v>5</v>
      </c>
    </row>
    <row r="113" ht="15">
      <c r="A113" s="103" t="s">
        <v>6</v>
      </c>
    </row>
    <row r="114" ht="15">
      <c r="A114" s="103" t="s">
        <v>18</v>
      </c>
    </row>
    <row r="115" ht="15">
      <c r="A115" s="103" t="s">
        <v>19</v>
      </c>
    </row>
    <row r="116" ht="15">
      <c r="A116" s="103" t="s">
        <v>20</v>
      </c>
    </row>
    <row r="117" ht="15">
      <c r="A117" s="103" t="s">
        <v>31</v>
      </c>
    </row>
    <row r="118" ht="15">
      <c r="A118" s="103" t="s">
        <v>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47" sqref="B47"/>
    </sheetView>
  </sheetViews>
  <sheetFormatPr defaultColWidth="8.796875" defaultRowHeight="15.75"/>
  <cols>
    <col min="1" max="1" width="14.19921875" style="103" customWidth="1"/>
    <col min="2" max="2" width="18.69921875" style="103" customWidth="1"/>
    <col min="3" max="3" width="9.69921875" style="103" customWidth="1"/>
    <col min="4" max="4" width="14.09765625" style="103" customWidth="1"/>
    <col min="5" max="5" width="12.796875" style="103" customWidth="1"/>
    <col min="6" max="16384" width="8.796875" style="103" customWidth="1"/>
  </cols>
  <sheetData>
    <row r="1" spans="1:5" ht="15">
      <c r="A1" s="115" t="str">
        <f>inputPrYr!D2</f>
        <v>ODESSA TOWNSHIP</v>
      </c>
      <c r="B1" s="117"/>
      <c r="C1" s="117"/>
      <c r="D1" s="117"/>
      <c r="E1" s="117">
        <f>inputPrYr!D5</f>
        <v>2012</v>
      </c>
    </row>
    <row r="2" spans="1:5" ht="15">
      <c r="A2" s="115" t="str">
        <f>inputPrYr!D3</f>
        <v>JEWELL COUNTY</v>
      </c>
      <c r="B2" s="117"/>
      <c r="C2" s="117"/>
      <c r="D2" s="117"/>
      <c r="E2" s="117"/>
    </row>
    <row r="3" spans="1:5" ht="15">
      <c r="A3" s="117"/>
      <c r="B3" s="117"/>
      <c r="C3" s="117"/>
      <c r="D3" s="117"/>
      <c r="E3" s="117"/>
    </row>
    <row r="4" spans="1:5" ht="15">
      <c r="A4" s="433" t="s">
        <v>640</v>
      </c>
      <c r="B4" s="434"/>
      <c r="C4" s="434"/>
      <c r="D4" s="434"/>
      <c r="E4" s="434"/>
    </row>
    <row r="5" spans="1:5" ht="15">
      <c r="A5" s="117"/>
      <c r="B5" s="117"/>
      <c r="C5" s="117"/>
      <c r="D5" s="117"/>
      <c r="E5" s="117"/>
    </row>
    <row r="6" spans="1:5" ht="15">
      <c r="A6" s="326" t="str">
        <f>CONCATENATE("From the County Clerks Budget Information for ",E1,":")</f>
        <v>From the County Clerks Budget Information for 2012:</v>
      </c>
      <c r="B6" s="327"/>
      <c r="C6" s="327"/>
      <c r="D6" s="14"/>
      <c r="E6" s="63"/>
    </row>
    <row r="7" spans="1:5" ht="15">
      <c r="A7" s="22" t="str">
        <f>CONCATENATE("Total Assessed Valuation for ",E1-1,"")</f>
        <v>Total Assessed Valuation for 2011</v>
      </c>
      <c r="B7" s="19"/>
      <c r="C7" s="19"/>
      <c r="D7" s="19"/>
      <c r="E7" s="328">
        <v>782171</v>
      </c>
    </row>
    <row r="8" spans="1:5" ht="15">
      <c r="A8" s="22" t="str">
        <f>CONCATENATE("New Improvements for ",E1-1,"")</f>
        <v>New Improvements for 2011</v>
      </c>
      <c r="B8" s="19"/>
      <c r="C8" s="19"/>
      <c r="D8" s="19"/>
      <c r="E8" s="329">
        <v>0</v>
      </c>
    </row>
    <row r="9" spans="1:5" ht="15">
      <c r="A9" s="22" t="str">
        <f>CONCATENATE("Personal Property excluding oil, gas, and mobile homes - ",E1-1,"")</f>
        <v>Personal Property excluding oil, gas, and mobile homes - 2011</v>
      </c>
      <c r="B9" s="19"/>
      <c r="C9" s="19"/>
      <c r="D9" s="19"/>
      <c r="E9" s="329">
        <v>18227</v>
      </c>
    </row>
    <row r="10" spans="1:5" ht="15">
      <c r="A10" s="22" t="str">
        <f>CONCATENATE("Property that has changed in use for ",E1-1,"")</f>
        <v>Property that has changed in use for 2011</v>
      </c>
      <c r="B10" s="19"/>
      <c r="C10" s="19"/>
      <c r="D10" s="19"/>
      <c r="E10" s="329">
        <v>0</v>
      </c>
    </row>
    <row r="11" spans="1:5" ht="15">
      <c r="A11" s="22" t="str">
        <f>CONCATENATE("Personal Property excluding oil, gas, and mobile homes- ",E1-2,"")</f>
        <v>Personal Property excluding oil, gas, and mobile homes- 2010</v>
      </c>
      <c r="B11" s="19"/>
      <c r="C11" s="19"/>
      <c r="D11" s="19"/>
      <c r="E11" s="329">
        <v>18934</v>
      </c>
    </row>
    <row r="12" spans="1:5" ht="15">
      <c r="A12" s="22" t="str">
        <f>CONCATENATE("Gross earnings (intangible) tax estimate for ",E1,"")</f>
        <v>Gross earnings (intangible) tax estimate for 2012</v>
      </c>
      <c r="B12" s="19"/>
      <c r="C12" s="19"/>
      <c r="D12" s="19"/>
      <c r="E12" s="329">
        <v>127.95</v>
      </c>
    </row>
    <row r="13" spans="1:5" ht="15">
      <c r="A13" s="22" t="str">
        <f>CONCATENATE("Neighborhood Revitalization - ",E1,"")</f>
        <v>Neighborhood Revitalization - 2012</v>
      </c>
      <c r="B13" s="19"/>
      <c r="C13" s="19"/>
      <c r="D13" s="19"/>
      <c r="E13" s="329"/>
    </row>
    <row r="14" spans="1:5" ht="15">
      <c r="A14" s="22"/>
      <c r="B14" s="19"/>
      <c r="C14" s="19"/>
      <c r="D14" s="19"/>
      <c r="E14" s="330"/>
    </row>
    <row r="15" spans="1:5" ht="15">
      <c r="A15" s="331" t="str">
        <f>CONCATENATE("Actual Tax Rates for the ",E1-1," Budget:")</f>
        <v>Actual Tax Rates for the 2011 Budget:</v>
      </c>
      <c r="B15" s="19"/>
      <c r="C15" s="19"/>
      <c r="D15" s="19"/>
      <c r="E15" s="332"/>
    </row>
    <row r="16" spans="1:5" ht="15">
      <c r="A16" s="435" t="s">
        <v>94</v>
      </c>
      <c r="B16" s="436"/>
      <c r="C16" s="117"/>
      <c r="D16" s="333" t="s">
        <v>474</v>
      </c>
      <c r="E16" s="332"/>
    </row>
    <row r="17" spans="1:5" ht="15">
      <c r="A17" s="93" t="str">
        <f>inputPrYr!B16</f>
        <v>General</v>
      </c>
      <c r="B17" s="20"/>
      <c r="C17" s="19"/>
      <c r="D17" s="334">
        <v>1.027</v>
      </c>
      <c r="E17" s="332"/>
    </row>
    <row r="18" spans="1:5" ht="15">
      <c r="A18" s="93" t="str">
        <f>inputPrYr!B17</f>
        <v>Debt Service</v>
      </c>
      <c r="B18" s="309"/>
      <c r="C18" s="19"/>
      <c r="D18" s="335"/>
      <c r="E18" s="332"/>
    </row>
    <row r="19" spans="1:5" ht="15">
      <c r="A19" s="93" t="str">
        <f>inputPrYr!B18</f>
        <v>Road</v>
      </c>
      <c r="B19" s="309"/>
      <c r="C19" s="19"/>
      <c r="D19" s="335"/>
      <c r="E19" s="332"/>
    </row>
    <row r="20" spans="1:5" ht="15">
      <c r="A20" s="93" t="str">
        <f>inputPrYr!B19</f>
        <v>Fire</v>
      </c>
      <c r="B20" s="309"/>
      <c r="C20" s="19"/>
      <c r="D20" s="335" t="s">
        <v>86</v>
      </c>
      <c r="E20" s="332"/>
    </row>
    <row r="21" spans="1:5" ht="15">
      <c r="A21" s="93">
        <f>inputPrYr!B20</f>
        <v>0</v>
      </c>
      <c r="B21" s="309"/>
      <c r="C21" s="19"/>
      <c r="D21" s="335"/>
      <c r="E21" s="332"/>
    </row>
    <row r="22" spans="1:5" ht="15">
      <c r="A22" s="93">
        <f>inputPrYr!B21</f>
        <v>0</v>
      </c>
      <c r="B22" s="309"/>
      <c r="C22" s="19"/>
      <c r="D22" s="336"/>
      <c r="E22" s="332"/>
    </row>
    <row r="23" spans="1:5" ht="15">
      <c r="A23" s="93">
        <f>inputPrYr!B22</f>
        <v>0</v>
      </c>
      <c r="B23" s="309"/>
      <c r="C23" s="19"/>
      <c r="D23" s="336"/>
      <c r="E23" s="332"/>
    </row>
    <row r="24" spans="1:5" ht="15">
      <c r="A24" s="93">
        <f>inputPrYr!B23</f>
        <v>0</v>
      </c>
      <c r="B24" s="309"/>
      <c r="C24" s="19"/>
      <c r="D24" s="336"/>
      <c r="E24" s="332"/>
    </row>
    <row r="25" spans="1:5" ht="15">
      <c r="A25" s="93">
        <f>inputPrYr!B24</f>
        <v>0</v>
      </c>
      <c r="B25" s="309"/>
      <c r="C25" s="19"/>
      <c r="D25" s="336"/>
      <c r="E25" s="332"/>
    </row>
    <row r="26" spans="1:5" ht="15">
      <c r="A26" s="14"/>
      <c r="B26" s="20" t="s">
        <v>84</v>
      </c>
      <c r="C26" s="301"/>
      <c r="D26" s="337">
        <f>SUM(D17:D25)</f>
        <v>1.027</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7">
        <v>778738</v>
      </c>
    </row>
    <row r="29" spans="1:5" ht="15">
      <c r="A29" s="14"/>
      <c r="B29" s="14"/>
      <c r="C29" s="14"/>
      <c r="D29" s="14"/>
      <c r="E29" s="14"/>
    </row>
    <row r="30" spans="1:5" ht="15">
      <c r="A30" s="338" t="str">
        <f>CONCATENATE("From the County Treasurer's Budget Information - ",E1," Budget Year Estimates:")</f>
        <v>From the County Treasurer's Budget Information - 2012 Budget Year Estimates:</v>
      </c>
      <c r="B30" s="339"/>
      <c r="C30" s="339"/>
      <c r="D30" s="340"/>
      <c r="E30" s="63"/>
    </row>
    <row r="31" spans="1:5" ht="15">
      <c r="A31" s="93" t="s">
        <v>641</v>
      </c>
      <c r="B31" s="20"/>
      <c r="C31" s="20"/>
      <c r="D31" s="341"/>
      <c r="E31" s="35">
        <v>33.79</v>
      </c>
    </row>
    <row r="32" spans="1:5" ht="15">
      <c r="A32" s="342" t="s">
        <v>85</v>
      </c>
      <c r="B32" s="309"/>
      <c r="C32" s="309"/>
      <c r="D32" s="32"/>
      <c r="E32" s="35">
        <v>1.71</v>
      </c>
    </row>
    <row r="33" spans="1:5" ht="15">
      <c r="A33" s="342" t="s">
        <v>642</v>
      </c>
      <c r="B33" s="309"/>
      <c r="C33" s="309"/>
      <c r="D33" s="32"/>
      <c r="E33" s="35">
        <v>4.86</v>
      </c>
    </row>
    <row r="34" spans="1:5" ht="15">
      <c r="A34" s="342" t="s">
        <v>643</v>
      </c>
      <c r="B34" s="309"/>
      <c r="C34" s="309"/>
      <c r="D34" s="32"/>
      <c r="E34" s="35" t="s">
        <v>86</v>
      </c>
    </row>
    <row r="35" spans="1:5" ht="15">
      <c r="A35" s="342" t="s">
        <v>644</v>
      </c>
      <c r="B35" s="309"/>
      <c r="C35" s="309"/>
      <c r="D35" s="32"/>
      <c r="E35" s="35"/>
    </row>
    <row r="36" spans="1:5" ht="15">
      <c r="A36" s="342" t="s">
        <v>580</v>
      </c>
      <c r="B36" s="20"/>
      <c r="C36" s="20"/>
      <c r="D36" s="341"/>
      <c r="E36" s="35"/>
    </row>
    <row r="37" spans="1:5" ht="15">
      <c r="A37" s="14" t="s">
        <v>645</v>
      </c>
      <c r="B37" s="14"/>
      <c r="C37" s="14"/>
      <c r="D37" s="14"/>
      <c r="E37" s="14"/>
    </row>
    <row r="38" spans="1:5" ht="15">
      <c r="A38" s="90" t="s">
        <v>646</v>
      </c>
      <c r="B38" s="172"/>
      <c r="C38" s="172"/>
      <c r="D38" s="14"/>
      <c r="E38" s="14"/>
    </row>
    <row r="39" spans="1:5" ht="15">
      <c r="A39" s="319" t="str">
        <f>CONCATENATE("Actual Delinquency for ",E1-2," Tax (round to three decimal places)")</f>
        <v>Actual Delinquency for 2010 Tax (round to three decimal places)</v>
      </c>
      <c r="B39" s="19"/>
      <c r="C39" s="14"/>
      <c r="D39" s="14"/>
      <c r="E39" s="343"/>
    </row>
    <row r="40" spans="1:5" ht="15">
      <c r="A40" s="319" t="s">
        <v>647</v>
      </c>
      <c r="B40" s="319"/>
      <c r="C40" s="19"/>
      <c r="D40" s="19"/>
      <c r="E40" s="344"/>
    </row>
    <row r="41" spans="1:5" ht="15">
      <c r="A41" s="345" t="s">
        <v>648</v>
      </c>
      <c r="B41" s="345"/>
      <c r="C41" s="346"/>
      <c r="D41" s="346"/>
      <c r="E41" s="347"/>
    </row>
    <row r="42" spans="1:5" ht="15">
      <c r="A42" s="167"/>
      <c r="B42" s="167"/>
      <c r="C42" s="167"/>
      <c r="D42" s="167"/>
      <c r="E42" s="167"/>
    </row>
    <row r="43" spans="1:5" ht="15.75">
      <c r="A43" s="437" t="str">
        <f>CONCATENATE("From the ",E1-2," Budget Certificate Page")</f>
        <v>From the 2010 Budget Certificate Page</v>
      </c>
      <c r="B43" s="438"/>
      <c r="C43" s="167"/>
      <c r="D43" s="167"/>
      <c r="E43" s="167"/>
    </row>
    <row r="44" spans="1:5" ht="15.75">
      <c r="A44" s="348"/>
      <c r="B44" s="348" t="str">
        <f>CONCATENATE("",E1-2," Expenditure Amounts")</f>
        <v>2010 Expenditure Amounts</v>
      </c>
      <c r="C44" s="439" t="str">
        <f>CONCATENATE("Note: If the ",E1-2," budget was amended, then the")</f>
        <v>Note: If the 2010 budget was amended, then the</v>
      </c>
      <c r="D44" s="440"/>
      <c r="E44" s="440"/>
    </row>
    <row r="45" spans="1:5" ht="15.75">
      <c r="A45" s="349" t="s">
        <v>8</v>
      </c>
      <c r="B45" s="349" t="s">
        <v>9</v>
      </c>
      <c r="C45" s="350" t="s">
        <v>10</v>
      </c>
      <c r="D45" s="351"/>
      <c r="E45" s="351"/>
    </row>
    <row r="46" spans="1:5" ht="15.75">
      <c r="A46" s="352" t="str">
        <f>inputPrYr!B16</f>
        <v>General</v>
      </c>
      <c r="B46" s="37">
        <v>8503</v>
      </c>
      <c r="C46" s="350" t="s">
        <v>11</v>
      </c>
      <c r="D46" s="351"/>
      <c r="E46" s="351"/>
    </row>
    <row r="47" spans="1:5" ht="15.75">
      <c r="A47" s="352" t="str">
        <f>inputPrYr!B17</f>
        <v>Debt Service</v>
      </c>
      <c r="B47" s="37"/>
      <c r="C47" s="350"/>
      <c r="D47" s="351"/>
      <c r="E47" s="351"/>
    </row>
    <row r="48" spans="1:5" ht="15">
      <c r="A48" s="352" t="str">
        <f>inputPrYr!B18</f>
        <v>Road</v>
      </c>
      <c r="B48" s="37"/>
      <c r="C48" s="167"/>
      <c r="D48" s="167"/>
      <c r="E48" s="167"/>
    </row>
    <row r="49" spans="1:5" ht="15">
      <c r="A49" s="352" t="str">
        <f>inputPrYr!B19</f>
        <v>Fire</v>
      </c>
      <c r="B49" s="37" t="s">
        <v>86</v>
      </c>
      <c r="C49" s="167"/>
      <c r="D49" s="167"/>
      <c r="E49" s="167"/>
    </row>
    <row r="50" spans="1:5" ht="15">
      <c r="A50" s="352">
        <f>inputPrYr!B20</f>
        <v>0</v>
      </c>
      <c r="B50" s="37"/>
      <c r="C50" s="167"/>
      <c r="D50" s="167"/>
      <c r="E50" s="167"/>
    </row>
    <row r="51" spans="1:5" ht="15">
      <c r="A51" s="352">
        <f>inputPrYr!B21</f>
        <v>0</v>
      </c>
      <c r="B51" s="37"/>
      <c r="C51" s="167"/>
      <c r="D51" s="167"/>
      <c r="E51" s="167"/>
    </row>
    <row r="52" spans="1:5" ht="15">
      <c r="A52" s="352">
        <f>inputPrYr!B22</f>
        <v>0</v>
      </c>
      <c r="B52" s="37"/>
      <c r="C52" s="167"/>
      <c r="D52" s="167"/>
      <c r="E52" s="167"/>
    </row>
    <row r="53" spans="1:5" ht="15">
      <c r="A53" s="352">
        <f>inputPrYr!B23</f>
        <v>0</v>
      </c>
      <c r="B53" s="37"/>
      <c r="C53" s="167"/>
      <c r="D53" s="167"/>
      <c r="E53" s="167"/>
    </row>
    <row r="54" spans="1:5" ht="15">
      <c r="A54" s="352">
        <f>inputPrYr!B24</f>
        <v>0</v>
      </c>
      <c r="B54" s="37"/>
      <c r="C54" s="167"/>
      <c r="D54" s="167"/>
      <c r="E54" s="167"/>
    </row>
    <row r="55" spans="1:5" ht="15">
      <c r="A55" s="352">
        <f>inputPrYr!B28</f>
        <v>0</v>
      </c>
      <c r="B55" s="37"/>
      <c r="C55" s="167"/>
      <c r="D55" s="167"/>
      <c r="E55" s="167"/>
    </row>
    <row r="56" spans="1:5" ht="15">
      <c r="A56" s="352">
        <f>inputPrYr!B29</f>
        <v>0</v>
      </c>
      <c r="B56" s="37"/>
      <c r="C56" s="167"/>
      <c r="D56" s="167"/>
      <c r="E56" s="167"/>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441" t="s">
        <v>182</v>
      </c>
      <c r="B2" s="442"/>
      <c r="C2" s="442"/>
      <c r="D2" s="442"/>
      <c r="E2" s="442"/>
      <c r="F2" s="442"/>
    </row>
    <row r="4" spans="1:6" ht="15">
      <c r="A4" s="406"/>
      <c r="B4" s="406"/>
      <c r="C4" s="406"/>
      <c r="D4" s="408"/>
      <c r="E4" s="406"/>
      <c r="F4" s="406"/>
    </row>
    <row r="5" spans="1:6" ht="15">
      <c r="A5" s="407" t="s">
        <v>183</v>
      </c>
      <c r="B5" s="409" t="s">
        <v>694</v>
      </c>
      <c r="C5" s="410"/>
      <c r="D5" s="407" t="s">
        <v>184</v>
      </c>
      <c r="E5" s="406"/>
      <c r="F5" s="406"/>
    </row>
    <row r="6" spans="1:6" ht="15">
      <c r="A6" s="407"/>
      <c r="B6" s="411"/>
      <c r="C6" s="412"/>
      <c r="D6" s="407"/>
      <c r="E6" s="406"/>
      <c r="F6" s="406"/>
    </row>
    <row r="7" spans="1:6" ht="15">
      <c r="A7" s="407" t="s">
        <v>185</v>
      </c>
      <c r="B7" s="409" t="s">
        <v>695</v>
      </c>
      <c r="C7" s="413"/>
      <c r="D7" s="407"/>
      <c r="E7" s="406"/>
      <c r="F7" s="406"/>
    </row>
    <row r="8" spans="1:6" ht="15">
      <c r="A8" s="407"/>
      <c r="B8" s="407"/>
      <c r="C8" s="407"/>
      <c r="D8" s="407"/>
      <c r="E8" s="406"/>
      <c r="F8" s="406"/>
    </row>
    <row r="9" spans="1:6" ht="15">
      <c r="A9" s="407" t="s">
        <v>186</v>
      </c>
      <c r="B9" s="414" t="s">
        <v>696</v>
      </c>
      <c r="C9" s="414"/>
      <c r="D9" s="414"/>
      <c r="E9" s="415"/>
      <c r="F9" s="406"/>
    </row>
    <row r="10" spans="1:6" ht="15">
      <c r="A10" s="407"/>
      <c r="B10" s="407"/>
      <c r="C10" s="407"/>
      <c r="D10" s="407"/>
      <c r="E10" s="406"/>
      <c r="F10" s="406"/>
    </row>
    <row r="11" spans="1:6" ht="15">
      <c r="A11" s="407"/>
      <c r="B11" s="407"/>
      <c r="C11" s="407"/>
      <c r="D11" s="407"/>
      <c r="E11" s="406"/>
      <c r="F11" s="406"/>
    </row>
    <row r="12" spans="1:6" ht="15">
      <c r="A12" s="407" t="s">
        <v>187</v>
      </c>
      <c r="B12" s="414" t="s">
        <v>469</v>
      </c>
      <c r="C12" s="414"/>
      <c r="D12" s="414"/>
      <c r="E12" s="415"/>
      <c r="F12" s="406"/>
    </row>
    <row r="15" spans="1:6" ht="15">
      <c r="A15" s="443" t="s">
        <v>188</v>
      </c>
      <c r="B15" s="443"/>
      <c r="C15" s="407"/>
      <c r="D15" s="407"/>
      <c r="E15" s="407"/>
      <c r="F15" s="406"/>
    </row>
    <row r="16" spans="1:6" ht="15">
      <c r="A16" s="407"/>
      <c r="B16" s="407"/>
      <c r="C16" s="407"/>
      <c r="D16" s="407"/>
      <c r="E16" s="407"/>
      <c r="F16" s="406"/>
    </row>
    <row r="17" spans="1:5" ht="15">
      <c r="A17" s="407" t="s">
        <v>183</v>
      </c>
      <c r="B17" s="411" t="s">
        <v>189</v>
      </c>
      <c r="C17" s="407"/>
      <c r="D17" s="407"/>
      <c r="E17" s="407"/>
    </row>
    <row r="18" spans="1:5" ht="15">
      <c r="A18" s="407"/>
      <c r="B18" s="407"/>
      <c r="C18" s="407"/>
      <c r="D18" s="407"/>
      <c r="E18" s="407"/>
    </row>
    <row r="19" spans="1:5" ht="15">
      <c r="A19" s="407" t="s">
        <v>185</v>
      </c>
      <c r="B19" s="407" t="s">
        <v>190</v>
      </c>
      <c r="C19" s="407"/>
      <c r="D19" s="407"/>
      <c r="E19" s="407"/>
    </row>
    <row r="20" spans="1:5" ht="15">
      <c r="A20" s="407"/>
      <c r="B20" s="407"/>
      <c r="C20" s="407"/>
      <c r="D20" s="407"/>
      <c r="E20" s="407"/>
    </row>
    <row r="21" spans="1:5" ht="15">
      <c r="A21" s="407" t="s">
        <v>186</v>
      </c>
      <c r="B21" s="407" t="s">
        <v>192</v>
      </c>
      <c r="C21" s="407"/>
      <c r="D21" s="407"/>
      <c r="E21" s="407"/>
    </row>
    <row r="22" spans="1:5" ht="15">
      <c r="A22" s="407"/>
      <c r="B22" s="407"/>
      <c r="C22" s="407"/>
      <c r="D22" s="407"/>
      <c r="E22" s="407"/>
    </row>
    <row r="23" spans="1:5" ht="15">
      <c r="A23" s="407" t="s">
        <v>187</v>
      </c>
      <c r="B23" s="407" t="s">
        <v>191</v>
      </c>
      <c r="C23" s="407"/>
      <c r="D23" s="407"/>
      <c r="E23" s="407"/>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0" zoomScaleNormal="90" zoomScalePageLayoutView="0" workbookViewId="0" topLeftCell="A1">
      <selection activeCell="H33" sqref="H33"/>
    </sheetView>
  </sheetViews>
  <sheetFormatPr defaultColWidth="8.796875" defaultRowHeight="15.75"/>
  <cols>
    <col min="1" max="1" width="20.69921875" style="103" customWidth="1"/>
    <col min="2" max="2" width="9.69921875" style="103" customWidth="1"/>
    <col min="3" max="3" width="5.69921875" style="103" customWidth="1"/>
    <col min="4" max="4" width="15.69921875" style="103" customWidth="1"/>
    <col min="5" max="5" width="12.69921875" style="103" customWidth="1"/>
    <col min="6" max="6" width="10.69921875" style="103" customWidth="1"/>
    <col min="7" max="16384" width="8.796875" style="103" customWidth="1"/>
  </cols>
  <sheetData>
    <row r="1" spans="1:7" s="14" customFormat="1" ht="15">
      <c r="A1" s="446" t="s">
        <v>546</v>
      </c>
      <c r="B1" s="446"/>
      <c r="C1" s="446"/>
      <c r="D1" s="446"/>
      <c r="E1" s="446"/>
      <c r="F1" s="446"/>
      <c r="G1" s="14">
        <f>inputPrYr!D5</f>
        <v>2012</v>
      </c>
    </row>
    <row r="2" spans="2:6" s="14" customFormat="1" ht="15">
      <c r="B2" s="172"/>
      <c r="C2" s="172"/>
      <c r="D2" s="172"/>
      <c r="E2" s="172"/>
      <c r="F2" s="72"/>
    </row>
    <row r="3" spans="1:7" s="14" customFormat="1" ht="15">
      <c r="A3" s="455" t="str">
        <f>CONCATENATE("To the Clerk of ",inputPrYr!D3,", State of Kansas")</f>
        <v>To the Clerk of JEWELL COUNTY, State of Kansas</v>
      </c>
      <c r="B3" s="454"/>
      <c r="C3" s="454"/>
      <c r="D3" s="454"/>
      <c r="E3" s="454"/>
      <c r="F3" s="454"/>
      <c r="G3" s="454"/>
    </row>
    <row r="4" spans="1:6" s="14" customFormat="1" ht="15">
      <c r="A4" s="174" t="s">
        <v>633</v>
      </c>
      <c r="B4" s="172"/>
      <c r="C4" s="172"/>
      <c r="D4" s="172"/>
      <c r="E4" s="172"/>
      <c r="F4" s="172"/>
    </row>
    <row r="5" s="14" customFormat="1" ht="15">
      <c r="C5" s="296" t="str">
        <f>inputPrYr!D2</f>
        <v>ODESSA TOWNSHIP</v>
      </c>
    </row>
    <row r="6" spans="1:6" s="14" customFormat="1" ht="15">
      <c r="A6" s="453" t="s">
        <v>631</v>
      </c>
      <c r="B6" s="454"/>
      <c r="C6" s="454"/>
      <c r="D6" s="454"/>
      <c r="E6" s="454"/>
      <c r="F6" s="454"/>
    </row>
    <row r="7" spans="1:6" s="14" customFormat="1" ht="15.75" customHeight="1">
      <c r="A7" s="455" t="s">
        <v>632</v>
      </c>
      <c r="B7" s="456"/>
      <c r="C7" s="456"/>
      <c r="D7" s="456"/>
      <c r="E7" s="456"/>
      <c r="F7" s="456"/>
    </row>
    <row r="8" spans="1:6" s="14" customFormat="1" ht="15.75" customHeight="1">
      <c r="A8" s="174" t="str">
        <f>CONCATENATE("maximum expenditures for the various funds for the year ",G1,"; and (3) the")</f>
        <v>maximum expenditures for the various funds for the year 2012; and (3) the</v>
      </c>
      <c r="B8" s="172"/>
      <c r="C8" s="172"/>
      <c r="D8" s="172"/>
      <c r="E8" s="172"/>
      <c r="F8" s="172"/>
    </row>
    <row r="9" spans="1:6" s="14" customFormat="1" ht="15.75" customHeight="1">
      <c r="A9" s="174" t="str">
        <f>CONCATENATE("Amount(s) of ",G1-1," Ad Valorem Tax are within statutory limitations for the ",G1," Budget.")</f>
        <v>Amount(s) of 2011 Ad Valorem Tax are within statutory limitations for the 2012 Budget.</v>
      </c>
      <c r="B9" s="172"/>
      <c r="C9" s="172"/>
      <c r="D9" s="172"/>
      <c r="E9" s="172"/>
      <c r="F9" s="172"/>
    </row>
    <row r="10" spans="4:6" s="14" customFormat="1" ht="15.75" customHeight="1">
      <c r="D10" s="88"/>
      <c r="E10" s="88"/>
      <c r="F10" s="88"/>
    </row>
    <row r="11" spans="3:6" s="14" customFormat="1" ht="15">
      <c r="C11" s="19"/>
      <c r="D11" s="450" t="str">
        <f>CONCATENATE("",G1," Adopted Budget")</f>
        <v>2012 Adopted Budget</v>
      </c>
      <c r="E11" s="451"/>
      <c r="F11" s="452"/>
    </row>
    <row r="12" spans="1:6" s="14" customFormat="1" ht="15">
      <c r="A12" s="22"/>
      <c r="C12" s="88"/>
      <c r="D12" s="297" t="s">
        <v>86</v>
      </c>
      <c r="E12" s="447" t="str">
        <f>CONCATENATE("Amount of ",G1-1," Ad Valorem Tax")</f>
        <v>Amount of 2011 Ad Valorem Tax</v>
      </c>
      <c r="F12" s="23" t="s">
        <v>87</v>
      </c>
    </row>
    <row r="13" spans="3:6" s="14" customFormat="1" ht="15">
      <c r="C13" s="23" t="s">
        <v>88</v>
      </c>
      <c r="D13" s="235"/>
      <c r="E13" s="448"/>
      <c r="F13" s="183" t="s">
        <v>89</v>
      </c>
    </row>
    <row r="14" spans="1:6" s="14" customFormat="1" ht="15">
      <c r="A14" s="93" t="s">
        <v>90</v>
      </c>
      <c r="B14" s="20"/>
      <c r="C14" s="27" t="s">
        <v>91</v>
      </c>
      <c r="D14" s="27" t="s">
        <v>92</v>
      </c>
      <c r="E14" s="449"/>
      <c r="F14" s="27" t="s">
        <v>93</v>
      </c>
    </row>
    <row r="15" spans="1:6" s="14" customFormat="1" ht="15">
      <c r="A15" s="28" t="str">
        <f>CONCATENATE("Computation to Determine Limit for ",G1,"")</f>
        <v>Computation to Determine Limit for 2012</v>
      </c>
      <c r="B15" s="29"/>
      <c r="C15" s="23">
        <v>2</v>
      </c>
      <c r="D15" s="19"/>
      <c r="E15" s="19"/>
      <c r="F15" s="298"/>
    </row>
    <row r="16" spans="1:6" s="14" customFormat="1" ht="15">
      <c r="A16" s="28" t="s">
        <v>3</v>
      </c>
      <c r="B16" s="29"/>
      <c r="C16" s="189">
        <v>3</v>
      </c>
      <c r="D16" s="19"/>
      <c r="E16" s="19"/>
      <c r="F16" s="299"/>
    </row>
    <row r="17" spans="1:6" s="14" customFormat="1" ht="15">
      <c r="A17" s="85" t="s">
        <v>653</v>
      </c>
      <c r="B17" s="29"/>
      <c r="C17" s="189">
        <v>4</v>
      </c>
      <c r="D17" s="19"/>
      <c r="E17" s="19"/>
      <c r="F17" s="299"/>
    </row>
    <row r="18" spans="1:6" s="14" customFormat="1" ht="15">
      <c r="A18" s="85" t="s">
        <v>622</v>
      </c>
      <c r="B18" s="29"/>
      <c r="C18" s="189">
        <v>5</v>
      </c>
      <c r="D18" s="19"/>
      <c r="E18" s="19"/>
      <c r="F18" s="299"/>
    </row>
    <row r="19" spans="1:6" s="14" customFormat="1" ht="15">
      <c r="A19" s="300" t="s">
        <v>94</v>
      </c>
      <c r="B19" s="173" t="s">
        <v>95</v>
      </c>
      <c r="C19" s="209"/>
      <c r="F19" s="301"/>
    </row>
    <row r="20" spans="1:6" s="14" customFormat="1" ht="15">
      <c r="A20" s="110" t="str">
        <f>inputPrYr!B16</f>
        <v>General</v>
      </c>
      <c r="B20" s="302" t="str">
        <f>inputPrYr!C16</f>
        <v>79-1962</v>
      </c>
      <c r="C20" s="303">
        <f>IF(gen!$B$60&gt;0,gen!$B$60,"  ")</f>
        <v>6</v>
      </c>
      <c r="D20" s="189">
        <f>IF(gen!$G$50&lt;&gt;0,gen!$G$50,"  ")</f>
        <v>8481</v>
      </c>
      <c r="E20" s="189">
        <f>IF(gen!$G$56&lt;&gt;0,gen!$G$56,0)</f>
        <v>800.0699999999988</v>
      </c>
      <c r="F20" s="184" t="str">
        <f>IF(AND(gen!G56=0,$B$38&gt;=0)," ",IF(AND(E20&gt;0,$B$38=0)," ",IF(AND(E20&gt;0,$B$38&gt;0),ROUND(E20/$B$38*1000,3))))</f>
        <v> </v>
      </c>
    </row>
    <row r="21" spans="1:6" s="14" customFormat="1" ht="15">
      <c r="A21" s="110" t="s">
        <v>108</v>
      </c>
      <c r="B21" s="302" t="str">
        <f>inputPrYr!C17</f>
        <v>10-113</v>
      </c>
      <c r="C21" s="303" t="str">
        <f>IF(DebtService!$C$61&gt;0,DebtService!$C$61,"  ")</f>
        <v>  </v>
      </c>
      <c r="D21" s="189" t="str">
        <f>IF(DebtService!$G$53&lt;&gt;0,DebtService!$G$53,"  ")</f>
        <v>  </v>
      </c>
      <c r="E21" s="189" t="str">
        <f>IF(DebtService!$G$59&lt;&gt;0,DebtService!$G$59,"  ")</f>
        <v>  </v>
      </c>
      <c r="F21" s="184" t="str">
        <f>IF(AND(DebtService!G53=0,$B$38&gt;=0)," ",IF(AND(E21&gt;0,$B$38=0)," ",IF(AND(E21&gt;0,$B$38&gt;0),ROUND(E21/$B$38*1000,3))))</f>
        <v> </v>
      </c>
    </row>
    <row r="22" spans="1:6" s="14" customFormat="1" ht="15">
      <c r="A22" s="110" t="str">
        <f>IF(inputPrYr!$B18&gt;"  ",inputPrYr!$B18,"  ")</f>
        <v>Road</v>
      </c>
      <c r="B22" s="302" t="str">
        <f>IF(inputPrYr!C18&gt;0,inputPrYr!C18,"  ")</f>
        <v>68-518c</v>
      </c>
      <c r="C22" s="303" t="str">
        <f>IF(road!$B$66&gt;0,road!$B$66,"  ")</f>
        <v>  </v>
      </c>
      <c r="D22" s="189" t="str">
        <f>IF(road!$G$43&lt;&gt;0,road!$G$43,"  ")</f>
        <v>  </v>
      </c>
      <c r="E22" s="189" t="str">
        <f>IF(road!$G$49&lt;&gt;0,road!$G$49,"  ")</f>
        <v>  </v>
      </c>
      <c r="F22" s="184" t="str">
        <f>IF(AND(road!G49=0,$B$38&gt;=0)," ",IF(AND(E22&gt;0,$B$38=0)," ",IF(AND(E22&gt;0,$B$38&gt;0),ROUND(E22/$B$38*1000,3))))</f>
        <v> </v>
      </c>
    </row>
    <row r="23" spans="1:6" s="14" customFormat="1" ht="15">
      <c r="A23" s="110" t="str">
        <f>IF(inputPrYr!$B19&gt;"  ",inputPrYr!$B19,"  ")</f>
        <v>Fire</v>
      </c>
      <c r="B23" s="302" t="str">
        <f>IF(inputPrYr!C19&gt;0,inputPrYr!C19,"  ")</f>
        <v>  </v>
      </c>
      <c r="C23" s="303" t="str">
        <f>IF(levypage9!$B$73&gt;0,levypage9!$B$73,"  ")</f>
        <v> </v>
      </c>
      <c r="D23" s="189" t="str">
        <f>IF(levypage9!$G$31&lt;&gt;0,levypage9!$G$31,"  ")</f>
        <v>  </v>
      </c>
      <c r="E23" s="189" t="str">
        <f>IF(levypage9!$G$37&lt;&gt;0,levypage9!$G$37,"  ")</f>
        <v>  </v>
      </c>
      <c r="F23" s="184" t="str">
        <f>IF(AND(levypage9!G37=0,$B$38&gt;=0)," ",IF(AND(E23&gt;0,$B$38=0)," ",IF(AND(E23&gt;0,$B$38&gt;0),ROUND(E23/$B$38*1000,3))))</f>
        <v> </v>
      </c>
    </row>
    <row r="24" spans="1:6" s="14" customFormat="1" ht="15">
      <c r="A24" s="110" t="str">
        <f>IF(inputPrYr!$B20&gt;"  ",inputPrYr!$B20,"  ")</f>
        <v>  </v>
      </c>
      <c r="B24" s="302" t="str">
        <f>IF(inputPrYr!C20&gt;0,inputPrYr!C20,"  ")</f>
        <v>  </v>
      </c>
      <c r="C24" s="303" t="str">
        <f>IF(levypage9!$B$73&gt;0,levypage9!$B$73,"  ")</f>
        <v> </v>
      </c>
      <c r="D24" s="189" t="str">
        <f>IF(levypage9!$G$66&lt;&gt;0,levypage9!$G$66,"  ")</f>
        <v>  </v>
      </c>
      <c r="E24" s="189" t="str">
        <f>IF(levypage9!$G$72&lt;&gt;0,levypage9!$G$72,"  ")</f>
        <v>  </v>
      </c>
      <c r="F24" s="184" t="str">
        <f>IF(AND(levypage9!G72=0,$B$38&gt;=0)," ",IF(AND(E24&gt;0,$B$38=0)," ",IF(AND(E24&gt;0,$B$38&gt;0),ROUND(E24/$B$38*1000,3))))</f>
        <v> </v>
      </c>
    </row>
    <row r="25" spans="1:6" s="14" customFormat="1" ht="15">
      <c r="A25" s="110" t="str">
        <f>IF(inputPrYr!$B21&gt;"  ",inputPrYr!$B21,"  ")</f>
        <v>  </v>
      </c>
      <c r="B25" s="302" t="str">
        <f>IF(inputPrYr!C21&gt;0,inputPrYr!C21,"  ")</f>
        <v>  </v>
      </c>
      <c r="C25" s="303" t="str">
        <f>IF(levypage10!$B$73&gt;0,levypage10!$B$73,"  ")</f>
        <v>  </v>
      </c>
      <c r="D25" s="189" t="str">
        <f>IF(levypage10!$G$31&lt;&gt;0,levypage10!$G$31,"  ")</f>
        <v>  </v>
      </c>
      <c r="E25" s="189" t="str">
        <f>IF(levypage10!$G$37&lt;&gt;0,levypage10!$G$37,"  ")</f>
        <v>  </v>
      </c>
      <c r="F25" s="184" t="str">
        <f>IF(AND(levypage10!$G$37=0,$B$38&gt;=0)," ",IF(AND(E25&gt;0,$B$38=0)," ",IF(AND(E25&gt;0,$B$38&gt;0),ROUND(E25/$B$38*1000,3))))</f>
        <v> </v>
      </c>
    </row>
    <row r="26" spans="1:6" s="14" customFormat="1" ht="15">
      <c r="A26" s="110" t="str">
        <f>IF(inputPrYr!$B22&gt;"  ",inputPrYr!$B22,"  ")</f>
        <v>  </v>
      </c>
      <c r="B26" s="302" t="str">
        <f>IF(inputPrYr!C22&gt;0,inputPrYr!C22,"  ")</f>
        <v>  </v>
      </c>
      <c r="C26" s="303" t="str">
        <f>IF(levypage10!$B$73&gt;0,levypage10!$B$73,"  ")</f>
        <v>  </v>
      </c>
      <c r="D26" s="189" t="str">
        <f>IF(levypage10!$G$66&lt;&gt;0,levypage10!$G$66,"  ")</f>
        <v>  </v>
      </c>
      <c r="E26" s="189" t="str">
        <f>IF(levypage10!$G$72&lt;&gt;0,levypage10!$G$72,"  ")</f>
        <v>  </v>
      </c>
      <c r="F26" s="184" t="str">
        <f>IF(AND(levypage10!$G$72=0,$B$38&gt;=0)," ",IF(AND(E26&gt;0,$B$38=0)," ",IF(AND(E26&gt;0,$B$38&gt;0),ROUND(E26/$B$38*1000,3))))</f>
        <v> </v>
      </c>
    </row>
    <row r="27" spans="1:6" s="14" customFormat="1" ht="15">
      <c r="A27" s="110" t="str">
        <f>IF(inputPrYr!$B23&gt;"  ",inputPrYr!$B23,"  ")</f>
        <v>  </v>
      </c>
      <c r="B27" s="302" t="str">
        <f>IF(inputPrYr!C23&gt;0,inputPrYr!C23,"  ")</f>
        <v>  </v>
      </c>
      <c r="C27" s="303" t="str">
        <f>IF(levypage11!$B$73&gt;0,levypage11!$B$73,"  ")</f>
        <v>  </v>
      </c>
      <c r="D27" s="189" t="str">
        <f>IF(levypage11!$G$31&lt;&gt;0,levypage11!$G$31,"  ")</f>
        <v>  </v>
      </c>
      <c r="E27" s="189" t="str">
        <f>IF(levypage11!$G$37&lt;&gt;0,levypage11!$G$37,"  ")</f>
        <v>  </v>
      </c>
      <c r="F27" s="184" t="str">
        <f>IF(AND(levypage11!$G$37=0,$B$38&gt;=0)," ",IF(AND(E27&gt;0,$B$38=0)," ",IF(AND(E27&gt;0,$B$38&gt;0),ROUND(E27/$B$38*1000,3))))</f>
        <v> </v>
      </c>
    </row>
    <row r="28" spans="1:6" s="14" customFormat="1" ht="15">
      <c r="A28" s="110" t="str">
        <f>IF(inputPrYr!$B24&gt;"  ",inputPrYr!$B24,"  ")</f>
        <v>  </v>
      </c>
      <c r="B28" s="302" t="str">
        <f>IF(inputPrYr!C24&gt;0,inputPrYr!C24,"  ")</f>
        <v>  </v>
      </c>
      <c r="C28" s="303" t="str">
        <f>IF(levypage11!$B$73&gt;0,levypage11!$B$73,"  ")</f>
        <v>  </v>
      </c>
      <c r="D28" s="189" t="str">
        <f>IF(levypage11!$G$66&lt;&gt;0,levypage11!$G$66,"  ")</f>
        <v>  </v>
      </c>
      <c r="E28" s="189" t="str">
        <f>IF(levypage11!$G$72&lt;&gt;0,levypage11!$G$72,"  ")</f>
        <v>  </v>
      </c>
      <c r="F28" s="184" t="str">
        <f>IF(AND(levypage11!$G$72=0,$B$38&gt;=0)," ",IF(AND(E28&gt;0,$B$38=0)," ",IF(AND(E28&gt;0,$B$38&gt;0),ROUND(E28/$B$38*1000,3))))</f>
        <v> </v>
      </c>
    </row>
    <row r="29" spans="1:6" s="14" customFormat="1" ht="15">
      <c r="A29" s="304" t="str">
        <f>IF(inputPrYr!$B28&gt;"  ",inputPrYr!$B28,"  ")</f>
        <v>  </v>
      </c>
      <c r="B29" s="305"/>
      <c r="C29" s="306" t="str">
        <f>IF(nolevypage12!$C$65&gt;0,nolevypage12!$C$65,"  ")</f>
        <v>  </v>
      </c>
      <c r="D29" s="189" t="str">
        <f>IF(nolevypage12!$E$28&lt;&gt;0,nolevypage12!$E$28,"  ")</f>
        <v>  </v>
      </c>
      <c r="E29" s="189"/>
      <c r="F29" s="184"/>
    </row>
    <row r="30" spans="1:6" s="14" customFormat="1" ht="15">
      <c r="A30" s="307" t="str">
        <f>IF(inputPrYr!$B29&gt;"  ",inputPrYr!$B29,"  ")</f>
        <v>  </v>
      </c>
      <c r="B30" s="26"/>
      <c r="C30" s="306" t="str">
        <f>IF(nolevypage12!$C$65&gt;0,nolevypage12!$C$65,"  ")</f>
        <v>  </v>
      </c>
      <c r="D30" s="189" t="str">
        <f>IF(nolevypage12!$E$59&lt;&gt;0,nolevypage12!$E$59,"  ")</f>
        <v>  </v>
      </c>
      <c r="E30" s="189"/>
      <c r="F30" s="184"/>
    </row>
    <row r="31" spans="1:6" s="14" customFormat="1" ht="15">
      <c r="A31" s="304" t="str">
        <f>IF((inputPrYr!$B33&gt;"  "),(nonbud!$A3),"  ")</f>
        <v>Non-Budgeted Funds</v>
      </c>
      <c r="B31" s="26"/>
      <c r="C31" s="306" t="str">
        <f>IF(nonbud!$F$33&gt;0,nonbud!$F$33,"  ")</f>
        <v>  </v>
      </c>
      <c r="D31" s="189"/>
      <c r="E31" s="189"/>
      <c r="F31" s="184"/>
    </row>
    <row r="32" spans="1:6" s="14" customFormat="1" ht="15">
      <c r="A32" s="28" t="s">
        <v>96</v>
      </c>
      <c r="B32" s="305"/>
      <c r="C32" s="306" t="str">
        <f>IF(road!$B$66&gt;0,road!$B$66,"  ")</f>
        <v>  </v>
      </c>
      <c r="D32" s="209"/>
      <c r="E32" s="209"/>
      <c r="F32" s="184"/>
    </row>
    <row r="33" spans="1:6" s="14" customFormat="1" ht="15.75" thickBot="1">
      <c r="A33" s="308" t="s">
        <v>97</v>
      </c>
      <c r="B33" s="309"/>
      <c r="C33" s="187" t="s">
        <v>98</v>
      </c>
      <c r="D33" s="310">
        <f>SUM(D20:D28)</f>
        <v>8481</v>
      </c>
      <c r="E33" s="310">
        <f>SUM(E20:E28)</f>
        <v>800.0699999999988</v>
      </c>
      <c r="F33" s="311">
        <f>IF(SUM(F20:F28)&gt;0,SUM(F20:F28),"")</f>
      </c>
    </row>
    <row r="34" spans="1:3" s="14" customFormat="1" ht="15.75" thickTop="1">
      <c r="A34" s="28" t="s">
        <v>652</v>
      </c>
      <c r="B34" s="301"/>
      <c r="C34" s="306">
        <f>summ!C47</f>
        <v>7</v>
      </c>
    </row>
    <row r="35" spans="1:5" s="14" customFormat="1" ht="15">
      <c r="A35" s="28" t="s">
        <v>17</v>
      </c>
      <c r="B35" s="29"/>
      <c r="C35" s="306">
        <f>IF(nhood!C37&gt;0,nhood!C37,"")</f>
      </c>
      <c r="D35" s="312" t="s">
        <v>639</v>
      </c>
      <c r="E35" s="313" t="s">
        <v>698</v>
      </c>
    </row>
    <row r="36" spans="1:5" s="14" customFormat="1" ht="15">
      <c r="A36" s="28" t="s">
        <v>638</v>
      </c>
      <c r="B36" s="29"/>
      <c r="C36" s="306">
        <f>IF(Resolution!D50&gt;0,Resolution!D50,"")</f>
      </c>
      <c r="D36" s="314"/>
      <c r="E36" s="315"/>
    </row>
    <row r="37" spans="1:6" s="14" customFormat="1" ht="15">
      <c r="A37" s="316" t="s">
        <v>577</v>
      </c>
      <c r="B37" s="457" t="s">
        <v>605</v>
      </c>
      <c r="C37" s="458"/>
      <c r="D37" s="317"/>
      <c r="F37" s="22" t="s">
        <v>99</v>
      </c>
    </row>
    <row r="38" spans="1:6" s="14" customFormat="1" ht="15">
      <c r="A38" s="94" t="s">
        <v>578</v>
      </c>
      <c r="B38" s="459"/>
      <c r="C38" s="460"/>
      <c r="D38" s="318"/>
      <c r="F38" s="22"/>
    </row>
    <row r="39" spans="1:6" s="14" customFormat="1" ht="15">
      <c r="A39" s="319"/>
      <c r="B39" s="461" t="s">
        <v>604</v>
      </c>
      <c r="C39" s="445"/>
      <c r="D39" s="317"/>
      <c r="F39" s="22"/>
    </row>
    <row r="40" spans="1:6" s="14" customFormat="1" ht="15">
      <c r="A40" s="319" t="s">
        <v>100</v>
      </c>
      <c r="D40" s="19"/>
      <c r="F40" s="22"/>
    </row>
    <row r="41" spans="1:6" s="14" customFormat="1" ht="15">
      <c r="A41" s="320" t="s">
        <v>468</v>
      </c>
      <c r="B41" s="320"/>
      <c r="D41" s="317"/>
      <c r="E41" s="19"/>
      <c r="F41" s="19"/>
    </row>
    <row r="42" spans="1:2" s="14" customFormat="1" ht="15">
      <c r="A42" s="321"/>
      <c r="B42" s="321"/>
    </row>
    <row r="43" spans="1:6" s="14" customFormat="1" ht="15">
      <c r="A43" s="319" t="s">
        <v>626</v>
      </c>
      <c r="D43" s="20"/>
      <c r="E43" s="20"/>
      <c r="F43" s="20"/>
    </row>
    <row r="44" spans="1:3" s="14" customFormat="1" ht="15">
      <c r="A44" s="320"/>
      <c r="B44" s="320"/>
      <c r="C44" s="22"/>
    </row>
    <row r="45" spans="1:6" s="14" customFormat="1" ht="15">
      <c r="A45" s="321"/>
      <c r="B45" s="321"/>
      <c r="C45" s="22"/>
      <c r="D45" s="93"/>
      <c r="E45" s="191"/>
      <c r="F45" s="191"/>
    </row>
    <row r="46" spans="1:7" ht="15">
      <c r="A46" s="321"/>
      <c r="B46" s="321"/>
      <c r="C46" s="22"/>
      <c r="D46" s="22"/>
      <c r="E46" s="14"/>
      <c r="F46" s="14"/>
      <c r="G46" s="117"/>
    </row>
    <row r="47" spans="1:7" ht="15">
      <c r="A47" s="88"/>
      <c r="B47" s="88"/>
      <c r="C47" s="22"/>
      <c r="D47" s="93"/>
      <c r="E47" s="191"/>
      <c r="F47" s="191"/>
      <c r="G47" s="117"/>
    </row>
    <row r="48" spans="1:7" ht="15">
      <c r="A48" s="88"/>
      <c r="B48" s="14"/>
      <c r="C48" s="22"/>
      <c r="D48" s="22"/>
      <c r="E48" s="14"/>
      <c r="F48" s="14"/>
      <c r="G48" s="117"/>
    </row>
    <row r="49" spans="1:7" ht="15">
      <c r="A49" s="22" t="s">
        <v>630</v>
      </c>
      <c r="B49" s="324">
        <f>G1-1</f>
        <v>2011</v>
      </c>
      <c r="C49" s="22"/>
      <c r="D49" s="93"/>
      <c r="E49" s="191"/>
      <c r="F49" s="191"/>
      <c r="G49" s="117"/>
    </row>
    <row r="50" spans="1:7" ht="15">
      <c r="A50" s="14"/>
      <c r="B50" s="14"/>
      <c r="C50" s="14"/>
      <c r="D50" s="14"/>
      <c r="E50" s="22"/>
      <c r="F50" s="14"/>
      <c r="G50" s="117"/>
    </row>
    <row r="51" spans="1:7" ht="15">
      <c r="A51" s="191"/>
      <c r="B51" s="14"/>
      <c r="C51" s="14"/>
      <c r="D51" s="20"/>
      <c r="E51" s="20"/>
      <c r="F51" s="20"/>
      <c r="G51" s="117"/>
    </row>
    <row r="52" spans="1:6" ht="15">
      <c r="A52" s="56" t="s">
        <v>102</v>
      </c>
      <c r="B52" s="14"/>
      <c r="C52" s="14"/>
      <c r="D52" s="444" t="s">
        <v>101</v>
      </c>
      <c r="E52" s="445"/>
      <c r="F52" s="445"/>
    </row>
    <row r="53" spans="1:6" ht="15">
      <c r="A53" s="14"/>
      <c r="B53" s="14"/>
      <c r="C53" s="14"/>
      <c r="D53" s="14"/>
      <c r="E53" s="14"/>
      <c r="F53" s="14"/>
    </row>
    <row r="54" spans="1:6" ht="15">
      <c r="A54" s="14"/>
      <c r="B54" s="14"/>
      <c r="C54" s="14"/>
      <c r="D54" s="14"/>
      <c r="E54" s="14"/>
      <c r="F54" s="14"/>
    </row>
    <row r="55" spans="1:6" ht="15">
      <c r="A55" s="14"/>
      <c r="B55" s="14"/>
      <c r="C55" s="14"/>
      <c r="D55" s="14"/>
      <c r="E55" s="14"/>
      <c r="F55" s="14"/>
    </row>
    <row r="56" spans="1:6" ht="15">
      <c r="A56" s="323" t="s">
        <v>470</v>
      </c>
      <c r="B56" s="322"/>
      <c r="C56" s="322"/>
      <c r="D56" s="322"/>
      <c r="E56" s="322"/>
      <c r="F56" s="14"/>
    </row>
    <row r="57" spans="1:6" ht="15">
      <c r="A57" s="323" t="s">
        <v>471</v>
      </c>
      <c r="B57" s="322"/>
      <c r="C57" s="322"/>
      <c r="D57" s="322"/>
      <c r="E57" s="322"/>
      <c r="F57" s="14"/>
    </row>
    <row r="58" spans="1:6" ht="15">
      <c r="A58" s="323"/>
      <c r="B58" s="322"/>
      <c r="C58" s="322"/>
      <c r="D58" s="322"/>
      <c r="E58" s="322"/>
      <c r="F58" s="14"/>
    </row>
    <row r="59" spans="1:6" ht="15">
      <c r="A59" s="14"/>
      <c r="B59" s="14"/>
      <c r="C59" s="14"/>
      <c r="D59" s="14"/>
      <c r="E59" s="14"/>
      <c r="F59" s="14"/>
    </row>
    <row r="60" spans="1:6" ht="15">
      <c r="A60" s="22" t="str">
        <f>CONCATENATE("Salaries and Wages:  Please report here the total amount of salaries and wages paid in ",G1-2," by the township")</f>
        <v>Salaries and Wages:  Please report here the total amount of salaries and wages paid in 2010 by the township</v>
      </c>
      <c r="B60" s="14"/>
      <c r="C60" s="14"/>
      <c r="D60" s="14"/>
      <c r="E60" s="14"/>
      <c r="F60" s="14"/>
    </row>
    <row r="61" spans="1:6" ht="15">
      <c r="A61" s="22" t="str">
        <f>CONCATENATE("to all employees, full and part-time.  This figure may be taken from the ",G1-2," W-3 form that your township filed")</f>
        <v>to all employees, full and part-time.  This figure may be taken from the 2010 W-3 form that your township filed</v>
      </c>
      <c r="B61" s="14"/>
      <c r="C61" s="14"/>
      <c r="D61" s="14"/>
      <c r="E61" s="14"/>
      <c r="F61" s="14"/>
    </row>
    <row r="62" spans="1:6" ht="15">
      <c r="A62" s="22" t="s">
        <v>472</v>
      </c>
      <c r="B62" s="14"/>
      <c r="C62" s="14"/>
      <c r="D62" s="54" t="s">
        <v>473</v>
      </c>
      <c r="E62" s="325"/>
      <c r="F62" s="14"/>
    </row>
  </sheetData>
  <sheetProtection sheet="1"/>
  <mergeCells count="10">
    <mergeCell ref="D52:F52"/>
    <mergeCell ref="A1:F1"/>
    <mergeCell ref="E12:E14"/>
    <mergeCell ref="D11:F11"/>
    <mergeCell ref="A6:F6"/>
    <mergeCell ref="A7:F7"/>
    <mergeCell ref="A3:G3"/>
    <mergeCell ref="B37:C37"/>
    <mergeCell ref="B38:C38"/>
    <mergeCell ref="B39:C39"/>
  </mergeCells>
  <conditionalFormatting sqref="E20">
    <cfRule type="cellIs" priority="1" dxfId="126"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2" sqref="J2"/>
    </sheetView>
  </sheetViews>
  <sheetFormatPr defaultColWidth="8.796875" defaultRowHeight="15.75"/>
  <cols>
    <col min="1" max="2" width="3" style="103" customWidth="1"/>
    <col min="3" max="3" width="28.19921875" style="103" customWidth="1"/>
    <col min="4" max="4" width="2.09765625" style="103" customWidth="1"/>
    <col min="5" max="5" width="15.69921875" style="103" customWidth="1"/>
    <col min="6" max="6" width="1.796875" style="103" customWidth="1"/>
    <col min="7" max="7" width="15.69921875" style="103" customWidth="1"/>
    <col min="8" max="8" width="1.69921875" style="103" customWidth="1"/>
    <col min="9" max="9" width="1.59765625" style="103" customWidth="1"/>
    <col min="10" max="10" width="15.69921875" style="103" customWidth="1"/>
    <col min="11" max="16384" width="8.796875" style="103" customWidth="1"/>
  </cols>
  <sheetData>
    <row r="1" spans="1:10" ht="15">
      <c r="A1" s="14"/>
      <c r="B1" s="14"/>
      <c r="C1" s="13" t="str">
        <f>inputPrYr!D2</f>
        <v>ODESSA TOWNSHIP</v>
      </c>
      <c r="D1" s="14"/>
      <c r="E1" s="14"/>
      <c r="F1" s="14"/>
      <c r="G1" s="14"/>
      <c r="H1" s="14"/>
      <c r="I1" s="14"/>
      <c r="J1" s="14">
        <f>inputPrYr!D5</f>
        <v>2012</v>
      </c>
    </row>
    <row r="2" spans="1:10" ht="15">
      <c r="A2" s="14"/>
      <c r="B2" s="14"/>
      <c r="C2" s="14"/>
      <c r="D2" s="14"/>
      <c r="E2" s="14"/>
      <c r="F2" s="14"/>
      <c r="G2" s="14"/>
      <c r="H2" s="14"/>
      <c r="I2" s="14"/>
      <c r="J2" s="14"/>
    </row>
    <row r="3" spans="1:10" ht="15">
      <c r="A3" s="463" t="str">
        <f>CONCATENATE("Computation to Determine Limit for ",J1,"")</f>
        <v>Computation to Determine Limit for 2012</v>
      </c>
      <c r="B3" s="446"/>
      <c r="C3" s="446"/>
      <c r="D3" s="446"/>
      <c r="E3" s="446"/>
      <c r="F3" s="446"/>
      <c r="G3" s="446"/>
      <c r="H3" s="446"/>
      <c r="I3" s="446"/>
      <c r="J3" s="446"/>
    </row>
    <row r="4" spans="1:10" ht="15">
      <c r="A4" s="14"/>
      <c r="B4" s="14"/>
      <c r="C4" s="14"/>
      <c r="D4" s="14"/>
      <c r="E4" s="446"/>
      <c r="F4" s="446"/>
      <c r="G4" s="446"/>
      <c r="H4" s="152"/>
      <c r="I4" s="14"/>
      <c r="J4" s="285" t="s">
        <v>559</v>
      </c>
    </row>
    <row r="5" spans="1:10" ht="15">
      <c r="A5" s="286" t="s">
        <v>560</v>
      </c>
      <c r="B5" s="14" t="str">
        <f>CONCATENATE("Total Tax Levy Amount in ",J1-1,"")</f>
        <v>Total Tax Levy Amount in 2011</v>
      </c>
      <c r="C5" s="14"/>
      <c r="D5" s="14"/>
      <c r="E5" s="63"/>
      <c r="F5" s="63"/>
      <c r="G5" s="63"/>
      <c r="H5" s="287" t="s">
        <v>486</v>
      </c>
      <c r="I5" s="63" t="s">
        <v>473</v>
      </c>
      <c r="J5" s="288">
        <f>inputPrYr!E25</f>
        <v>800</v>
      </c>
    </row>
    <row r="6" spans="1:10" ht="15">
      <c r="A6" s="286" t="s">
        <v>561</v>
      </c>
      <c r="B6" s="14" t="str">
        <f>CONCATENATE("Debt Service Levy in ",J1-1,"")</f>
        <v>Debt Service Levy in 2011</v>
      </c>
      <c r="C6" s="14"/>
      <c r="D6" s="14"/>
      <c r="E6" s="63"/>
      <c r="F6" s="63"/>
      <c r="G6" s="63"/>
      <c r="H6" s="287" t="s">
        <v>562</v>
      </c>
      <c r="I6" s="63" t="s">
        <v>473</v>
      </c>
      <c r="J6" s="289">
        <f>inputPrYr!E17</f>
        <v>0</v>
      </c>
    </row>
    <row r="7" spans="1:10" ht="15">
      <c r="A7" s="286" t="s">
        <v>563</v>
      </c>
      <c r="B7" s="17" t="s">
        <v>587</v>
      </c>
      <c r="C7" s="14"/>
      <c r="D7" s="14"/>
      <c r="E7" s="63"/>
      <c r="F7" s="63"/>
      <c r="G7" s="63"/>
      <c r="H7" s="63"/>
      <c r="I7" s="63" t="s">
        <v>473</v>
      </c>
      <c r="J7" s="290">
        <f>J5-J6</f>
        <v>800</v>
      </c>
    </row>
    <row r="8" spans="1:10" ht="15">
      <c r="A8" s="14"/>
      <c r="B8" s="14"/>
      <c r="C8" s="14"/>
      <c r="D8" s="14"/>
      <c r="E8" s="63"/>
      <c r="F8" s="63"/>
      <c r="G8" s="63"/>
      <c r="H8" s="63"/>
      <c r="I8" s="63"/>
      <c r="J8" s="63"/>
    </row>
    <row r="9" spans="1:10" ht="15">
      <c r="A9" s="14"/>
      <c r="B9" s="17" t="str">
        <f>CONCATENATE("",J1-1," Valuation Information for Valuation Adjustments:")</f>
        <v>2011 Valuation Information for Valuation Adjustments:</v>
      </c>
      <c r="C9" s="14"/>
      <c r="D9" s="14"/>
      <c r="E9" s="63"/>
      <c r="F9" s="63"/>
      <c r="G9" s="63"/>
      <c r="H9" s="63"/>
      <c r="I9" s="63"/>
      <c r="J9" s="63"/>
    </row>
    <row r="10" spans="1:10" ht="15">
      <c r="A10" s="14"/>
      <c r="B10" s="14"/>
      <c r="C10" s="17"/>
      <c r="D10" s="14"/>
      <c r="E10" s="63"/>
      <c r="F10" s="63"/>
      <c r="G10" s="63"/>
      <c r="H10" s="63"/>
      <c r="I10" s="63"/>
      <c r="J10" s="63"/>
    </row>
    <row r="11" spans="1:10" ht="15">
      <c r="A11" s="286" t="s">
        <v>564</v>
      </c>
      <c r="B11" s="17" t="str">
        <f>CONCATENATE("New Improvements for ",J1-1,":")</f>
        <v>New Improvements for 2011:</v>
      </c>
      <c r="C11" s="14"/>
      <c r="D11" s="14"/>
      <c r="E11" s="287"/>
      <c r="F11" s="287" t="s">
        <v>486</v>
      </c>
      <c r="G11" s="288">
        <f>inputOth!E8</f>
        <v>0</v>
      </c>
      <c r="H11" s="61"/>
      <c r="I11" s="63"/>
      <c r="J11" s="63"/>
    </row>
    <row r="12" spans="1:10" ht="15">
      <c r="A12" s="286"/>
      <c r="B12" s="286"/>
      <c r="C12" s="14"/>
      <c r="D12" s="14"/>
      <c r="E12" s="287"/>
      <c r="F12" s="287"/>
      <c r="G12" s="61"/>
      <c r="H12" s="61"/>
      <c r="I12" s="63"/>
      <c r="J12" s="63"/>
    </row>
    <row r="13" spans="1:10" ht="15">
      <c r="A13" s="286" t="s">
        <v>565</v>
      </c>
      <c r="B13" s="17" t="str">
        <f>CONCATENATE("Increase in Personal Property for ",J1-1,":")</f>
        <v>Increase in Personal Property for 2011:</v>
      </c>
      <c r="C13" s="14"/>
      <c r="D13" s="14"/>
      <c r="E13" s="287"/>
      <c r="F13" s="287"/>
      <c r="G13" s="61"/>
      <c r="H13" s="61"/>
      <c r="I13" s="63"/>
      <c r="J13" s="63"/>
    </row>
    <row r="14" spans="1:10" ht="15">
      <c r="A14" s="14"/>
      <c r="B14" s="14" t="s">
        <v>566</v>
      </c>
      <c r="C14" s="14" t="str">
        <f>CONCATENATE("Personal Property ",J1-1,"")</f>
        <v>Personal Property 2011</v>
      </c>
      <c r="D14" s="286" t="s">
        <v>486</v>
      </c>
      <c r="E14" s="288">
        <f>inputOth!E9</f>
        <v>18227</v>
      </c>
      <c r="F14" s="287"/>
      <c r="G14" s="63"/>
      <c r="H14" s="63"/>
      <c r="I14" s="61"/>
      <c r="J14" s="63"/>
    </row>
    <row r="15" spans="1:10" ht="15">
      <c r="A15" s="286"/>
      <c r="B15" s="14" t="s">
        <v>567</v>
      </c>
      <c r="C15" s="14" t="str">
        <f>CONCATENATE("Personal Property ",J1-2,"")</f>
        <v>Personal Property 2010</v>
      </c>
      <c r="D15" s="286" t="s">
        <v>562</v>
      </c>
      <c r="E15" s="290">
        <f>inputOth!E11</f>
        <v>18934</v>
      </c>
      <c r="F15" s="287"/>
      <c r="G15" s="61"/>
      <c r="H15" s="61"/>
      <c r="I15" s="63"/>
      <c r="J15" s="63"/>
    </row>
    <row r="16" spans="1:10" ht="15">
      <c r="A16" s="286"/>
      <c r="B16" s="14" t="s">
        <v>568</v>
      </c>
      <c r="C16" s="14" t="s">
        <v>588</v>
      </c>
      <c r="D16" s="14"/>
      <c r="E16" s="63"/>
      <c r="F16" s="63" t="s">
        <v>486</v>
      </c>
      <c r="G16" s="288">
        <f>IF(E14&gt;E15,E14-E15,0)</f>
        <v>0</v>
      </c>
      <c r="H16" s="61"/>
      <c r="I16" s="63"/>
      <c r="J16" s="63"/>
    </row>
    <row r="17" spans="1:10" ht="15">
      <c r="A17" s="286"/>
      <c r="B17" s="286"/>
      <c r="C17" s="14"/>
      <c r="D17" s="14"/>
      <c r="E17" s="63"/>
      <c r="F17" s="63"/>
      <c r="G17" s="61" t="s">
        <v>576</v>
      </c>
      <c r="H17" s="61"/>
      <c r="I17" s="63"/>
      <c r="J17" s="63"/>
    </row>
    <row r="18" spans="1:10" ht="15">
      <c r="A18" s="286" t="s">
        <v>569</v>
      </c>
      <c r="B18" s="17" t="str">
        <f>CONCATENATE("Valuation of Property that Changed in Use during ",J1-1,":")</f>
        <v>Valuation of Property that Changed in Use during 2011:</v>
      </c>
      <c r="C18" s="14"/>
      <c r="D18" s="14"/>
      <c r="E18" s="63"/>
      <c r="F18" s="287" t="s">
        <v>486</v>
      </c>
      <c r="G18" s="288">
        <f>inputOth!E10</f>
        <v>0</v>
      </c>
      <c r="H18" s="63"/>
      <c r="I18" s="63"/>
      <c r="J18" s="63"/>
    </row>
    <row r="19" spans="1:10" ht="15">
      <c r="A19" s="14" t="s">
        <v>86</v>
      </c>
      <c r="B19" s="14"/>
      <c r="C19" s="14"/>
      <c r="D19" s="286"/>
      <c r="E19" s="61"/>
      <c r="F19" s="61"/>
      <c r="G19" s="61"/>
      <c r="H19" s="63"/>
      <c r="I19" s="63"/>
      <c r="J19" s="63"/>
    </row>
    <row r="20" spans="1:10" ht="15">
      <c r="A20" s="286" t="s">
        <v>570</v>
      </c>
      <c r="B20" s="17" t="s">
        <v>589</v>
      </c>
      <c r="C20" s="14"/>
      <c r="D20" s="14"/>
      <c r="E20" s="63"/>
      <c r="F20" s="63"/>
      <c r="G20" s="288">
        <f>G11+G16+G18</f>
        <v>0</v>
      </c>
      <c r="H20" s="61"/>
      <c r="I20" s="63"/>
      <c r="J20" s="63"/>
    </row>
    <row r="21" spans="1:10" ht="15">
      <c r="A21" s="286"/>
      <c r="B21" s="286"/>
      <c r="C21" s="17"/>
      <c r="D21" s="14"/>
      <c r="E21" s="63"/>
      <c r="F21" s="63"/>
      <c r="G21" s="61"/>
      <c r="H21" s="61"/>
      <c r="I21" s="63"/>
      <c r="J21" s="63"/>
    </row>
    <row r="22" spans="1:10" ht="15">
      <c r="A22" s="286" t="s">
        <v>571</v>
      </c>
      <c r="B22" s="14" t="str">
        <f>CONCATENATE("Total Estimated Valuation July 1,",J1-1,"")</f>
        <v>Total Estimated Valuation July 1,2011</v>
      </c>
      <c r="C22" s="14"/>
      <c r="D22" s="14"/>
      <c r="E22" s="288">
        <f>inputOth!E7</f>
        <v>782171</v>
      </c>
      <c r="F22" s="63"/>
      <c r="G22" s="63"/>
      <c r="H22" s="63"/>
      <c r="I22" s="287"/>
      <c r="J22" s="63"/>
    </row>
    <row r="23" spans="1:10" ht="15">
      <c r="A23" s="286"/>
      <c r="B23" s="286"/>
      <c r="C23" s="14"/>
      <c r="D23" s="14"/>
      <c r="E23" s="61"/>
      <c r="F23" s="63"/>
      <c r="G23" s="63"/>
      <c r="H23" s="63"/>
      <c r="I23" s="287"/>
      <c r="J23" s="63"/>
    </row>
    <row r="24" spans="1:10" ht="15">
      <c r="A24" s="286" t="s">
        <v>572</v>
      </c>
      <c r="B24" s="17" t="s">
        <v>590</v>
      </c>
      <c r="C24" s="14"/>
      <c r="D24" s="14"/>
      <c r="E24" s="63"/>
      <c r="F24" s="63"/>
      <c r="G24" s="288">
        <f>E22-G20</f>
        <v>782171</v>
      </c>
      <c r="H24" s="61"/>
      <c r="I24" s="287"/>
      <c r="J24" s="63"/>
    </row>
    <row r="25" spans="1:10" ht="15">
      <c r="A25" s="286"/>
      <c r="B25" s="286"/>
      <c r="C25" s="17"/>
      <c r="D25" s="14"/>
      <c r="E25" s="14"/>
      <c r="F25" s="14"/>
      <c r="G25" s="291"/>
      <c r="H25" s="19"/>
      <c r="I25" s="286"/>
      <c r="J25" s="14"/>
    </row>
    <row r="26" spans="1:10" ht="15">
      <c r="A26" s="286" t="s">
        <v>573</v>
      </c>
      <c r="B26" s="14" t="s">
        <v>591</v>
      </c>
      <c r="C26" s="14"/>
      <c r="D26" s="14"/>
      <c r="E26" s="14"/>
      <c r="F26" s="14"/>
      <c r="G26" s="292">
        <f>IF(G20&gt;0,G20/G24,0)</f>
        <v>0</v>
      </c>
      <c r="H26" s="19"/>
      <c r="I26" s="14"/>
      <c r="J26" s="14"/>
    </row>
    <row r="27" spans="1:10" ht="15">
      <c r="A27" s="286"/>
      <c r="B27" s="286"/>
      <c r="C27" s="14"/>
      <c r="D27" s="14"/>
      <c r="E27" s="14"/>
      <c r="F27" s="14"/>
      <c r="G27" s="19"/>
      <c r="H27" s="19"/>
      <c r="I27" s="14"/>
      <c r="J27" s="14"/>
    </row>
    <row r="28" spans="1:10" ht="15">
      <c r="A28" s="286" t="s">
        <v>574</v>
      </c>
      <c r="B28" s="14" t="s">
        <v>592</v>
      </c>
      <c r="C28" s="14"/>
      <c r="D28" s="14"/>
      <c r="E28" s="14"/>
      <c r="F28" s="14"/>
      <c r="G28" s="19"/>
      <c r="H28" s="293" t="s">
        <v>486</v>
      </c>
      <c r="I28" s="14" t="s">
        <v>473</v>
      </c>
      <c r="J28" s="288">
        <f>ROUND(G26*J7,0)</f>
        <v>0</v>
      </c>
    </row>
    <row r="29" spans="1:10" ht="15">
      <c r="A29" s="286"/>
      <c r="B29" s="286"/>
      <c r="C29" s="14"/>
      <c r="D29" s="14"/>
      <c r="E29" s="14"/>
      <c r="F29" s="14"/>
      <c r="G29" s="19"/>
      <c r="H29" s="293"/>
      <c r="I29" s="14"/>
      <c r="J29" s="61"/>
    </row>
    <row r="30" spans="1:10" ht="15.75" thickBot="1">
      <c r="A30" s="286" t="s">
        <v>575</v>
      </c>
      <c r="B30" s="17" t="s">
        <v>596</v>
      </c>
      <c r="C30" s="14"/>
      <c r="D30" s="14"/>
      <c r="E30" s="14"/>
      <c r="F30" s="14"/>
      <c r="G30" s="14"/>
      <c r="H30" s="14"/>
      <c r="I30" s="14" t="s">
        <v>473</v>
      </c>
      <c r="J30" s="294">
        <f>J7+J28</f>
        <v>800</v>
      </c>
    </row>
    <row r="31" spans="1:10" ht="15.75" thickTop="1">
      <c r="A31" s="14"/>
      <c r="B31" s="14"/>
      <c r="C31" s="14"/>
      <c r="D31" s="14"/>
      <c r="E31" s="14"/>
      <c r="F31" s="14"/>
      <c r="G31" s="14"/>
      <c r="H31" s="14"/>
      <c r="I31" s="14"/>
      <c r="J31" s="14"/>
    </row>
    <row r="32" spans="1:10" ht="15">
      <c r="A32" s="286" t="s">
        <v>594</v>
      </c>
      <c r="B32" s="17" t="str">
        <f>CONCATENATE("Debt Service Levy in this ",J1,"")</f>
        <v>Debt Service Levy in this 2012</v>
      </c>
      <c r="C32" s="14"/>
      <c r="D32" s="14"/>
      <c r="E32" s="14"/>
      <c r="F32" s="14"/>
      <c r="G32" s="14"/>
      <c r="H32" s="14"/>
      <c r="I32" s="14"/>
      <c r="J32" s="288">
        <f>DebtService!G59</f>
        <v>0</v>
      </c>
    </row>
    <row r="33" spans="1:10" ht="15">
      <c r="A33" s="286"/>
      <c r="B33" s="17"/>
      <c r="C33" s="14"/>
      <c r="D33" s="14"/>
      <c r="E33" s="14"/>
      <c r="F33" s="14"/>
      <c r="G33" s="14"/>
      <c r="H33" s="14"/>
      <c r="I33" s="14"/>
      <c r="J33" s="19"/>
    </row>
    <row r="34" spans="1:10" ht="15.75" thickBot="1">
      <c r="A34" s="286" t="s">
        <v>595</v>
      </c>
      <c r="B34" s="17" t="s">
        <v>597</v>
      </c>
      <c r="C34" s="14"/>
      <c r="D34" s="14"/>
      <c r="E34" s="14"/>
      <c r="F34" s="14"/>
      <c r="G34" s="14"/>
      <c r="H34" s="14"/>
      <c r="I34" s="14"/>
      <c r="J34" s="294">
        <f>J30+J32</f>
        <v>800</v>
      </c>
    </row>
    <row r="35" spans="1:10" ht="15.75" thickTop="1">
      <c r="A35" s="14"/>
      <c r="B35" s="14"/>
      <c r="C35" s="14"/>
      <c r="D35" s="14"/>
      <c r="E35" s="14"/>
      <c r="F35" s="14"/>
      <c r="G35" s="14"/>
      <c r="H35" s="14"/>
      <c r="I35" s="14"/>
      <c r="J35" s="14"/>
    </row>
    <row r="36" spans="1:10" s="295" customFormat="1" ht="18">
      <c r="A36" s="462" t="str">
        <f>CONCATENATE("If the ",J1," budget includes tax levies exceeding the total on line 14, you must")</f>
        <v>If the 2012 budget includes tax levies exceeding the total on line 14, you must</v>
      </c>
      <c r="B36" s="462"/>
      <c r="C36" s="462"/>
      <c r="D36" s="462"/>
      <c r="E36" s="462"/>
      <c r="F36" s="462"/>
      <c r="G36" s="462"/>
      <c r="H36" s="462"/>
      <c r="I36" s="462"/>
      <c r="J36" s="462"/>
    </row>
    <row r="37" spans="1:10" s="295" customFormat="1" ht="18">
      <c r="A37" s="462" t="s">
        <v>593</v>
      </c>
      <c r="B37" s="462"/>
      <c r="C37" s="462"/>
      <c r="D37" s="462"/>
      <c r="E37" s="462"/>
      <c r="F37" s="462"/>
      <c r="G37" s="462"/>
      <c r="H37" s="462"/>
      <c r="I37" s="462"/>
      <c r="J37" s="46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11" sqref="G11"/>
    </sheetView>
  </sheetViews>
  <sheetFormatPr defaultColWidth="8.796875" defaultRowHeight="15.75"/>
  <cols>
    <col min="1" max="1" width="20.69921875" style="117" customWidth="1"/>
    <col min="2" max="2" width="17.796875" style="103" customWidth="1"/>
    <col min="3" max="3" width="8.69921875" style="103" hidden="1" customWidth="1"/>
    <col min="4" max="4" width="13.69921875" style="103" customWidth="1"/>
    <col min="5" max="5" width="0.203125" style="103" customWidth="1"/>
    <col min="6" max="6" width="0.1015625" style="103" hidden="1" customWidth="1"/>
    <col min="7" max="7" width="13.69921875" style="103" customWidth="1"/>
    <col min="8" max="8" width="12.3984375" style="103" hidden="1" customWidth="1"/>
    <col min="9" max="11" width="13.69921875" style="103" customWidth="1"/>
    <col min="12" max="12" width="0.203125" style="103" customWidth="1"/>
    <col min="13" max="16384" width="8.796875" style="103" customWidth="1"/>
  </cols>
  <sheetData>
    <row r="1" spans="2:12" ht="15">
      <c r="B1" s="13" t="str">
        <f>inputPrYr!D2</f>
        <v>ODESSA TOWNSHIP</v>
      </c>
      <c r="C1" s="14"/>
      <c r="D1" s="14"/>
      <c r="E1" s="14"/>
      <c r="F1" s="14"/>
      <c r="G1" s="14"/>
      <c r="H1" s="14"/>
      <c r="I1" s="14"/>
      <c r="J1" s="15">
        <f>inputPrYr!D5</f>
        <v>2012</v>
      </c>
      <c r="K1" s="15"/>
      <c r="L1" s="117"/>
    </row>
    <row r="2" spans="2:12" ht="15">
      <c r="B2" s="13"/>
      <c r="C2" s="14"/>
      <c r="D2" s="14"/>
      <c r="E2" s="14"/>
      <c r="F2" s="14"/>
      <c r="G2" s="14"/>
      <c r="H2" s="14"/>
      <c r="I2" s="14"/>
      <c r="J2" s="59"/>
      <c r="K2" s="59"/>
      <c r="L2" s="117"/>
    </row>
    <row r="3" spans="2:12" ht="15">
      <c r="B3" s="13"/>
      <c r="C3" s="14"/>
      <c r="D3" s="14"/>
      <c r="E3" s="14"/>
      <c r="F3" s="14"/>
      <c r="G3" s="14"/>
      <c r="H3" s="14"/>
      <c r="I3" s="14"/>
      <c r="J3" s="59"/>
      <c r="K3" s="59"/>
      <c r="L3" s="117"/>
    </row>
    <row r="4" spans="2:12" ht="15">
      <c r="B4" s="13"/>
      <c r="C4" s="14"/>
      <c r="D4" s="14"/>
      <c r="E4" s="14"/>
      <c r="F4" s="14"/>
      <c r="G4" s="14"/>
      <c r="H4" s="14"/>
      <c r="I4" s="14"/>
      <c r="J4" s="59"/>
      <c r="K4" s="59"/>
      <c r="L4" s="117"/>
    </row>
    <row r="5" spans="2:12" ht="15">
      <c r="B5" s="14"/>
      <c r="C5" s="14"/>
      <c r="D5" s="14"/>
      <c r="E5" s="14"/>
      <c r="F5" s="14"/>
      <c r="G5" s="14"/>
      <c r="H5" s="14"/>
      <c r="I5" s="14"/>
      <c r="J5" s="14"/>
      <c r="K5" s="14"/>
      <c r="L5" s="117"/>
    </row>
    <row r="6" spans="2:12" ht="15">
      <c r="B6" s="468" t="s">
        <v>30</v>
      </c>
      <c r="C6" s="445"/>
      <c r="D6" s="445"/>
      <c r="E6" s="445"/>
      <c r="F6" s="445"/>
      <c r="G6" s="445"/>
      <c r="H6" s="445"/>
      <c r="I6" s="445"/>
      <c r="J6" s="445"/>
      <c r="K6" s="445"/>
      <c r="L6" s="445"/>
    </row>
    <row r="7" spans="2:12" ht="15">
      <c r="B7" s="264"/>
      <c r="C7" s="12"/>
      <c r="D7" s="167"/>
      <c r="E7" s="167"/>
      <c r="F7" s="167"/>
      <c r="G7" s="167"/>
      <c r="H7" s="167"/>
      <c r="I7" s="167"/>
      <c r="J7" s="167"/>
      <c r="K7" s="167"/>
      <c r="L7" s="167"/>
    </row>
    <row r="8" spans="2:12" ht="15">
      <c r="B8" s="14"/>
      <c r="C8" s="265"/>
      <c r="D8" s="265"/>
      <c r="E8" s="265"/>
      <c r="F8" s="265"/>
      <c r="G8" s="266"/>
      <c r="H8" s="172"/>
      <c r="I8" s="172"/>
      <c r="J8" s="14"/>
      <c r="K8" s="14"/>
      <c r="L8" s="117"/>
    </row>
    <row r="9" spans="2:12" ht="21" customHeight="1">
      <c r="B9" s="182"/>
      <c r="C9" s="200"/>
      <c r="D9" s="464" t="str">
        <f>CONCATENATE("Budget Tax Levy Amount for ",J1-2,"")</f>
        <v>Budget Tax Levy Amount for 2010</v>
      </c>
      <c r="E9" s="464" t="str">
        <f>CONCATENATE("Budget Tax Levy Rate for ",J1-1,"")</f>
        <v>Budget Tax Levy Rate for 2011</v>
      </c>
      <c r="F9" s="267"/>
      <c r="G9" s="450" t="str">
        <f>CONCATENATE("Allocation for Year ",J1,"")</f>
        <v>Allocation for Year 2012</v>
      </c>
      <c r="H9" s="466"/>
      <c r="I9" s="466"/>
      <c r="J9" s="466"/>
      <c r="K9" s="466"/>
      <c r="L9" s="467"/>
    </row>
    <row r="10" spans="2:12" ht="15">
      <c r="B10" s="268" t="str">
        <f>CONCATENATE("",J1-1," Budgeted Funds")</f>
        <v>2011 Budgeted Funds</v>
      </c>
      <c r="C10" s="207"/>
      <c r="D10" s="465"/>
      <c r="E10" s="465"/>
      <c r="F10" s="26"/>
      <c r="G10" s="27" t="s">
        <v>557</v>
      </c>
      <c r="H10" s="27"/>
      <c r="I10" s="27" t="s">
        <v>558</v>
      </c>
      <c r="J10" s="183" t="s">
        <v>601</v>
      </c>
      <c r="K10" s="183" t="s">
        <v>644</v>
      </c>
      <c r="L10" s="127"/>
    </row>
    <row r="11" spans="2:12" ht="15">
      <c r="B11" s="110" t="str">
        <f>inputPrYr!B16</f>
        <v>General</v>
      </c>
      <c r="C11" s="269"/>
      <c r="D11" s="110">
        <f>IF(inputPrYr!E16&gt;0,inputPrYr!E16,"  ")</f>
        <v>800</v>
      </c>
      <c r="E11" s="270">
        <f>IF(inputOth!D17&gt;0,inputOth!D17,"  ")</f>
        <v>1.027</v>
      </c>
      <c r="F11" s="271"/>
      <c r="G11" s="110">
        <f>IF(inputPrYr!E16=0,0,G22-SUM(G12:G19))</f>
        <v>33.79</v>
      </c>
      <c r="H11" s="272"/>
      <c r="I11" s="110">
        <f>IF(inputPrYr!E16=0,0,I24-SUM(I12:I19))</f>
        <v>1.71</v>
      </c>
      <c r="J11" s="110">
        <f>IF(inputPrYr!E16=0,0,J26-SUM(J12:J19))</f>
        <v>4.86</v>
      </c>
      <c r="K11" s="110">
        <f>IF(inputPrYr!E16=0,0,K28-SUM(K12:K19))</f>
        <v>0</v>
      </c>
      <c r="L11" s="273" t="e">
        <f>IF(inputOth!D17&gt;0,ROUND(E11*#REF!*-1,0),"")</f>
        <v>#REF!</v>
      </c>
    </row>
    <row r="12" spans="2:12" ht="15">
      <c r="B12" s="110" t="str">
        <f>inputPrYr!B17</f>
        <v>Debt Service</v>
      </c>
      <c r="C12" s="269"/>
      <c r="D12" s="110">
        <f>IF(inputPrYr!E17&gt;=0,inputPrYr!E17,"  ")</f>
        <v>0</v>
      </c>
      <c r="E12" s="270" t="str">
        <f>IF(inputOth!D18&gt;0,inputOth!D18,"  ")</f>
        <v>  </v>
      </c>
      <c r="F12" s="271"/>
      <c r="G12" s="110">
        <f>IF(inputPrYr!E17=0,0,ROUND(D12*$G$30,0))</f>
        <v>0</v>
      </c>
      <c r="H12" s="272"/>
      <c r="I12" s="110">
        <f>IF(inputPrYr!$E$17=0,0,ROUND($D$12*$I$32,0))</f>
        <v>0</v>
      </c>
      <c r="J12" s="110">
        <f>IF(inputPrYr!E17=0,0,ROUND($D12*$J$34,0))</f>
        <v>0</v>
      </c>
      <c r="K12" s="110">
        <f>IF(inputPrYr!E17=0,0,ROUND($D12*$K$36,0))</f>
        <v>0</v>
      </c>
      <c r="L12" s="273">
        <f>IF(inputOth!D18&gt;0,ROUND(E12*#REF!*-1,0),"")</f>
      </c>
    </row>
    <row r="13" spans="2:12" ht="15">
      <c r="B13" s="110" t="str">
        <f>IF(inputPrYr!$B18&gt;"  ",inputPrYr!$B18,"  ")</f>
        <v>Road</v>
      </c>
      <c r="C13" s="269"/>
      <c r="D13" s="110">
        <f>IF(inputPrYr!E18&gt;=0,inputPrYr!E18,"  ")</f>
        <v>0</v>
      </c>
      <c r="E13" s="270" t="str">
        <f>IF(inputOth!D19&gt;0,inputOth!D19,"  ")</f>
        <v>  </v>
      </c>
      <c r="F13" s="271"/>
      <c r="G13" s="110">
        <f>IF(inputPrYr!E18=0,0,ROUND(D13*$G$30,0))</f>
        <v>0</v>
      </c>
      <c r="H13" s="272"/>
      <c r="I13" s="110">
        <f>IF(inputPrYr!$E$18=0,0,ROUND($D$13*$I$32,0))</f>
        <v>0</v>
      </c>
      <c r="J13" s="110">
        <f>IF(inputPrYr!E18=0,0,ROUND($D13*$J$34,0))</f>
        <v>0</v>
      </c>
      <c r="K13" s="110">
        <f>IF(inputPrYr!E18=0,0,ROUND($D13*$K$36,0))</f>
        <v>0</v>
      </c>
      <c r="L13" s="273">
        <f>IF(inputOth!D19&gt;0,ROUND(E13*#REF!*-1,0),"")</f>
      </c>
    </row>
    <row r="14" spans="2:12" ht="15">
      <c r="B14" s="110" t="str">
        <f>IF(inputPrYr!$B19&gt;"  ",inputPrYr!$B19,"  ")</f>
        <v>Fire</v>
      </c>
      <c r="C14" s="269"/>
      <c r="D14" s="110">
        <f>IF(inputPrYr!E19&gt;=0,inputPrYr!E19,"  ")</f>
        <v>0</v>
      </c>
      <c r="E14" s="270" t="str">
        <f>IF(inputOth!D20&gt;0,inputOth!D20,"  ")</f>
        <v> </v>
      </c>
      <c r="F14" s="271"/>
      <c r="G14" s="110">
        <f>IF(inputPrYr!E19=0,0,ROUND(D14*$G$30,0))</f>
        <v>0</v>
      </c>
      <c r="H14" s="272"/>
      <c r="I14" s="110">
        <f>IF(inputPrYr!$E$19=0,0,ROUND($D$14*$I$32,0))</f>
        <v>0</v>
      </c>
      <c r="J14" s="110">
        <f>IF(inputPrYr!E19=0,0,ROUND($D14*$J$34,0))</f>
        <v>0</v>
      </c>
      <c r="K14" s="110">
        <f>IF(inputPrYr!E19=0,0,ROUND($D14*$K$36,0))</f>
        <v>0</v>
      </c>
      <c r="L14" s="273" t="e">
        <f>IF(inputOth!D20&gt;0,ROUND(E14*#REF!*-1,0),"")</f>
        <v>#VALUE!</v>
      </c>
    </row>
    <row r="15" spans="2:12" ht="15">
      <c r="B15" s="110" t="str">
        <f>IF(inputPrYr!$B20&gt;"  ",inputPrYr!$B20,"  ")</f>
        <v>  </v>
      </c>
      <c r="C15" s="269"/>
      <c r="D15" s="110">
        <f>IF(inputPrYr!E20&gt;=0,inputPrYr!E20,"  ")</f>
        <v>0</v>
      </c>
      <c r="E15" s="270" t="str">
        <f>IF(inputOth!D21&gt;0,inputOth!D21,"  ")</f>
        <v>  </v>
      </c>
      <c r="F15" s="271"/>
      <c r="G15" s="110">
        <f>IF(inputPrYr!E20=0,0,ROUND(D15*$G$30,0))</f>
        <v>0</v>
      </c>
      <c r="H15" s="272"/>
      <c r="I15" s="110">
        <f>IF(inputPrYr!$E$20=0,0,ROUND($D$15*$I$32,0))</f>
        <v>0</v>
      </c>
      <c r="J15" s="110">
        <f>IF(inputPrYr!E20=0,0,ROUND($D15*$J$34,0))</f>
        <v>0</v>
      </c>
      <c r="K15" s="110">
        <f>IF(inputPrYr!E20=0,0,ROUND($D15*$K$36,0))</f>
        <v>0</v>
      </c>
      <c r="L15" s="273">
        <f>IF(inputOth!D21&gt;0,ROUND(E15*#REF!*-1,0),"")</f>
      </c>
    </row>
    <row r="16" spans="2:12" ht="15">
      <c r="B16" s="110" t="str">
        <f>IF(inputPrYr!$B21&gt;"  ",inputPrYr!$B21,"  ")</f>
        <v>  </v>
      </c>
      <c r="C16" s="269"/>
      <c r="D16" s="110">
        <f>IF(inputPrYr!E21&gt;=0,inputPrYr!E21,"  ")</f>
        <v>0</v>
      </c>
      <c r="E16" s="270" t="str">
        <f>IF(inputOth!D22&gt;0,inputOth!D22,"  ")</f>
        <v>  </v>
      </c>
      <c r="F16" s="271"/>
      <c r="G16" s="110">
        <f>IF(inputPrYr!E21=0,0,ROUND(D16*$G$30,0))</f>
        <v>0</v>
      </c>
      <c r="H16" s="272"/>
      <c r="I16" s="110">
        <f>IF(inputPrYr!$E$21=0,0,ROUND($D$16*$I$32,0))</f>
        <v>0</v>
      </c>
      <c r="J16" s="110">
        <f>IF(inputPrYr!E21=0,0,ROUND($D16*$J$34,0))</f>
        <v>0</v>
      </c>
      <c r="K16" s="110">
        <f>IF(inputPrYr!E21=0,0,ROUND($D16*$K$36,0))</f>
        <v>0</v>
      </c>
      <c r="L16" s="273">
        <f>IF(inputOth!D22&gt;0,ROUND(E16*#REF!*-1,0),"")</f>
      </c>
    </row>
    <row r="17" spans="2:12" ht="15">
      <c r="B17" s="110" t="str">
        <f>IF(inputPrYr!$B22&gt;"  ",inputPrYr!$B22,"  ")</f>
        <v>  </v>
      </c>
      <c r="C17" s="269"/>
      <c r="D17" s="110">
        <f>IF(inputPrYr!E22&gt;=0,inputPrYr!E22,"  ")</f>
        <v>0</v>
      </c>
      <c r="E17" s="270" t="str">
        <f>IF(inputOth!D23&gt;0,inputOth!D23,"  ")</f>
        <v>  </v>
      </c>
      <c r="F17" s="271"/>
      <c r="G17" s="110">
        <f>IF(inputPrYr!E22=0,0,ROUND(D17*$G$30,0))</f>
        <v>0</v>
      </c>
      <c r="H17" s="272"/>
      <c r="I17" s="110">
        <f>IF(inputPrYr!$E$22=0,0,ROUND($D$17*$I$32,0))</f>
        <v>0</v>
      </c>
      <c r="J17" s="110">
        <f>IF(inputPrYr!E22=0,0,ROUND($D17*$J$34,0))</f>
        <v>0</v>
      </c>
      <c r="K17" s="110">
        <f>IF(inputPrYr!E22=0,0,ROUND($D17*$K$36,0))</f>
        <v>0</v>
      </c>
      <c r="L17" s="273">
        <f>IF(inputOth!D23&gt;0,ROUND(E17*#REF!*-1,0),"")</f>
      </c>
    </row>
    <row r="18" spans="2:12" ht="15">
      <c r="B18" s="110" t="str">
        <f>IF(inputPrYr!$B23&gt;"  ",inputPrYr!$B23,"  ")</f>
        <v>  </v>
      </c>
      <c r="C18" s="269"/>
      <c r="D18" s="110">
        <f>IF(inputPrYr!E23&gt;=0,inputPrYr!E23,"  ")</f>
        <v>0</v>
      </c>
      <c r="E18" s="270" t="str">
        <f>IF(inputOth!D24&gt;0,inputOth!D24,"  ")</f>
        <v>  </v>
      </c>
      <c r="F18" s="271"/>
      <c r="G18" s="110">
        <f>IF(inputPrYr!E23=0,0,ROUND(D18*$G$30,0))</f>
        <v>0</v>
      </c>
      <c r="H18" s="272"/>
      <c r="I18" s="110">
        <f>IF(inputPrYr!$E$23=0,0,ROUND($D$18*$I$32,0))</f>
        <v>0</v>
      </c>
      <c r="J18" s="110">
        <f>IF(inputPrYr!E23=0,0,ROUND($D18*$J$34,0))</f>
        <v>0</v>
      </c>
      <c r="K18" s="110">
        <f>IF(inputPrYr!E23=0,0,ROUND($D18*$K$36,0))</f>
        <v>0</v>
      </c>
      <c r="L18" s="273">
        <f>IF(inputOth!D24&gt;0,ROUND(E18*#REF!*-1,0),"")</f>
      </c>
    </row>
    <row r="19" spans="2:12" ht="15">
      <c r="B19" s="110" t="str">
        <f>IF(inputPrYr!$B24&gt;"  ",inputPrYr!$B24,"  ")</f>
        <v>  </v>
      </c>
      <c r="C19" s="269"/>
      <c r="D19" s="110">
        <f>IF(inputPrYr!E24&gt;=0,inputPrYr!E24,"  ")</f>
        <v>0</v>
      </c>
      <c r="E19" s="270" t="str">
        <f>IF(inputOth!D25&gt;0,inputOth!D25,"  ")</f>
        <v>  </v>
      </c>
      <c r="F19" s="271"/>
      <c r="G19" s="110">
        <f>IF(inputPrYr!E24=0,0,ROUND(D19*$G$30,0))</f>
        <v>0</v>
      </c>
      <c r="H19" s="272"/>
      <c r="I19" s="110">
        <f>IF(inputPrYr!$E$24=0,0,ROUND($D$19*$I$32,0))</f>
        <v>0</v>
      </c>
      <c r="J19" s="110">
        <f>IF(inputPrYr!E24=0,0,ROUND($D19*$J$34,0))</f>
        <v>0</v>
      </c>
      <c r="K19" s="110">
        <f>IF(inputPrYr!E24=0,0,ROUND($D19*$K$36,0))</f>
        <v>0</v>
      </c>
      <c r="L19" s="273">
        <f>IF(inputOth!D25&gt;0,ROUND(E19*#REF!*-1,0),"")</f>
      </c>
    </row>
    <row r="20" spans="2:12" ht="15.75" thickBot="1">
      <c r="B20" s="94" t="s">
        <v>84</v>
      </c>
      <c r="C20" s="274"/>
      <c r="D20" s="275">
        <f>SUM(D11:D19)</f>
        <v>800</v>
      </c>
      <c r="E20" s="276">
        <f>SUM(E11:E19)</f>
        <v>1.027</v>
      </c>
      <c r="F20" s="277"/>
      <c r="G20" s="275">
        <f>SUM(G11:G19)</f>
        <v>33.79</v>
      </c>
      <c r="H20" s="275"/>
      <c r="I20" s="275">
        <f>SUM(I11:I19)</f>
        <v>1.71</v>
      </c>
      <c r="J20" s="275">
        <f>SUM(J11:J19)</f>
        <v>4.86</v>
      </c>
      <c r="K20" s="275">
        <f>SUM(K11:K19)</f>
        <v>0</v>
      </c>
      <c r="L20" s="278" t="e">
        <f>SUM(L11:L19)</f>
        <v>#REF!</v>
      </c>
    </row>
    <row r="21" spans="2:12" ht="15.75" thickTop="1">
      <c r="B21" s="14"/>
      <c r="C21" s="14"/>
      <c r="D21" s="14"/>
      <c r="E21" s="14"/>
      <c r="F21" s="14"/>
      <c r="G21" s="14"/>
      <c r="H21" s="14"/>
      <c r="I21" s="14"/>
      <c r="J21" s="14"/>
      <c r="K21" s="14"/>
      <c r="L21" s="117"/>
    </row>
    <row r="22" spans="2:12" ht="15">
      <c r="B22" s="22" t="s">
        <v>476</v>
      </c>
      <c r="C22" s="71"/>
      <c r="D22" s="14"/>
      <c r="E22" s="14"/>
      <c r="F22" s="14"/>
      <c r="G22" s="102">
        <f>inputOth!E31</f>
        <v>33.79</v>
      </c>
      <c r="H22" s="14"/>
      <c r="I22" s="14"/>
      <c r="J22" s="14"/>
      <c r="K22" s="14"/>
      <c r="L22" s="117"/>
    </row>
    <row r="23" spans="2:12" ht="15">
      <c r="B23" s="14"/>
      <c r="C23" s="14"/>
      <c r="D23" s="14"/>
      <c r="E23" s="14"/>
      <c r="F23" s="14"/>
      <c r="G23" s="14"/>
      <c r="H23" s="14"/>
      <c r="I23" s="14"/>
      <c r="J23" s="14"/>
      <c r="K23" s="14"/>
      <c r="L23" s="117"/>
    </row>
    <row r="24" spans="2:12" ht="15">
      <c r="B24" s="22" t="s">
        <v>477</v>
      </c>
      <c r="C24" s="14"/>
      <c r="D24" s="14"/>
      <c r="E24" s="14"/>
      <c r="F24" s="14"/>
      <c r="G24" s="14"/>
      <c r="H24" s="102">
        <f>inputPrYr!E73</f>
        <v>0</v>
      </c>
      <c r="I24" s="102">
        <f>inputOth!E32</f>
        <v>1.71</v>
      </c>
      <c r="J24" s="14"/>
      <c r="K24" s="14"/>
      <c r="L24" s="117"/>
    </row>
    <row r="25" spans="2:12" ht="15">
      <c r="B25" s="14"/>
      <c r="C25" s="14"/>
      <c r="D25" s="14"/>
      <c r="E25" s="14"/>
      <c r="F25" s="14"/>
      <c r="G25" s="14"/>
      <c r="H25" s="14"/>
      <c r="I25" s="14"/>
      <c r="J25" s="14"/>
      <c r="K25" s="14"/>
      <c r="L25" s="117"/>
    </row>
    <row r="26" spans="2:12" ht="15">
      <c r="B26" s="22" t="s">
        <v>554</v>
      </c>
      <c r="C26" s="14"/>
      <c r="D26" s="14"/>
      <c r="E26" s="14"/>
      <c r="F26" s="14"/>
      <c r="G26" s="14"/>
      <c r="H26" s="14"/>
      <c r="I26" s="14"/>
      <c r="J26" s="102">
        <f>inputOth!E33</f>
        <v>4.86</v>
      </c>
      <c r="K26" s="24"/>
      <c r="L26" s="117"/>
    </row>
    <row r="27" spans="2:12" ht="15">
      <c r="B27" s="14"/>
      <c r="C27" s="14"/>
      <c r="D27" s="14"/>
      <c r="E27" s="14"/>
      <c r="F27" s="14"/>
      <c r="G27" s="14"/>
      <c r="H27" s="14"/>
      <c r="I27" s="14"/>
      <c r="J27" s="14"/>
      <c r="K27" s="14"/>
      <c r="L27" s="117"/>
    </row>
    <row r="28" spans="2:12" ht="15">
      <c r="B28" s="14" t="s">
        <v>1</v>
      </c>
      <c r="C28" s="14"/>
      <c r="D28" s="14"/>
      <c r="E28" s="14"/>
      <c r="F28" s="14"/>
      <c r="G28" s="14"/>
      <c r="H28" s="14"/>
      <c r="I28" s="14"/>
      <c r="J28" s="14"/>
      <c r="K28" s="102">
        <f>inputOth!E35</f>
        <v>0</v>
      </c>
      <c r="L28" s="117"/>
    </row>
    <row r="29" spans="2:12" ht="15">
      <c r="B29" s="14"/>
      <c r="C29" s="14"/>
      <c r="D29" s="14"/>
      <c r="E29" s="14"/>
      <c r="F29" s="14"/>
      <c r="G29" s="14"/>
      <c r="H29" s="14"/>
      <c r="I29" s="14"/>
      <c r="J29" s="14"/>
      <c r="K29" s="24"/>
      <c r="L29" s="117"/>
    </row>
    <row r="30" spans="2:12" ht="15">
      <c r="B30" s="22" t="s">
        <v>478</v>
      </c>
      <c r="C30" s="14"/>
      <c r="D30" s="14"/>
      <c r="E30" s="14"/>
      <c r="F30" s="14"/>
      <c r="G30" s="279">
        <f>IF(D20=0,0,G22/D20)</f>
        <v>0.0422375</v>
      </c>
      <c r="H30" s="14"/>
      <c r="I30" s="14"/>
      <c r="J30" s="14"/>
      <c r="K30" s="14"/>
      <c r="L30" s="117"/>
    </row>
    <row r="31" spans="2:12" ht="15">
      <c r="B31" s="14"/>
      <c r="C31" s="280"/>
      <c r="D31" s="14"/>
      <c r="E31" s="14"/>
      <c r="F31" s="14"/>
      <c r="G31" s="14"/>
      <c r="H31" s="14"/>
      <c r="I31" s="14"/>
      <c r="J31" s="14"/>
      <c r="K31" s="14"/>
      <c r="L31" s="117"/>
    </row>
    <row r="32" spans="2:12" ht="15">
      <c r="B32" s="22" t="s">
        <v>479</v>
      </c>
      <c r="C32" s="14"/>
      <c r="D32" s="14"/>
      <c r="E32" s="14"/>
      <c r="F32" s="14"/>
      <c r="G32" s="14"/>
      <c r="H32" s="281">
        <f>IF(D20=0,0,H24/D20)</f>
        <v>0</v>
      </c>
      <c r="I32" s="282">
        <f>IF(D20=0,0,I24/D20)</f>
        <v>0.0021375</v>
      </c>
      <c r="J32" s="14"/>
      <c r="K32" s="14"/>
      <c r="L32" s="117"/>
    </row>
    <row r="33" spans="2:12" ht="15">
      <c r="B33" s="14"/>
      <c r="C33" s="14"/>
      <c r="D33" s="14"/>
      <c r="E33" s="14"/>
      <c r="F33" s="14"/>
      <c r="G33" s="14"/>
      <c r="H33" s="14"/>
      <c r="I33" s="14"/>
      <c r="J33" s="14"/>
      <c r="K33" s="14"/>
      <c r="L33" s="117"/>
    </row>
    <row r="34" spans="2:12" ht="15">
      <c r="B34" s="22" t="s">
        <v>556</v>
      </c>
      <c r="C34" s="14"/>
      <c r="D34" s="14"/>
      <c r="E34" s="14"/>
      <c r="F34" s="14"/>
      <c r="G34" s="14"/>
      <c r="H34" s="14"/>
      <c r="I34" s="14"/>
      <c r="J34" s="279">
        <f>IF(D20=0,0,J26/D20)</f>
        <v>0.0060750000000000005</v>
      </c>
      <c r="K34" s="283"/>
      <c r="L34" s="117"/>
    </row>
    <row r="35" spans="2:12" ht="15">
      <c r="B35" s="117"/>
      <c r="C35" s="117"/>
      <c r="D35" s="117"/>
      <c r="E35" s="117"/>
      <c r="F35" s="117"/>
      <c r="G35" s="117"/>
      <c r="H35" s="117"/>
      <c r="I35" s="117"/>
      <c r="J35" s="117"/>
      <c r="K35" s="117"/>
      <c r="L35" s="117"/>
    </row>
    <row r="36" spans="2:12" ht="15">
      <c r="B36" s="117" t="s">
        <v>2</v>
      </c>
      <c r="C36" s="117"/>
      <c r="D36" s="117"/>
      <c r="E36" s="117"/>
      <c r="F36" s="117"/>
      <c r="G36" s="117"/>
      <c r="H36" s="117"/>
      <c r="I36" s="117"/>
      <c r="J36" s="117"/>
      <c r="K36" s="279">
        <f>IF(D20=0,0,K28/D20)</f>
        <v>0</v>
      </c>
      <c r="L36" s="117"/>
    </row>
    <row r="37" spans="2:12" ht="15">
      <c r="B37" s="117"/>
      <c r="C37" s="117"/>
      <c r="D37" s="117"/>
      <c r="E37" s="117"/>
      <c r="F37" s="117"/>
      <c r="G37" s="117"/>
      <c r="H37" s="117"/>
      <c r="I37" s="117"/>
      <c r="J37" s="117"/>
      <c r="K37" s="117"/>
      <c r="L37" s="117"/>
    </row>
    <row r="41" spans="2:9" ht="15">
      <c r="B41" s="284"/>
      <c r="C41" s="284"/>
      <c r="D41" s="284"/>
      <c r="E41" s="284"/>
      <c r="F41" s="284"/>
      <c r="G41" s="284"/>
      <c r="H41" s="284"/>
      <c r="I41" s="16"/>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&amp;Lrevised 5/14/09&amp;CPage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9"/>
      <c r="F1" s="14">
        <f>inputPrYr!D5</f>
        <v>2012</v>
      </c>
    </row>
    <row r="2" spans="1:6" ht="15">
      <c r="A2" s="115" t="str">
        <f>inputPrYr!D2</f>
        <v>ODESSA TOWNSHIP</v>
      </c>
      <c r="B2" s="115"/>
      <c r="C2" s="14"/>
      <c r="D2" s="14"/>
      <c r="E2" s="59"/>
      <c r="F2" s="14"/>
    </row>
    <row r="3" spans="1:6" ht="15">
      <c r="A3" s="13"/>
      <c r="B3" s="115"/>
      <c r="C3" s="14"/>
      <c r="D3" s="14"/>
      <c r="E3" s="59"/>
      <c r="F3" s="14"/>
    </row>
    <row r="4" spans="1:6" ht="15">
      <c r="A4" s="13"/>
      <c r="B4" s="14"/>
      <c r="C4" s="14"/>
      <c r="D4" s="14"/>
      <c r="E4" s="59"/>
      <c r="F4" s="14"/>
    </row>
    <row r="5" spans="1:6" ht="15" customHeight="1">
      <c r="A5" s="446" t="s">
        <v>653</v>
      </c>
      <c r="B5" s="446"/>
      <c r="C5" s="446"/>
      <c r="D5" s="446"/>
      <c r="E5" s="446"/>
      <c r="F5" s="446"/>
    </row>
    <row r="6" spans="1:6" ht="14.25" customHeight="1">
      <c r="A6" s="152"/>
      <c r="B6" s="247"/>
      <c r="C6" s="247"/>
      <c r="D6" s="247"/>
      <c r="E6" s="247"/>
      <c r="F6" s="247"/>
    </row>
    <row r="7" spans="1:6" ht="15" customHeight="1">
      <c r="A7" s="248" t="s">
        <v>92</v>
      </c>
      <c r="B7" s="248" t="s">
        <v>451</v>
      </c>
      <c r="C7" s="249" t="s">
        <v>503</v>
      </c>
      <c r="D7" s="249" t="s">
        <v>654</v>
      </c>
      <c r="E7" s="248" t="s">
        <v>655</v>
      </c>
      <c r="F7" s="248" t="s">
        <v>656</v>
      </c>
    </row>
    <row r="8" spans="1:6" ht="15" customHeight="1">
      <c r="A8" s="250" t="s">
        <v>452</v>
      </c>
      <c r="B8" s="250" t="s">
        <v>453</v>
      </c>
      <c r="C8" s="251" t="s">
        <v>657</v>
      </c>
      <c r="D8" s="251" t="s">
        <v>657</v>
      </c>
      <c r="E8" s="251" t="s">
        <v>657</v>
      </c>
      <c r="F8" s="251" t="s">
        <v>658</v>
      </c>
    </row>
    <row r="9" spans="1:6" s="254" customFormat="1" ht="15" customHeight="1" thickBot="1">
      <c r="A9" s="252" t="s">
        <v>659</v>
      </c>
      <c r="B9" s="253" t="s">
        <v>660</v>
      </c>
      <c r="C9" s="253">
        <f>F1-2</f>
        <v>2010</v>
      </c>
      <c r="D9" s="253">
        <f>F1-1</f>
        <v>2011</v>
      </c>
      <c r="E9" s="253">
        <f>F1</f>
        <v>2012</v>
      </c>
      <c r="F9" s="253" t="s">
        <v>79</v>
      </c>
    </row>
    <row r="10" spans="1:6" ht="15" customHeight="1" thickTop="1">
      <c r="A10" s="255"/>
      <c r="B10" s="255"/>
      <c r="C10" s="256"/>
      <c r="D10" s="256"/>
      <c r="E10" s="256"/>
      <c r="F10" s="255"/>
    </row>
    <row r="11" spans="1:6" ht="15" customHeight="1">
      <c r="A11" s="95" t="s">
        <v>56</v>
      </c>
      <c r="B11" s="95" t="s">
        <v>96</v>
      </c>
      <c r="C11" s="257">
        <f>gen!$C$43</f>
        <v>0</v>
      </c>
      <c r="D11" s="257">
        <f>gen!$E$43</f>
        <v>0</v>
      </c>
      <c r="E11" s="257">
        <f>gen!$G$43</f>
        <v>0</v>
      </c>
      <c r="F11" s="95">
        <f>IF(C11+D11+E11&gt;0,"80-1406b","")</f>
      </c>
    </row>
    <row r="12" spans="1:6" ht="15" customHeight="1">
      <c r="A12" s="95" t="s">
        <v>56</v>
      </c>
      <c r="B12" s="95" t="s">
        <v>96</v>
      </c>
      <c r="C12" s="257">
        <f>gen!$C$45</f>
        <v>0</v>
      </c>
      <c r="D12" s="257">
        <f>gen!$E$45</f>
        <v>0</v>
      </c>
      <c r="E12" s="257">
        <f>gen!$G$45</f>
        <v>0</v>
      </c>
      <c r="F12" s="95">
        <f>IF(C12+D12+E12&gt;0,"80-122","")</f>
      </c>
    </row>
    <row r="13" spans="1:6" ht="15" customHeight="1">
      <c r="A13" s="95" t="s">
        <v>83</v>
      </c>
      <c r="B13" s="95" t="s">
        <v>96</v>
      </c>
      <c r="C13" s="257">
        <f>road!$C$38</f>
        <v>0</v>
      </c>
      <c r="D13" s="257">
        <f>road!$E$38</f>
        <v>0</v>
      </c>
      <c r="E13" s="257">
        <f>road!$G$38</f>
        <v>0</v>
      </c>
      <c r="F13" s="95">
        <f>IF(C13+D13+E13&gt;0,"68-141g","")</f>
      </c>
    </row>
    <row r="14" spans="1:6" ht="15" customHeight="1">
      <c r="A14" s="258"/>
      <c r="B14" s="258"/>
      <c r="C14" s="259"/>
      <c r="D14" s="259"/>
      <c r="E14" s="259"/>
      <c r="F14" s="258"/>
    </row>
    <row r="15" spans="1:6" ht="15" customHeight="1">
      <c r="A15" s="258"/>
      <c r="B15" s="258"/>
      <c r="C15" s="259"/>
      <c r="D15" s="259"/>
      <c r="E15" s="259"/>
      <c r="F15" s="258"/>
    </row>
    <row r="16" spans="1:6" ht="15" customHeight="1">
      <c r="A16" s="258"/>
      <c r="B16" s="258"/>
      <c r="C16" s="259"/>
      <c r="D16" s="259"/>
      <c r="E16" s="259"/>
      <c r="F16" s="258"/>
    </row>
    <row r="17" spans="1:6" ht="15" customHeight="1">
      <c r="A17" s="258"/>
      <c r="B17" s="258"/>
      <c r="C17" s="259"/>
      <c r="D17" s="259"/>
      <c r="E17" s="259"/>
      <c r="F17" s="258"/>
    </row>
    <row r="18" spans="1:6" ht="15" customHeight="1">
      <c r="A18" s="258"/>
      <c r="B18" s="258"/>
      <c r="C18" s="259"/>
      <c r="D18" s="259"/>
      <c r="E18" s="259"/>
      <c r="F18" s="258"/>
    </row>
    <row r="19" spans="1:6" ht="15" customHeight="1">
      <c r="A19" s="258"/>
      <c r="B19" s="260"/>
      <c r="C19" s="259"/>
      <c r="D19" s="259"/>
      <c r="E19" s="259"/>
      <c r="F19" s="258"/>
    </row>
    <row r="20" spans="1:6" ht="15" customHeight="1">
      <c r="A20" s="258"/>
      <c r="B20" s="258"/>
      <c r="C20" s="259"/>
      <c r="D20" s="259"/>
      <c r="E20" s="259"/>
      <c r="F20" s="258"/>
    </row>
    <row r="21" spans="1:6" ht="15" customHeight="1">
      <c r="A21" s="258"/>
      <c r="B21" s="258"/>
      <c r="C21" s="259"/>
      <c r="D21" s="259"/>
      <c r="E21" s="259"/>
      <c r="F21" s="258"/>
    </row>
    <row r="22" spans="1:6" ht="15" customHeight="1">
      <c r="A22" s="258"/>
      <c r="B22" s="258"/>
      <c r="C22" s="259"/>
      <c r="D22" s="259"/>
      <c r="E22" s="259"/>
      <c r="F22" s="258"/>
    </row>
    <row r="23" spans="1:6" ht="15" customHeight="1">
      <c r="A23" s="258"/>
      <c r="B23" s="258"/>
      <c r="C23" s="259"/>
      <c r="D23" s="259"/>
      <c r="E23" s="259"/>
      <c r="F23" s="258"/>
    </row>
    <row r="24" spans="1:6" ht="15" customHeight="1">
      <c r="A24" s="258"/>
      <c r="B24" s="258"/>
      <c r="C24" s="259"/>
      <c r="D24" s="259"/>
      <c r="E24" s="259"/>
      <c r="F24" s="258"/>
    </row>
    <row r="25" spans="1:6" ht="15" customHeight="1">
      <c r="A25" s="258"/>
      <c r="B25" s="258"/>
      <c r="C25" s="259"/>
      <c r="D25" s="259"/>
      <c r="E25" s="259"/>
      <c r="F25" s="258"/>
    </row>
    <row r="26" spans="1:6" ht="15" customHeight="1">
      <c r="A26" s="258"/>
      <c r="B26" s="258"/>
      <c r="C26" s="259"/>
      <c r="D26" s="259"/>
      <c r="E26" s="259"/>
      <c r="F26" s="258"/>
    </row>
    <row r="27" spans="1:6" ht="15">
      <c r="A27" s="156"/>
      <c r="B27" s="261" t="s">
        <v>84</v>
      </c>
      <c r="C27" s="262">
        <f>SUM(C10:C26)</f>
        <v>0</v>
      </c>
      <c r="D27" s="262">
        <f>SUM(D10:D26)</f>
        <v>0</v>
      </c>
      <c r="E27" s="262">
        <f>SUM(E10:E26)</f>
        <v>0</v>
      </c>
      <c r="F27" s="156"/>
    </row>
    <row r="28" spans="1:6" ht="15">
      <c r="A28" s="156"/>
      <c r="B28" s="261" t="s">
        <v>450</v>
      </c>
      <c r="C28" s="156"/>
      <c r="D28" s="258"/>
      <c r="E28" s="258"/>
      <c r="F28" s="156"/>
    </row>
    <row r="29" spans="1:6" ht="15">
      <c r="A29" s="156"/>
      <c r="B29" s="209" t="s">
        <v>661</v>
      </c>
      <c r="C29" s="263">
        <f>C27</f>
        <v>0</v>
      </c>
      <c r="D29" s="263">
        <f>SUM(D27-D28)</f>
        <v>0</v>
      </c>
      <c r="E29" s="263">
        <f>SUM(E27-E28)</f>
        <v>0</v>
      </c>
      <c r="F29" s="156"/>
    </row>
    <row r="30" spans="1:6" ht="15">
      <c r="A30" s="156"/>
      <c r="B30" s="14"/>
      <c r="C30" s="14"/>
      <c r="D30" s="14"/>
      <c r="E30" s="14"/>
      <c r="F30" s="156"/>
    </row>
    <row r="31" spans="1:6" ht="15">
      <c r="A31" s="156"/>
      <c r="B31" s="14"/>
      <c r="C31" s="14"/>
      <c r="D31" s="14"/>
      <c r="E31" s="14"/>
      <c r="F31" s="156"/>
    </row>
    <row r="32" spans="1:6" ht="15">
      <c r="A32" s="428" t="s">
        <v>454</v>
      </c>
      <c r="B32" s="429" t="str">
        <f>CONCATENATE("Adjustments are required only if the transfer is being made in ",D9," and/or ",E9," from a non-budgeted fund.")</f>
        <v>Adjustments are required only if the transfer is being made in 2011 and/or 2012 from a non-budgeted fund.</v>
      </c>
      <c r="C32" s="14"/>
      <c r="D32" s="14"/>
      <c r="E32" s="14"/>
      <c r="F32" s="156"/>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workbookViewId="0" topLeftCell="A1">
      <selection activeCell="A25" sqref="A25:IV25"/>
    </sheetView>
  </sheetViews>
  <sheetFormatPr defaultColWidth="62.3984375" defaultRowHeight="15.75"/>
  <cols>
    <col min="1" max="16384" width="62.3984375" style="12" customWidth="1"/>
  </cols>
  <sheetData>
    <row r="1" ht="17.25">
      <c r="A1" s="246" t="s">
        <v>126</v>
      </c>
    </row>
    <row r="2" ht="15">
      <c r="A2" s="103"/>
    </row>
    <row r="3" ht="15">
      <c r="A3" s="103"/>
    </row>
    <row r="4" ht="52.5" customHeight="1">
      <c r="A4" s="193" t="s">
        <v>168</v>
      </c>
    </row>
    <row r="5" ht="15">
      <c r="A5" s="103"/>
    </row>
    <row r="6" ht="15">
      <c r="A6" s="103"/>
    </row>
    <row r="7" ht="70.5" customHeight="1">
      <c r="A7" s="193" t="s">
        <v>169</v>
      </c>
    </row>
    <row r="8" ht="15">
      <c r="A8" s="194"/>
    </row>
    <row r="9" ht="15">
      <c r="A9" s="103"/>
    </row>
    <row r="10" ht="56.25" customHeight="1">
      <c r="A10" s="193" t="s">
        <v>170</v>
      </c>
    </row>
    <row r="11" ht="15">
      <c r="A11" s="194"/>
    </row>
    <row r="12" ht="15">
      <c r="A12" s="194"/>
    </row>
    <row r="13" ht="57.75" customHeight="1">
      <c r="A13" s="193" t="s">
        <v>171</v>
      </c>
    </row>
    <row r="14" ht="15">
      <c r="A14" s="194"/>
    </row>
    <row r="15" ht="15">
      <c r="A15" s="194"/>
    </row>
    <row r="16" ht="87.75" customHeight="1">
      <c r="A16" s="193" t="s">
        <v>172</v>
      </c>
    </row>
    <row r="17" ht="15">
      <c r="A17" s="194"/>
    </row>
    <row r="18" ht="15">
      <c r="A18" s="103"/>
    </row>
    <row r="19" ht="54.75" customHeight="1">
      <c r="A19" s="193" t="s">
        <v>173</v>
      </c>
    </row>
    <row r="20" ht="15">
      <c r="A20" s="103"/>
    </row>
    <row r="21" ht="15">
      <c r="A21" s="103"/>
    </row>
    <row r="22" ht="69" customHeight="1">
      <c r="A22" s="193" t="s">
        <v>174</v>
      </c>
    </row>
    <row r="23" ht="15">
      <c r="A23" s="103"/>
    </row>
    <row r="24" ht="15">
      <c r="A24" s="243"/>
    </row>
    <row r="25" ht="47.25" customHeight="1">
      <c r="A25" s="244" t="s">
        <v>175</v>
      </c>
    </row>
    <row r="26" ht="15">
      <c r="A26" s="245"/>
    </row>
    <row r="27" ht="15">
      <c r="A27" s="243"/>
    </row>
  </sheetData>
  <sheetProtection sheet="1"/>
  <printOptions/>
  <pageMargins left="0.7" right="0.7" top="0.75" bottom="0.75" header="0.3" footer="0.3"/>
  <pageSetup blackAndWhite="1" horizontalDpi="600" verticalDpi="600" orientation="portrait" r:id="rId1"/>
  <headerFoot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2011-06-28T19:25:00Z</cp:lastPrinted>
  <dcterms:created xsi:type="dcterms:W3CDTF">1998-08-26T16:30:41Z</dcterms:created>
  <dcterms:modified xsi:type="dcterms:W3CDTF">2011-06-29T16:09:24Z</dcterms:modified>
  <cp:category/>
  <cp:version/>
  <cp:contentType/>
  <cp:contentStatus/>
</cp:coreProperties>
</file>