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<sst xmlns="http://schemas.openxmlformats.org/spreadsheetml/2006/main" count="1162" uniqueCount="700">
  <si>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</si>
  <si>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</si>
  <si>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</si>
  <si>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</si>
  <si>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</si>
  <si>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</si>
  <si>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</si>
  <si>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</si>
  <si>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</si>
  <si>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</si>
  <si>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</si>
  <si>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</si>
  <si>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</si>
  <si>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</si>
  <si>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</si>
  <si>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</si>
  <si>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</si>
  <si>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</si>
  <si>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</si>
  <si>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</si>
  <si>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</si>
  <si>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</si>
  <si>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</si>
  <si>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</si>
  <si>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</si>
  <si>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</si>
  <si>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</si>
  <si>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</si>
  <si>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</si>
  <si>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</si>
  <si>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</si>
  <si>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</si>
  <si>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</si>
  <si>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</si>
  <si>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</si>
  <si>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</si>
  <si>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</si>
  <si>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</si>
  <si>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</si>
  <si>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</si>
  <si>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</si>
  <si>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</si>
  <si>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</si>
  <si>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</si>
  <si>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</si>
  <si>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</si>
  <si>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</si>
  <si>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</si>
  <si>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</si>
  <si>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</si>
  <si>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</si>
  <si>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</si>
  <si>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</si>
  <si>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</si>
  <si>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</si>
  <si>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</si>
  <si>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</si>
  <si>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</si>
  <si>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</si>
  <si>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</si>
  <si>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</si>
  <si>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</si>
  <si>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</si>
  <si>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</si>
  <si>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</si>
  <si>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</si>
  <si>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</si>
  <si>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</si>
  <si>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</si>
  <si>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</si>
  <si>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</si>
  <si>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</si>
  <si>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</si>
  <si>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</si>
  <si>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</si>
  <si>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</si>
  <si>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</si>
  <si>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</si>
  <si>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</si>
  <si>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</si>
  <si>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</si>
  <si>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</si>
  <si>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</si>
  <si>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</si>
  <si>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</si>
  <si>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</si>
  <si>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</si>
  <si>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</si>
  <si>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</si>
  <si>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</si>
  <si>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</si>
  <si>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</si>
  <si>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</si>
  <si>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</si>
  <si>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</si>
  <si>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</si>
  <si>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</si>
  <si>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</si>
  <si>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</si>
  <si>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</si>
  <si>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</si>
  <si>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</si>
  <si>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</si>
  <si>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</si>
  <si>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</si>
  <si>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</si>
  <si>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</si>
  <si>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</si>
  <si>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</si>
  <si>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</si>
  <si>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</si>
  <si>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</si>
  <si>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</si>
  <si>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</si>
  <si>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</si>
  <si>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</si>
  <si>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</si>
  <si>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</si>
  <si>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</si>
  <si>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</si>
  <si>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</si>
  <si>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</si>
  <si>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</si>
  <si>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</si>
  <si>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</si>
  <si>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</si>
  <si>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</si>
  <si>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</si>
  <si>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</si>
  <si>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</si>
  <si>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</si>
  <si>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</si>
  <si>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</si>
  <si>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</si>
  <si>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</si>
  <si>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</si>
  <si>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</si>
  <si>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</si>
  <si>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</si>
  <si>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</si>
  <si>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</si>
  <si>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</si>
  <si>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</si>
  <si>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</si>
  <si>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</si>
  <si>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</si>
  <si>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</si>
  <si>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</si>
  <si>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</si>
  <si>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</si>
  <si>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</si>
  <si>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</si>
  <si>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</si>
  <si>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</si>
  <si>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</si>
  <si>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</si>
  <si>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</si>
  <si>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</si>
  <si>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</si>
  <si>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</si>
  <si>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</si>
  <si>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</si>
  <si>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</si>
  <si>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</si>
  <si>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</si>
  <si>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</si>
  <si>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</si>
  <si>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</si>
  <si>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</si>
  <si>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</si>
  <si>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</si>
  <si>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</si>
  <si>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</si>
  <si>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</si>
  <si>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</si>
  <si>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</si>
  <si>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</si>
  <si>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</si>
  <si>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</si>
  <si>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</si>
  <si>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</si>
  <si>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</si>
  <si>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</si>
  <si>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</si>
  <si>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</si>
  <si>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</si>
  <si>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</si>
  <si>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</si>
  <si>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</si>
  <si>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</si>
  <si>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</si>
  <si>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</si>
  <si>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</si>
  <si>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</si>
  <si>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</si>
  <si>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</si>
  <si>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</si>
  <si>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</si>
  <si>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</si>
  <si>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</si>
  <si>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</si>
  <si>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</si>
  <si>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</si>
  <si>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</si>
  <si>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</si>
  <si>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</si>
  <si>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</si>
  <si>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</si>
  <si>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</si>
  <si>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</si>
  <si>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</si>
  <si>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</si>
  <si>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</si>
  <si>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</si>
  <si>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</si>
  <si>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</si>
  <si>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</si>
  <si>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</si>
  <si>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</si>
  <si>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</si>
  <si>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</si>
  <si>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</si>
  <si>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</si>
  <si>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</si>
  <si>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</si>
  <si>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</si>
  <si>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</si>
  <si>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</si>
  <si>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</si>
  <si>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</si>
  <si>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</si>
  <si>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</si>
  <si>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</si>
  <si>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</si>
  <si>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</si>
  <si>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</si>
  <si>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</si>
  <si>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</si>
  <si>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</si>
  <si>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</si>
  <si>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</si>
  <si>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</si>
  <si>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</si>
  <si>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</si>
  <si>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</si>
  <si>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</si>
  <si>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</si>
  <si>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</si>
  <si>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</si>
  <si>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</si>
  <si>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</si>
  <si>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</si>
  <si>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</si>
  <si>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</si>
  <si>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</si>
  <si>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</si>
  <si>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</si>
  <si>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</si>
  <si>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</si>
  <si>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</si>
  <si>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</si>
  <si>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</si>
  <si>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</si>
  <si>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</si>
  <si>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</si>
  <si>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</si>
  <si>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</si>
  <si>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</si>
  <si>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</si>
  <si>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</si>
  <si>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</si>
  <si>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</si>
  <si>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</si>
  <si>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</si>
  <si>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</si>
  <si>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</si>
  <si>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</si>
  <si>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</si>
  <si>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</si>
  <si>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</si>
  <si>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</si>
  <si>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</si>
  <si>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</si>
  <si>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</si>
  <si>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</si>
  <si>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</si>
  <si>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</si>
  <si>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</si>
  <si>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</si>
  <si>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</si>
  <si>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</si>
  <si>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</si>
  <si>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</si>
  <si>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</si>
  <si>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</si>
  <si>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</si>
  <si>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</si>
  <si>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</si>
  <si>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</si>
  <si>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</si>
  <si>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</si>
  <si>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</si>
  <si>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</si>
  <si>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</si>
  <si>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Fire Protection</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</si>
  <si>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</si>
  <si>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</si>
  <si>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</si>
  <si>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</si>
  <si>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</si>
  <si>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</si>
  <si>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</si>
  <si>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</si>
  <si>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</si>
  <si>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</si>
  <si>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</si>
  <si>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</si>
  <si>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</si>
  <si>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</si>
  <si>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</si>
  <si>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</si>
  <si>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</si>
  <si>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</si>
  <si>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</si>
  <si>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</si>
  <si>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</si>
  <si>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</si>
  <si>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</si>
  <si>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</si>
  <si>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</si>
  <si>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</si>
  <si>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</si>
  <si>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</si>
  <si>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</si>
  <si>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</si>
  <si>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</si>
  <si>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</si>
  <si>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</si>
  <si>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</si>
  <si>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</si>
  <si>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</si>
  <si>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</si>
  <si>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</si>
  <si>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</si>
  <si>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</si>
  <si>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</si>
  <si>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</si>
  <si>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</si>
  <si>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</si>
  <si>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</si>
  <si>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</si>
  <si>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</si>
  <si>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</si>
  <si>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</si>
  <si>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</si>
  <si>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</si>
  <si>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</si>
  <si>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</si>
  <si>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</si>
  <si>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</si>
  <si>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</si>
  <si>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</si>
  <si>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</si>
  <si>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</si>
  <si>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</si>
  <si>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</si>
  <si>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</si>
  <si>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</si>
  <si>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</si>
  <si>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</si>
  <si>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</si>
  <si>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</si>
  <si>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</si>
  <si>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</si>
  <si>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</si>
  <si>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</si>
  <si>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</si>
  <si>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</si>
  <si>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</si>
  <si>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</si>
  <si>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</si>
  <si>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</si>
  <si>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</si>
  <si>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</si>
  <si>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</si>
  <si>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</si>
  <si>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</si>
  <si>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</si>
  <si>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</si>
  <si>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</si>
  <si>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</si>
  <si>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</si>
  <si>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</si>
  <si>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</si>
  <si>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</si>
  <si>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</si>
  <si>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</si>
  <si>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</si>
  <si>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</si>
  <si>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</si>
  <si>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</si>
  <si>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</si>
  <si>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</si>
  <si>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</si>
  <si>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</si>
  <si>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</si>
  <si>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</si>
  <si>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</si>
  <si>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</si>
  <si>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</si>
  <si>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</si>
  <si>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</si>
  <si>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</si>
  <si>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</si>
  <si>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</si>
  <si>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</si>
  <si>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</si>
  <si>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</si>
  <si>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</si>
  <si>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</si>
  <si>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</si>
  <si>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</si>
  <si>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</si>
  <si>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</si>
  <si>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</si>
  <si>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</si>
  <si>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</si>
  <si>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</si>
  <si>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</si>
  <si>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</si>
  <si>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</si>
  <si>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</si>
  <si>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</si>
  <si>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</si>
  <si>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</si>
  <si>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</si>
  <si>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</si>
  <si>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</si>
  <si>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</si>
  <si>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</si>
  <si>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</si>
  <si>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</si>
  <si>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</si>
  <si>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</si>
  <si>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</si>
  <si>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</si>
  <si>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</si>
  <si>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</si>
  <si>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</si>
  <si>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</si>
  <si>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</si>
  <si>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</si>
  <si>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</si>
  <si>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</si>
  <si>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</si>
  <si>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</si>
  <si>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</si>
  <si>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</si>
  <si>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</si>
  <si>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</si>
  <si>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</si>
  <si>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</si>
  <si>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</si>
  <si>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</si>
  <si>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</si>
  <si>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</si>
  <si>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</si>
  <si>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</si>
  <si>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</si>
  <si>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</si>
  <si>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</si>
  <si>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</si>
  <si>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</si>
  <si>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</si>
  <si>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</si>
  <si>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</si>
  <si>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</si>
  <si>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</si>
  <si>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</si>
  <si>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</si>
  <si>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</si>
  <si>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</si>
  <si>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</si>
  <si>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</si>
  <si>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</si>
  <si>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</si>
  <si>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</si>
  <si>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</si>
  <si>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</si>
  <si>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</si>
  <si>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</si>
  <si>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</si>
  <si>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</si>
  <si>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</si>
  <si>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</si>
  <si>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</si>
  <si>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</si>
  <si>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</si>
  <si>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</si>
  <si>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</si>
  <si>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</si>
  <si>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</si>
  <si>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</si>
  <si>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</si>
  <si>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</si>
  <si>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</si>
  <si>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</si>
  <si>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</si>
  <si>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</si>
  <si>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</si>
  <si>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</si>
  <si>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</si>
  <si>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</si>
  <si>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</si>
  <si>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</si>
  <si>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</si>
  <si>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</si>
  <si>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</si>
  <si>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</si>
  <si>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</si>
  <si>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</si>
  <si>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</si>
  <si>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</si>
  <si>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</si>
  <si>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</si>
  <si>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</si>
  <si>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</si>
  <si>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</si>
  <si>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</si>
  <si>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</si>
  <si>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</si>
  <si>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</si>
  <si>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</si>
  <si>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</si>
  <si>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</si>
  <si>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</si>
  <si>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</si>
  <si>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</si>
  <si>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</si>
  <si>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</si>
  <si>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</si>
  <si>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</si>
  <si>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</si>
  <si>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</si>
  <si>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</si>
  <si>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</si>
  <si>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</si>
  <si>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</si>
  <si>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</si>
  <si>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</si>
  <si>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</si>
  <si>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</si>
  <si>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</si>
  <si>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</si>
  <si>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</si>
  <si>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</si>
  <si>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</si>
  <si>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</si>
  <si>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</si>
  <si>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</si>
  <si>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</si>
  <si>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</si>
  <si>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</si>
  <si>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</si>
  <si>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</si>
  <si>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</si>
  <si>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</si>
  <si>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</si>
  <si>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</si>
  <si>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</si>
  <si>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</si>
  <si>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</si>
  <si>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</si>
  <si>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</si>
  <si>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</si>
  <si>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</si>
  <si>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</si>
  <si>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</si>
  <si>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</si>
  <si>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</si>
  <si>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</si>
  <si>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</si>
  <si>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</si>
  <si>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</si>
  <si>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</si>
  <si>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</si>
  <si>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</si>
  <si>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</si>
  <si>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</si>
  <si>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</si>
  <si>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</si>
  <si>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</si>
  <si>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</si>
  <si>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</si>
  <si>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</si>
  <si>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</si>
  <si>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</si>
  <si>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</si>
  <si>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</si>
  <si>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</si>
  <si>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</si>
  <si>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</si>
  <si>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</si>
  <si>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</si>
  <si>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</si>
  <si>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</si>
  <si>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</si>
  <si>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</si>
  <si>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</si>
  <si>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</si>
  <si>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</si>
  <si>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</si>
  <si>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</si>
  <si>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</si>
  <si>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</si>
  <si>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</si>
  <si>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</si>
  <si>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</si>
  <si>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</si>
  <si>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</si>
  <si>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</si>
  <si>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</si>
  <si>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</si>
  <si>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</si>
  <si>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</si>
  <si>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</si>
  <si>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</si>
  <si>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</si>
  <si>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</si>
  <si>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</si>
  <si>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</si>
  <si>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</si>
  <si>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</si>
  <si>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</si>
  <si>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</si>
  <si>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</si>
  <si>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</si>
  <si>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</si>
  <si>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</si>
  <si>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</si>
  <si>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</si>
  <si>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</si>
  <si>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</si>
  <si>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</si>
  <si>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</si>
  <si>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</si>
  <si>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</si>
  <si>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</si>
  <si>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</si>
  <si>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</si>
  <si>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</si>
  <si>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</si>
  <si>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</si>
  <si>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</si>
  <si>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</si>
  <si>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</si>
  <si>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</si>
  <si>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</si>
  <si>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</si>
  <si>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</si>
  <si>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</si>
  <si>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</si>
  <si>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</si>
  <si>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</si>
  <si>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</si>
  <si>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</si>
  <si>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</si>
  <si>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</si>
  <si>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</si>
  <si>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</si>
  <si>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</si>
  <si>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</si>
  <si>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</si>
  <si>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</si>
  <si>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</si>
  <si>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</si>
  <si>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</si>
  <si>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</si>
  <si>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</si>
  <si>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</si>
  <si>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</si>
  <si>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</si>
  <si>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</si>
  <si>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</si>
  <si>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</si>
  <si>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</si>
  <si>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</si>
  <si>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</si>
  <si>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</si>
  <si>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</si>
  <si>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Fire</t>
  </si>
  <si>
    <t>Unpaid bills for 2010</t>
  </si>
  <si>
    <t>ERVING TOWNSHIP</t>
  </si>
  <si>
    <t>Cemetery</t>
  </si>
  <si>
    <t>August 1, 2011</t>
  </si>
  <si>
    <t>10:00 A.M.</t>
  </si>
  <si>
    <t>409 40 Road, Richard Stearn's Farm</t>
  </si>
  <si>
    <t>Fire Protection - City of Downs</t>
  </si>
  <si>
    <t>Operations - mowing</t>
  </si>
  <si>
    <t>Richard Stearns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</si>
</sst>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35" borderId="15" xfId="0" applyFont="1" applyFill="1" applyBorder="1" applyAlignment="1">
      <alignment horizontal="center"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673</v>
      </c>
    </row>
    <row r="3" ht="34.5" customHeight="1">
      <c r="A3" s="386" t="s">
        <v>662</v>
      </c>
    </row>
    <row r="4" ht="15">
      <c r="A4" s="389"/>
    </row>
    <row r="5" ht="52.5" customHeight="1">
      <c r="A5" s="385" t="s">
        <v>133</v>
      </c>
    </row>
    <row r="6" ht="15">
      <c r="A6" s="385"/>
    </row>
    <row r="7" ht="34.5" customHeight="1">
      <c r="A7" s="385" t="s">
        <v>151</v>
      </c>
    </row>
    <row r="8" ht="15">
      <c r="A8" s="385"/>
    </row>
    <row r="9" ht="15">
      <c r="A9" s="385" t="s">
        <v>663</v>
      </c>
    </row>
    <row r="12" ht="15">
      <c r="A12" s="387" t="s">
        <v>24</v>
      </c>
    </row>
    <row r="13" ht="15">
      <c r="A13" s="387"/>
    </row>
    <row r="14" ht="18.75" customHeight="1">
      <c r="A14" s="389" t="s">
        <v>26</v>
      </c>
    </row>
    <row r="16" ht="39" customHeight="1">
      <c r="A16" s="390" t="s">
        <v>165</v>
      </c>
    </row>
    <row r="17" ht="9.75" customHeight="1">
      <c r="A17" s="390"/>
    </row>
    <row r="20" ht="15">
      <c r="A20" s="387" t="s">
        <v>664</v>
      </c>
    </row>
    <row r="22" ht="34.5" customHeight="1">
      <c r="A22" s="385" t="s">
        <v>27</v>
      </c>
    </row>
    <row r="23" ht="9.75" customHeight="1">
      <c r="A23" s="385"/>
    </row>
    <row r="24" ht="15">
      <c r="A24" s="391" t="s">
        <v>665</v>
      </c>
    </row>
    <row r="25" ht="15">
      <c r="A25" s="385"/>
    </row>
    <row r="26" ht="17.25" customHeight="1">
      <c r="A26" s="392" t="s">
        <v>666</v>
      </c>
    </row>
    <row r="27" ht="17.25" customHeight="1">
      <c r="A27" s="393"/>
    </row>
    <row r="28" ht="87.75" customHeight="1">
      <c r="A28" s="394" t="s">
        <v>689</v>
      </c>
    </row>
    <row r="30" ht="15">
      <c r="A30" s="395" t="s">
        <v>667</v>
      </c>
    </row>
    <row r="32" ht="15">
      <c r="A32" s="148" t="s">
        <v>25</v>
      </c>
    </row>
    <row r="34" ht="15">
      <c r="A34" s="385" t="s">
        <v>668</v>
      </c>
    </row>
    <row r="37" ht="15">
      <c r="A37" s="387" t="s">
        <v>669</v>
      </c>
    </row>
    <row r="39" ht="78" customHeight="1">
      <c r="A39" s="385" t="s">
        <v>670</v>
      </c>
    </row>
    <row r="40" ht="57.75" customHeight="1">
      <c r="A40" s="396" t="s">
        <v>671</v>
      </c>
    </row>
    <row r="41" ht="10.5" customHeight="1">
      <c r="A41" s="385"/>
    </row>
    <row r="42" ht="74.25" customHeight="1">
      <c r="A42" s="385" t="s">
        <v>7</v>
      </c>
    </row>
    <row r="43" ht="59.25" customHeight="1">
      <c r="A43" s="385" t="s">
        <v>672</v>
      </c>
    </row>
    <row r="44" ht="84.75" customHeight="1">
      <c r="A44" s="385" t="s">
        <v>69</v>
      </c>
    </row>
    <row r="45" ht="12" customHeight="1">
      <c r="A45" s="385"/>
    </row>
    <row r="46" ht="73.5" customHeight="1">
      <c r="A46" s="422" t="s">
        <v>408</v>
      </c>
    </row>
    <row r="47" ht="69.75" customHeight="1">
      <c r="A47" s="418" t="s">
        <v>409</v>
      </c>
    </row>
    <row r="48" ht="12" customHeight="1">
      <c r="A48" s="385"/>
    </row>
    <row r="49" ht="68.25" customHeight="1">
      <c r="A49" s="385" t="s">
        <v>410</v>
      </c>
    </row>
    <row r="50" ht="74.25" customHeight="1">
      <c r="A50" s="385" t="s">
        <v>411</v>
      </c>
    </row>
    <row r="51" ht="50.25" customHeight="1">
      <c r="A51" s="385" t="s">
        <v>412</v>
      </c>
    </row>
    <row r="52" ht="15.75" customHeight="1"/>
    <row r="53" ht="80.25" customHeight="1">
      <c r="A53" s="385" t="s">
        <v>413</v>
      </c>
    </row>
    <row r="54" ht="40.5" customHeight="1">
      <c r="A54" s="385" t="s">
        <v>414</v>
      </c>
    </row>
    <row r="55" ht="45" customHeight="1">
      <c r="A55" s="385" t="s">
        <v>415</v>
      </c>
    </row>
    <row r="56" ht="15">
      <c r="A56" s="385"/>
    </row>
    <row r="57" ht="68.25" customHeight="1">
      <c r="A57" s="385" t="s">
        <v>416</v>
      </c>
    </row>
    <row r="58" ht="15">
      <c r="A58" s="385"/>
    </row>
    <row r="59" ht="40.5" customHeight="1">
      <c r="A59" s="385" t="s">
        <v>417</v>
      </c>
    </row>
    <row r="60" ht="34.5" customHeight="1">
      <c r="A60" s="385" t="s">
        <v>448</v>
      </c>
    </row>
    <row r="61" ht="77.25" customHeight="1">
      <c r="A61" s="385" t="s">
        <v>449</v>
      </c>
    </row>
    <row r="62" ht="41.25" customHeight="1">
      <c r="A62" s="385" t="s">
        <v>446</v>
      </c>
    </row>
    <row r="63" ht="41.25" customHeight="1">
      <c r="A63" s="385" t="s">
        <v>447</v>
      </c>
    </row>
    <row r="64" ht="9" customHeight="1">
      <c r="A64" s="385"/>
    </row>
    <row r="65" ht="58.5" customHeight="1">
      <c r="A65" s="385" t="s">
        <v>418</v>
      </c>
    </row>
    <row r="66" ht="9.75" customHeight="1"/>
    <row r="67" s="385" customFormat="1" ht="69" customHeight="1">
      <c r="A67" s="385" t="s">
        <v>419</v>
      </c>
    </row>
    <row r="68" ht="6.75" customHeight="1"/>
    <row r="69" ht="70.5" customHeight="1">
      <c r="A69" s="385" t="s">
        <v>420</v>
      </c>
    </row>
    <row r="70" ht="60" customHeight="1">
      <c r="A70" s="385" t="s">
        <v>421</v>
      </c>
    </row>
    <row r="71" ht="117.75" customHeight="1">
      <c r="A71" s="385" t="s">
        <v>422</v>
      </c>
    </row>
    <row r="72" ht="59.25" customHeight="1">
      <c r="A72" s="385" t="s">
        <v>423</v>
      </c>
    </row>
    <row r="73" ht="84.75" customHeight="1">
      <c r="A73" s="385" t="s">
        <v>424</v>
      </c>
    </row>
    <row r="74" ht="102.75" customHeight="1">
      <c r="A74" s="385" t="s">
        <v>425</v>
      </c>
    </row>
    <row r="75" ht="102.75" customHeight="1">
      <c r="A75" s="397" t="s">
        <v>426</v>
      </c>
    </row>
    <row r="76" ht="84.75" customHeight="1">
      <c r="A76" s="388" t="s">
        <v>427</v>
      </c>
    </row>
    <row r="77" ht="115.5" customHeight="1">
      <c r="A77" s="385" t="s">
        <v>428</v>
      </c>
    </row>
    <row r="78" ht="78" customHeight="1">
      <c r="A78" s="397" t="s">
        <v>429</v>
      </c>
    </row>
    <row r="79" ht="124.5" customHeight="1">
      <c r="A79" s="397" t="s">
        <v>430</v>
      </c>
    </row>
    <row r="80" ht="138" customHeight="1">
      <c r="A80" s="385" t="s">
        <v>431</v>
      </c>
    </row>
    <row r="81" ht="147" customHeight="1">
      <c r="A81" s="385" t="s">
        <v>432</v>
      </c>
    </row>
    <row r="82" ht="101.25" customHeight="1">
      <c r="A82" s="385" t="s">
        <v>433</v>
      </c>
    </row>
    <row r="84" ht="102.75" customHeight="1">
      <c r="A84" s="385" t="s">
        <v>434</v>
      </c>
    </row>
    <row r="85" ht="89.25" customHeight="1">
      <c r="A85" s="397" t="s">
        <v>435</v>
      </c>
    </row>
    <row r="86" ht="57" customHeight="1">
      <c r="A86" s="397" t="s">
        <v>436</v>
      </c>
    </row>
    <row r="87" ht="20.25" customHeight="1">
      <c r="A87" s="385" t="s">
        <v>437</v>
      </c>
    </row>
    <row r="89" ht="53.25" customHeight="1">
      <c r="A89" s="385" t="s">
        <v>438</v>
      </c>
    </row>
    <row r="90" ht="21" customHeight="1">
      <c r="A90" s="385" t="s">
        <v>442</v>
      </c>
    </row>
    <row r="91" ht="33.75" customHeight="1">
      <c r="A91" s="385" t="s">
        <v>439</v>
      </c>
    </row>
    <row r="92" ht="51.75" customHeight="1">
      <c r="A92" s="385" t="s">
        <v>440</v>
      </c>
    </row>
    <row r="93" ht="14.25" customHeight="1"/>
    <row r="94" ht="69.75" customHeight="1">
      <c r="A94" s="385" t="s">
        <v>441</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ERVING TOWNSHIP</v>
      </c>
      <c r="B1" s="196"/>
      <c r="C1" s="196"/>
      <c r="D1" s="196"/>
      <c r="E1" s="196"/>
      <c r="F1" s="196"/>
      <c r="G1" s="196"/>
      <c r="H1" s="196"/>
      <c r="I1" s="14"/>
      <c r="J1" s="14"/>
      <c r="K1" s="15">
        <f>inputPrYr!D5</f>
        <v>2012</v>
      </c>
    </row>
    <row r="2" spans="1:11" ht="15">
      <c r="A2" s="195" t="str">
        <f>inputPrYr!$D$3</f>
        <v>JEWELL COUNTY</v>
      </c>
      <c r="B2" s="196"/>
      <c r="C2" s="196"/>
      <c r="D2" s="196"/>
      <c r="E2" s="196"/>
      <c r="F2" s="196"/>
      <c r="G2" s="196"/>
      <c r="H2" s="196"/>
      <c r="I2" s="14"/>
      <c r="J2" s="14"/>
      <c r="K2" s="59"/>
    </row>
    <row r="3" spans="1:11" ht="15">
      <c r="A3" s="198" t="s">
        <v>553</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528</v>
      </c>
      <c r="C5" s="200" t="s">
        <v>536</v>
      </c>
      <c r="D5" s="200"/>
      <c r="E5" s="200" t="s">
        <v>475</v>
      </c>
      <c r="F5" s="201"/>
      <c r="G5" s="202"/>
      <c r="H5" s="201" t="s">
        <v>529</v>
      </c>
      <c r="I5" s="202"/>
      <c r="J5" s="201" t="s">
        <v>529</v>
      </c>
      <c r="K5" s="202"/>
    </row>
    <row r="6" spans="1:11" ht="15">
      <c r="A6" s="14"/>
      <c r="B6" s="203" t="s">
        <v>530</v>
      </c>
      <c r="C6" s="203" t="s">
        <v>474</v>
      </c>
      <c r="D6" s="203" t="s">
        <v>475</v>
      </c>
      <c r="E6" s="203" t="s">
        <v>602</v>
      </c>
      <c r="F6" s="204" t="s">
        <v>531</v>
      </c>
      <c r="G6" s="205"/>
      <c r="H6" s="204">
        <f>K1-1</f>
        <v>2011</v>
      </c>
      <c r="I6" s="205"/>
      <c r="J6" s="204">
        <f>K1</f>
        <v>2012</v>
      </c>
      <c r="K6" s="205"/>
    </row>
    <row r="7" spans="1:11" ht="15">
      <c r="A7" s="206" t="s">
        <v>532</v>
      </c>
      <c r="B7" s="207" t="s">
        <v>533</v>
      </c>
      <c r="C7" s="207" t="s">
        <v>500</v>
      </c>
      <c r="D7" s="207" t="s">
        <v>534</v>
      </c>
      <c r="E7" s="208" t="str">
        <f>CONCATENATE("Jan 1,",K1-1,"")</f>
        <v>Jan 1,2011</v>
      </c>
      <c r="F7" s="209" t="s">
        <v>536</v>
      </c>
      <c r="G7" s="209" t="s">
        <v>537</v>
      </c>
      <c r="H7" s="209" t="s">
        <v>536</v>
      </c>
      <c r="I7" s="209" t="s">
        <v>537</v>
      </c>
      <c r="J7" s="209" t="s">
        <v>536</v>
      </c>
      <c r="K7" s="209" t="s">
        <v>537</v>
      </c>
    </row>
    <row r="8" spans="1:11" ht="15">
      <c r="A8" s="210" t="s">
        <v>523</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636</v>
      </c>
      <c r="B11" s="219"/>
      <c r="C11" s="220"/>
      <c r="D11" s="33"/>
      <c r="E11" s="186">
        <f>SUM(E9:E10)</f>
        <v>0</v>
      </c>
      <c r="F11" s="221"/>
      <c r="G11" s="221"/>
      <c r="H11" s="186">
        <f>SUM(H9:H10)</f>
        <v>0</v>
      </c>
      <c r="I11" s="186">
        <f>SUM(I9:I10)</f>
        <v>0</v>
      </c>
      <c r="J11" s="186">
        <f>SUM(J9:J10)</f>
        <v>0</v>
      </c>
      <c r="K11" s="186">
        <f>SUM(K9:K10)</f>
        <v>0</v>
      </c>
    </row>
    <row r="12" spans="1:11" ht="15">
      <c r="A12" s="95" t="s">
        <v>492</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637</v>
      </c>
      <c r="B15" s="219"/>
      <c r="C15" s="220"/>
      <c r="D15" s="33"/>
      <c r="E15" s="186">
        <f>SUM(E13:E14)</f>
        <v>0</v>
      </c>
      <c r="F15" s="221"/>
      <c r="G15" s="221"/>
      <c r="H15" s="186">
        <f>SUM(H13:H14)</f>
        <v>0</v>
      </c>
      <c r="I15" s="186">
        <f>SUM(I13:I14)</f>
        <v>0</v>
      </c>
      <c r="J15" s="186">
        <f>SUM(J13:J14)</f>
        <v>0</v>
      </c>
      <c r="K15" s="186">
        <f>SUM(K13:K14)</f>
        <v>0</v>
      </c>
    </row>
    <row r="16" spans="1:11" ht="15">
      <c r="A16" s="222" t="s">
        <v>555</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552</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535</v>
      </c>
      <c r="D20" s="182"/>
      <c r="E20" s="200" t="s">
        <v>84</v>
      </c>
      <c r="F20" s="182"/>
      <c r="G20" s="182"/>
      <c r="H20" s="182"/>
      <c r="I20" s="233"/>
      <c r="J20" s="234"/>
      <c r="K20" s="229"/>
    </row>
    <row r="21" spans="1:11" s="230" customFormat="1" ht="15">
      <c r="A21" s="235"/>
      <c r="B21" s="203"/>
      <c r="C21" s="203" t="s">
        <v>530</v>
      </c>
      <c r="D21" s="203" t="s">
        <v>536</v>
      </c>
      <c r="E21" s="203" t="s">
        <v>475</v>
      </c>
      <c r="F21" s="203" t="s">
        <v>537</v>
      </c>
      <c r="G21" s="203" t="s">
        <v>538</v>
      </c>
      <c r="H21" s="203" t="s">
        <v>538</v>
      </c>
      <c r="I21" s="229"/>
      <c r="J21" s="229"/>
      <c r="K21" s="229"/>
    </row>
    <row r="22" spans="1:11" s="230" customFormat="1" ht="15">
      <c r="A22" s="235"/>
      <c r="B22" s="203" t="s">
        <v>539</v>
      </c>
      <c r="C22" s="203" t="s">
        <v>540</v>
      </c>
      <c r="D22" s="203" t="s">
        <v>474</v>
      </c>
      <c r="E22" s="203" t="s">
        <v>541</v>
      </c>
      <c r="F22" s="203" t="s">
        <v>586</v>
      </c>
      <c r="G22" s="203" t="s">
        <v>542</v>
      </c>
      <c r="H22" s="203" t="s">
        <v>542</v>
      </c>
      <c r="I22" s="229"/>
      <c r="J22" s="229"/>
      <c r="K22" s="229"/>
    </row>
    <row r="23" spans="1:11" s="230" customFormat="1" ht="15">
      <c r="A23" s="236" t="s">
        <v>543</v>
      </c>
      <c r="B23" s="207" t="s">
        <v>528</v>
      </c>
      <c r="C23" s="237" t="s">
        <v>544</v>
      </c>
      <c r="D23" s="207" t="s">
        <v>500</v>
      </c>
      <c r="E23" s="237" t="s">
        <v>603</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555</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49</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40">
      <selection activeCell="G30" sqref="G30"/>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ERVING TOWNSHIP</v>
      </c>
      <c r="B1" s="14"/>
      <c r="C1" s="14"/>
      <c r="D1" s="14"/>
      <c r="E1" s="14"/>
      <c r="F1" s="14"/>
      <c r="G1" s="15">
        <f>inputPrYr!D5</f>
        <v>2012</v>
      </c>
    </row>
    <row r="2" spans="1:7" ht="15">
      <c r="A2" s="17" t="s">
        <v>547</v>
      </c>
      <c r="B2" s="14"/>
      <c r="C2" s="14"/>
      <c r="D2" s="14"/>
      <c r="E2" s="14"/>
      <c r="F2" s="14"/>
      <c r="G2" s="18"/>
    </row>
    <row r="3" spans="1:7" ht="15">
      <c r="A3" s="14"/>
      <c r="B3" s="19"/>
      <c r="C3" s="20"/>
      <c r="D3" s="20"/>
      <c r="E3" s="20"/>
      <c r="F3" s="20"/>
      <c r="G3" s="21"/>
    </row>
    <row r="4" spans="1:7" ht="15">
      <c r="A4" s="22" t="s">
        <v>481</v>
      </c>
      <c r="B4" s="19"/>
      <c r="C4" s="489" t="s">
        <v>482</v>
      </c>
      <c r="D4" s="490"/>
      <c r="E4" s="493" t="s">
        <v>483</v>
      </c>
      <c r="F4" s="494"/>
      <c r="G4" s="23" t="s">
        <v>484</v>
      </c>
    </row>
    <row r="5" spans="1:7" ht="15">
      <c r="A5" s="24" t="str">
        <f>inputPrYr!B16</f>
        <v>General</v>
      </c>
      <c r="B5" s="25"/>
      <c r="C5" s="491" t="str">
        <f>CONCATENATE("Actual ",$G$1-2,"")</f>
        <v>Actual 2010</v>
      </c>
      <c r="D5" s="492"/>
      <c r="E5" s="491" t="str">
        <f>CONCATENATE("Estimate ",$G$1-1,"")</f>
        <v>Estimate 2011</v>
      </c>
      <c r="F5" s="492"/>
      <c r="G5" s="27" t="str">
        <f>CONCATENATE("Year ",$G$1,"")</f>
        <v>Year 2012</v>
      </c>
    </row>
    <row r="6" spans="1:7" ht="15">
      <c r="A6" s="28" t="s">
        <v>598</v>
      </c>
      <c r="B6" s="29"/>
      <c r="C6" s="476">
        <v>220</v>
      </c>
      <c r="D6" s="477"/>
      <c r="E6" s="485">
        <f>C51</f>
        <v>247</v>
      </c>
      <c r="F6" s="486"/>
      <c r="G6" s="33">
        <f>E51</f>
        <v>163</v>
      </c>
    </row>
    <row r="7" spans="1:7" ht="15">
      <c r="A7" s="28" t="s">
        <v>600</v>
      </c>
      <c r="B7" s="29"/>
      <c r="C7" s="485"/>
      <c r="D7" s="486"/>
      <c r="E7" s="485"/>
      <c r="F7" s="486"/>
      <c r="G7" s="34"/>
    </row>
    <row r="8" spans="1:7" ht="15">
      <c r="A8" s="28" t="s">
        <v>487</v>
      </c>
      <c r="B8" s="29"/>
      <c r="C8" s="476">
        <f>87.91+1.02+36.67+3.27</f>
        <v>128.87</v>
      </c>
      <c r="D8" s="477"/>
      <c r="E8" s="485">
        <f>inputPrYr!E16</f>
        <v>150</v>
      </c>
      <c r="F8" s="486"/>
      <c r="G8" s="34" t="s">
        <v>98</v>
      </c>
    </row>
    <row r="9" spans="1:7" ht="15">
      <c r="A9" s="28" t="s">
        <v>488</v>
      </c>
      <c r="B9" s="29"/>
      <c r="C9" s="476">
        <v>1</v>
      </c>
      <c r="D9" s="477"/>
      <c r="E9" s="476"/>
      <c r="F9" s="477"/>
      <c r="G9" s="35"/>
    </row>
    <row r="10" spans="1:7" ht="15">
      <c r="A10" s="28" t="s">
        <v>489</v>
      </c>
      <c r="B10" s="29"/>
      <c r="C10" s="476">
        <f>2.43+0.12+1.44+2.13+0.04</f>
        <v>6.16</v>
      </c>
      <c r="D10" s="477"/>
      <c r="E10" s="476">
        <v>9</v>
      </c>
      <c r="F10" s="477"/>
      <c r="G10" s="33">
        <f>mvalloc!G11</f>
        <v>9</v>
      </c>
    </row>
    <row r="11" spans="1:7" ht="15">
      <c r="A11" s="28" t="s">
        <v>490</v>
      </c>
      <c r="B11" s="29"/>
      <c r="C11" s="476">
        <v>0</v>
      </c>
      <c r="D11" s="477"/>
      <c r="E11" s="476">
        <v>0</v>
      </c>
      <c r="F11" s="477"/>
      <c r="G11" s="33">
        <f>mvalloc!I11</f>
        <v>0</v>
      </c>
    </row>
    <row r="12" spans="1:7" ht="15">
      <c r="A12" s="36" t="s">
        <v>545</v>
      </c>
      <c r="B12" s="29"/>
      <c r="C12" s="476">
        <f>1.38+0.94+0.03</f>
        <v>2.3499999999999996</v>
      </c>
      <c r="D12" s="477"/>
      <c r="E12" s="476">
        <v>3</v>
      </c>
      <c r="F12" s="477"/>
      <c r="G12" s="33">
        <f>mvalloc!J11</f>
        <v>5</v>
      </c>
    </row>
    <row r="13" spans="1:7" ht="15">
      <c r="A13" s="36" t="s">
        <v>643</v>
      </c>
      <c r="B13" s="29"/>
      <c r="C13" s="476"/>
      <c r="D13" s="477"/>
      <c r="E13" s="476"/>
      <c r="F13" s="477"/>
      <c r="G13" s="33" t="str">
        <f>inputOth!E34</f>
        <v> </v>
      </c>
    </row>
    <row r="14" spans="1:7" ht="15">
      <c r="A14" s="36" t="s">
        <v>644</v>
      </c>
      <c r="B14" s="29"/>
      <c r="C14" s="476"/>
      <c r="D14" s="477"/>
      <c r="E14" s="476"/>
      <c r="F14" s="477"/>
      <c r="G14" s="33">
        <f>mvalloc!K11</f>
        <v>0</v>
      </c>
    </row>
    <row r="15" spans="1:7" ht="15">
      <c r="A15" s="36"/>
      <c r="B15" s="29"/>
      <c r="C15" s="476"/>
      <c r="D15" s="477"/>
      <c r="E15" s="476"/>
      <c r="F15" s="477"/>
      <c r="G15" s="37"/>
    </row>
    <row r="16" spans="1:7" ht="15">
      <c r="A16" s="28" t="s">
        <v>491</v>
      </c>
      <c r="B16" s="29"/>
      <c r="C16" s="476"/>
      <c r="D16" s="477"/>
      <c r="E16" s="476"/>
      <c r="F16" s="477"/>
      <c r="G16" s="33">
        <f>inputOth!E12</f>
        <v>0</v>
      </c>
    </row>
    <row r="17" spans="1:7" ht="15">
      <c r="A17" s="38"/>
      <c r="B17" s="39"/>
      <c r="C17" s="476"/>
      <c r="D17" s="477"/>
      <c r="E17" s="476"/>
      <c r="F17" s="477"/>
      <c r="G17" s="35"/>
    </row>
    <row r="18" spans="1:7" ht="15">
      <c r="A18" s="38"/>
      <c r="B18" s="39"/>
      <c r="C18" s="476"/>
      <c r="D18" s="477"/>
      <c r="E18" s="476"/>
      <c r="F18" s="477"/>
      <c r="G18" s="35"/>
    </row>
    <row r="19" spans="1:7" ht="15">
      <c r="A19" s="40"/>
      <c r="B19" s="39"/>
      <c r="C19" s="476"/>
      <c r="D19" s="477"/>
      <c r="E19" s="476"/>
      <c r="F19" s="477"/>
      <c r="G19" s="35"/>
    </row>
    <row r="20" spans="1:7" ht="15">
      <c r="A20" s="40"/>
      <c r="B20" s="39"/>
      <c r="C20" s="476"/>
      <c r="D20" s="477"/>
      <c r="E20" s="476"/>
      <c r="F20" s="477"/>
      <c r="G20" s="35"/>
    </row>
    <row r="21" spans="1:7" ht="15">
      <c r="A21" s="40"/>
      <c r="B21" s="39"/>
      <c r="C21" s="476"/>
      <c r="D21" s="477"/>
      <c r="E21" s="476"/>
      <c r="F21" s="477"/>
      <c r="G21" s="35"/>
    </row>
    <row r="22" spans="1:7" ht="15">
      <c r="A22" s="38"/>
      <c r="B22" s="39"/>
      <c r="C22" s="476"/>
      <c r="D22" s="477"/>
      <c r="E22" s="476"/>
      <c r="F22" s="477"/>
      <c r="G22" s="35"/>
    </row>
    <row r="23" spans="1:7" ht="15">
      <c r="A23" s="40" t="s">
        <v>493</v>
      </c>
      <c r="B23" s="39"/>
      <c r="C23" s="476"/>
      <c r="D23" s="477"/>
      <c r="E23" s="476"/>
      <c r="F23" s="477"/>
      <c r="G23" s="35"/>
    </row>
    <row r="24" spans="1:7" ht="15">
      <c r="A24" s="41" t="s">
        <v>14</v>
      </c>
      <c r="B24" s="42"/>
      <c r="C24" s="476"/>
      <c r="D24" s="477"/>
      <c r="E24" s="476"/>
      <c r="F24" s="477"/>
      <c r="G24" s="31"/>
    </row>
    <row r="25" spans="1:7" ht="15">
      <c r="A25" s="41" t="s">
        <v>15</v>
      </c>
      <c r="B25" s="42"/>
      <c r="C25" s="469">
        <f>IF(C26*0.1&lt;C24,"Exceed 10% Rule","")</f>
      </c>
      <c r="D25" s="478"/>
      <c r="E25" s="469">
        <f>IF(E26*0.1&lt;E24,"Exceed 10% Rule","")</f>
      </c>
      <c r="F25" s="478"/>
      <c r="G25" s="43">
        <f>IF(G26*0.1+G56&lt;G24,"Exceed 10% Rule","")</f>
      </c>
    </row>
    <row r="26" spans="1:7" ht="15">
      <c r="A26" s="44" t="s">
        <v>494</v>
      </c>
      <c r="B26" s="29"/>
      <c r="C26" s="487">
        <f>SUM(C8:C24)</f>
        <v>138.38</v>
      </c>
      <c r="D26" s="488"/>
      <c r="E26" s="487">
        <f>SUM(E8:E24)</f>
        <v>162</v>
      </c>
      <c r="F26" s="488"/>
      <c r="G26" s="46">
        <f>SUM(G8:G24)</f>
        <v>14</v>
      </c>
    </row>
    <row r="27" spans="1:7" ht="15">
      <c r="A27" s="47" t="s">
        <v>495</v>
      </c>
      <c r="B27" s="29"/>
      <c r="C27" s="487">
        <f>C26+C6</f>
        <v>358.38</v>
      </c>
      <c r="D27" s="488"/>
      <c r="E27" s="487">
        <f>E26+E6</f>
        <v>409</v>
      </c>
      <c r="F27" s="488"/>
      <c r="G27" s="46">
        <f>G26+G6</f>
        <v>177</v>
      </c>
    </row>
    <row r="28" spans="1:7" ht="15">
      <c r="A28" s="28" t="s">
        <v>496</v>
      </c>
      <c r="B28" s="29"/>
      <c r="C28" s="485"/>
      <c r="D28" s="486"/>
      <c r="E28" s="485"/>
      <c r="F28" s="486"/>
      <c r="G28" s="33"/>
    </row>
    <row r="29" spans="1:7" ht="15">
      <c r="A29" s="38" t="s">
        <v>302</v>
      </c>
      <c r="B29" s="39"/>
      <c r="C29" s="476">
        <f>25+60.38</f>
        <v>85.38</v>
      </c>
      <c r="D29" s="477"/>
      <c r="E29" s="476">
        <v>246</v>
      </c>
      <c r="F29" s="477"/>
      <c r="G29" s="35">
        <v>307</v>
      </c>
    </row>
    <row r="30" spans="1:7" ht="15">
      <c r="A30" s="40" t="s">
        <v>581</v>
      </c>
      <c r="B30" s="39"/>
      <c r="C30" s="476">
        <f>13+13</f>
        <v>26</v>
      </c>
      <c r="D30" s="477"/>
      <c r="E30" s="476"/>
      <c r="F30" s="477"/>
      <c r="G30" s="35"/>
    </row>
    <row r="31" spans="1:7" ht="15">
      <c r="A31" s="40" t="s">
        <v>606</v>
      </c>
      <c r="B31" s="39"/>
      <c r="C31" s="476"/>
      <c r="D31" s="477"/>
      <c r="E31" s="476"/>
      <c r="F31" s="477"/>
      <c r="G31" s="35"/>
    </row>
    <row r="32" spans="1:7" ht="15">
      <c r="A32" s="40" t="s">
        <v>582</v>
      </c>
      <c r="B32" s="39"/>
      <c r="C32" s="476"/>
      <c r="D32" s="477"/>
      <c r="E32" s="476"/>
      <c r="F32" s="477"/>
      <c r="G32" s="35"/>
    </row>
    <row r="33" spans="1:7" ht="15">
      <c r="A33" s="40" t="s">
        <v>507</v>
      </c>
      <c r="B33" s="39"/>
      <c r="C33" s="476"/>
      <c r="D33" s="477"/>
      <c r="E33" s="476"/>
      <c r="F33" s="477"/>
      <c r="G33" s="35"/>
    </row>
    <row r="34" spans="1:7" ht="15">
      <c r="A34" s="38" t="s">
        <v>583</v>
      </c>
      <c r="B34" s="39"/>
      <c r="C34" s="476"/>
      <c r="D34" s="477"/>
      <c r="E34" s="476"/>
      <c r="F34" s="477"/>
      <c r="G34" s="35"/>
    </row>
    <row r="35" spans="1:7" ht="15">
      <c r="A35" s="38" t="s">
        <v>607</v>
      </c>
      <c r="B35" s="39"/>
      <c r="C35" s="476"/>
      <c r="D35" s="477"/>
      <c r="E35" s="476"/>
      <c r="F35" s="477"/>
      <c r="G35" s="35"/>
    </row>
    <row r="36" spans="1:7" ht="15">
      <c r="A36" s="40" t="s">
        <v>609</v>
      </c>
      <c r="B36" s="39"/>
      <c r="C36" s="476"/>
      <c r="D36" s="477"/>
      <c r="E36" s="476"/>
      <c r="F36" s="477"/>
      <c r="G36" s="35"/>
    </row>
    <row r="37" spans="1:7" ht="15">
      <c r="A37" s="40" t="s">
        <v>303</v>
      </c>
      <c r="B37" s="39"/>
      <c r="C37" s="476"/>
      <c r="D37" s="477"/>
      <c r="E37" s="476"/>
      <c r="F37" s="477"/>
      <c r="G37" s="35"/>
    </row>
    <row r="38" spans="1:7" ht="15">
      <c r="A38" s="38" t="s">
        <v>304</v>
      </c>
      <c r="B38" s="39"/>
      <c r="C38" s="476"/>
      <c r="D38" s="477"/>
      <c r="E38" s="476"/>
      <c r="F38" s="477"/>
      <c r="G38" s="35"/>
    </row>
    <row r="39" spans="1:7" ht="15">
      <c r="A39" s="40"/>
      <c r="B39" s="39"/>
      <c r="C39" s="476"/>
      <c r="D39" s="477"/>
      <c r="E39" s="476"/>
      <c r="F39" s="477"/>
      <c r="G39" s="35"/>
    </row>
    <row r="40" spans="1:7" ht="15">
      <c r="A40" s="40" t="s">
        <v>691</v>
      </c>
      <c r="B40" s="39"/>
      <c r="C40" s="476" t="s">
        <v>86</v>
      </c>
      <c r="D40" s="477"/>
      <c r="E40" s="476"/>
      <c r="F40" s="477"/>
      <c r="G40" s="35"/>
    </row>
    <row r="41" spans="1:7" ht="15">
      <c r="A41" s="38"/>
      <c r="B41" s="39"/>
      <c r="C41" s="476"/>
      <c r="D41" s="477"/>
      <c r="E41" s="476"/>
      <c r="F41" s="477"/>
      <c r="G41" s="35"/>
    </row>
    <row r="42" spans="1:7" ht="15">
      <c r="A42" s="40"/>
      <c r="B42" s="39"/>
      <c r="C42" s="476"/>
      <c r="D42" s="477"/>
      <c r="E42" s="476"/>
      <c r="F42" s="477"/>
      <c r="G42" s="35"/>
    </row>
    <row r="43" spans="1:7" ht="15">
      <c r="A43" s="36" t="s">
        <v>76</v>
      </c>
      <c r="B43" s="48"/>
      <c r="C43" s="476"/>
      <c r="D43" s="502"/>
      <c r="E43" s="476"/>
      <c r="F43" s="477"/>
      <c r="G43" s="35"/>
    </row>
    <row r="44" spans="1:7" ht="15">
      <c r="A44" s="36" t="s">
        <v>72</v>
      </c>
      <c r="B44" s="48"/>
      <c r="C44" s="495">
        <f>IF(AND($C$43&gt;0,$C$8&gt;0),"Not Authorized","")</f>
      </c>
      <c r="D44" s="497"/>
      <c r="E44" s="495">
        <f>IF(AND($E$43&gt;0,$E$8&gt;0),"Not Authorized","")</f>
      </c>
      <c r="F44" s="496"/>
      <c r="G44" s="49">
        <f>IF(AND(cert!E20&gt;0,$G$43&gt;0),"Not Authorized","")</f>
      </c>
    </row>
    <row r="45" spans="1:7" ht="15">
      <c r="A45" s="28" t="s">
        <v>77</v>
      </c>
      <c r="B45" s="48"/>
      <c r="C45" s="476"/>
      <c r="D45" s="477"/>
      <c r="E45" s="476"/>
      <c r="F45" s="477"/>
      <c r="G45" s="35"/>
    </row>
    <row r="46" spans="1:8" ht="15">
      <c r="A46" s="28" t="s">
        <v>55</v>
      </c>
      <c r="B46" s="48"/>
      <c r="C46" s="469">
        <f>IF(C27*0.25&lt;C45,"Exceeds 25%","")</f>
      </c>
      <c r="D46" s="470" t="str">
        <f>IF(E28*0.25&lt;E46,"Exceeds 25%","")</f>
        <v>Exceeds 25%</v>
      </c>
      <c r="E46" s="469">
        <f>IF(E27*0.25&lt;E45,"Exceeds 25%","")</f>
      </c>
      <c r="F46" s="471" t="str">
        <f>IF(G28*0.25&lt;G46,"Exceeds 25%","")</f>
        <v>Exceeds 25%</v>
      </c>
      <c r="G46" s="50">
        <f>IF(G27*0.25+G56&lt;G45,"Exceeds 25%","")</f>
      </c>
      <c r="H46" s="16">
        <f>IF(I28*0.25&lt;I46,"Exceeds 25%","")</f>
      </c>
    </row>
    <row r="47" spans="1:7" ht="15">
      <c r="A47" s="36" t="s">
        <v>17</v>
      </c>
      <c r="B47" s="42"/>
      <c r="C47" s="476"/>
      <c r="D47" s="477"/>
      <c r="E47" s="476"/>
      <c r="F47" s="477"/>
      <c r="G47" s="51">
        <f>nhood!E6</f>
      </c>
    </row>
    <row r="48" spans="1:7" ht="15">
      <c r="A48" s="36" t="s">
        <v>14</v>
      </c>
      <c r="B48" s="42"/>
      <c r="C48" s="476"/>
      <c r="D48" s="477"/>
      <c r="E48" s="476"/>
      <c r="F48" s="477"/>
      <c r="G48" s="31"/>
    </row>
    <row r="49" spans="1:7" ht="15">
      <c r="A49" s="36" t="s">
        <v>16</v>
      </c>
      <c r="B49" s="42"/>
      <c r="C49" s="469">
        <f>IF(C50*0.1&lt;C48,"Exceed 10% Rule","")</f>
      </c>
      <c r="D49" s="478"/>
      <c r="E49" s="469">
        <f>IF(E50*0.1&lt;E48,"Exceed 10% Rule","")</f>
      </c>
      <c r="F49" s="478"/>
      <c r="G49" s="43">
        <f>IF(G50*0.1&lt;G48,"Exceed 10% Rule","")</f>
      </c>
    </row>
    <row r="50" spans="1:7" ht="15">
      <c r="A50" s="47" t="s">
        <v>497</v>
      </c>
      <c r="B50" s="29"/>
      <c r="C50" s="498">
        <f>SUM(C29:C48)</f>
        <v>111.38</v>
      </c>
      <c r="D50" s="499"/>
      <c r="E50" s="498">
        <f>SUM(E29:E48)</f>
        <v>246</v>
      </c>
      <c r="F50" s="499"/>
      <c r="G50" s="52">
        <f>SUM(G29:G43,G45,G47:G48)</f>
        <v>307</v>
      </c>
    </row>
    <row r="51" spans="1:7" ht="15">
      <c r="A51" s="28" t="s">
        <v>599</v>
      </c>
      <c r="B51" s="29"/>
      <c r="C51" s="500">
        <f>C27-C50</f>
        <v>247</v>
      </c>
      <c r="D51" s="501"/>
      <c r="E51" s="500">
        <f>SUM(E27-E50)</f>
        <v>163</v>
      </c>
      <c r="F51" s="501"/>
      <c r="G51" s="34" t="s">
        <v>98</v>
      </c>
    </row>
    <row r="52" spans="1:8" ht="15.75">
      <c r="A52" s="54" t="str">
        <f>CONCATENATE("",G1-2,"/",G1-1," Budget Authority Amount:")</f>
        <v>2010/2011 Budget Authority Amount:</v>
      </c>
      <c r="B52" s="55">
        <f>inputOth!B46</f>
        <v>246</v>
      </c>
      <c r="C52" s="56">
        <f>inputPrYr!D16</f>
        <v>275</v>
      </c>
      <c r="D52" s="479" t="s">
        <v>50</v>
      </c>
      <c r="E52" s="480"/>
      <c r="F52" s="481"/>
      <c r="G52" s="35"/>
      <c r="H52" s="57">
        <f>IF(G50/0.95-G50&lt;G52,"Exceeds 5%","")</f>
      </c>
    </row>
    <row r="53" spans="1:7" ht="15">
      <c r="A53" s="54"/>
      <c r="B53" s="58">
        <f>IF(C50&gt;B52,"See Tab A","")</f>
      </c>
      <c r="C53" s="58">
        <f>IF(E50&gt;C52,"See Tab C","")</f>
      </c>
      <c r="D53" s="14"/>
      <c r="E53" s="472" t="s">
        <v>51</v>
      </c>
      <c r="F53" s="473"/>
      <c r="G53" s="33">
        <f>G50+G52</f>
        <v>307</v>
      </c>
    </row>
    <row r="54" spans="1:7" ht="15">
      <c r="A54" s="54"/>
      <c r="B54" s="58">
        <f>IF(C51&lt;0,"See Tab B","")</f>
      </c>
      <c r="C54" s="69">
        <f>IF(E51&lt;0,"See Tab D","")</f>
      </c>
      <c r="D54" s="14"/>
      <c r="E54" s="472" t="s">
        <v>499</v>
      </c>
      <c r="F54" s="473"/>
      <c r="G54" s="51">
        <f>IF(G53-G27&gt;0,G53-G27,0)</f>
        <v>130</v>
      </c>
    </row>
    <row r="55" spans="1:7" ht="15.75">
      <c r="A55" s="59"/>
      <c r="B55" s="59"/>
      <c r="C55" s="59"/>
      <c r="D55" s="474" t="s">
        <v>52</v>
      </c>
      <c r="E55" s="475"/>
      <c r="F55" s="60">
        <f>inputOth!$E$40</f>
        <v>0</v>
      </c>
      <c r="G55" s="33">
        <f>ROUND(IF(F55&gt;0,(G54*F55),0),0)</f>
        <v>0</v>
      </c>
    </row>
    <row r="56" spans="1:7" ht="15">
      <c r="A56" s="14"/>
      <c r="B56" s="14"/>
      <c r="C56" s="482" t="str">
        <f>CONCATENATE("Amount of  ",$G$1-1," Ad Valorem Tax")</f>
        <v>Amount of  2011 Ad Valorem Tax</v>
      </c>
      <c r="D56" s="483"/>
      <c r="E56" s="483"/>
      <c r="F56" s="484"/>
      <c r="G56" s="51">
        <f>G54+G55</f>
        <v>130</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480</v>
      </c>
      <c r="B60" s="65">
        <v>6</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35:D35"/>
    <mergeCell ref="C36:D36"/>
    <mergeCell ref="E53:F53"/>
    <mergeCell ref="C50:D50"/>
    <mergeCell ref="C51:D51"/>
    <mergeCell ref="E50:F50"/>
    <mergeCell ref="E51:F51"/>
    <mergeCell ref="C42:D42"/>
    <mergeCell ref="C43:D43"/>
    <mergeCell ref="C45:D45"/>
    <mergeCell ref="C29:D29"/>
    <mergeCell ref="C30:D30"/>
    <mergeCell ref="C31:D31"/>
    <mergeCell ref="C32:D32"/>
    <mergeCell ref="C44:D44"/>
    <mergeCell ref="C33:D33"/>
    <mergeCell ref="C34:D34"/>
    <mergeCell ref="C37:D37"/>
    <mergeCell ref="C38:D38"/>
    <mergeCell ref="C39:D39"/>
    <mergeCell ref="C40:D40"/>
    <mergeCell ref="C41:D41"/>
    <mergeCell ref="E38:F38"/>
    <mergeCell ref="E39:F39"/>
    <mergeCell ref="E40:F40"/>
    <mergeCell ref="E41:F41"/>
    <mergeCell ref="E29:F29"/>
    <mergeCell ref="E30:F30"/>
    <mergeCell ref="E31:F31"/>
    <mergeCell ref="E32:F32"/>
    <mergeCell ref="E33:F33"/>
    <mergeCell ref="E34:F34"/>
    <mergeCell ref="E45:F45"/>
    <mergeCell ref="E47:F47"/>
    <mergeCell ref="E44:F44"/>
    <mergeCell ref="E35:F35"/>
    <mergeCell ref="E36:F36"/>
    <mergeCell ref="E37:F37"/>
    <mergeCell ref="E42:F42"/>
    <mergeCell ref="E43:F43"/>
    <mergeCell ref="C8:D8"/>
    <mergeCell ref="C9:D9"/>
    <mergeCell ref="C10:D10"/>
    <mergeCell ref="C11:D11"/>
    <mergeCell ref="C12:D12"/>
    <mergeCell ref="C13:D13"/>
    <mergeCell ref="C14:D14"/>
    <mergeCell ref="C19:D19"/>
    <mergeCell ref="E17:F17"/>
    <mergeCell ref="C20:D20"/>
    <mergeCell ref="C21:D21"/>
    <mergeCell ref="C15:D15"/>
    <mergeCell ref="C16:D16"/>
    <mergeCell ref="C17:D17"/>
    <mergeCell ref="C18:D18"/>
    <mergeCell ref="E13:F13"/>
    <mergeCell ref="E14:F14"/>
    <mergeCell ref="E15:F15"/>
    <mergeCell ref="E16:F16"/>
    <mergeCell ref="C22:D22"/>
    <mergeCell ref="E18:F18"/>
    <mergeCell ref="E19:F19"/>
    <mergeCell ref="E20:F20"/>
    <mergeCell ref="E21:F21"/>
    <mergeCell ref="E22:F22"/>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C46:D46"/>
    <mergeCell ref="E46:F46"/>
    <mergeCell ref="E54:F54"/>
    <mergeCell ref="D55:E55"/>
    <mergeCell ref="C47:D47"/>
    <mergeCell ref="C48:D48"/>
    <mergeCell ref="C49:D49"/>
    <mergeCell ref="E48:F48"/>
    <mergeCell ref="E49:F49"/>
    <mergeCell ref="D52:F52"/>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ERVING TOWNSHIP</v>
      </c>
      <c r="B1" s="13"/>
      <c r="C1" s="14"/>
      <c r="D1" s="14"/>
      <c r="E1" s="14"/>
      <c r="F1" s="14"/>
      <c r="G1" s="70">
        <f>inputPrYr!$D$5</f>
        <v>2012</v>
      </c>
    </row>
    <row r="2" spans="1:7" ht="15">
      <c r="A2" s="14"/>
      <c r="B2" s="14"/>
      <c r="C2" s="14"/>
      <c r="D2" s="14"/>
      <c r="E2" s="14"/>
      <c r="F2" s="14"/>
      <c r="G2" s="59"/>
    </row>
    <row r="3" spans="1:7" ht="15">
      <c r="A3" s="17" t="s">
        <v>12</v>
      </c>
      <c r="B3" s="17"/>
      <c r="C3" s="71"/>
      <c r="D3" s="71"/>
      <c r="E3" s="71"/>
      <c r="F3" s="71"/>
      <c r="G3" s="72"/>
    </row>
    <row r="4" spans="1:7" ht="15">
      <c r="A4" s="14"/>
      <c r="B4" s="14"/>
      <c r="C4" s="73"/>
      <c r="D4" s="73"/>
      <c r="E4" s="73"/>
      <c r="F4" s="73"/>
      <c r="G4" s="73"/>
    </row>
    <row r="5" spans="1:7" ht="15">
      <c r="A5" s="22" t="s">
        <v>481</v>
      </c>
      <c r="B5" s="22"/>
      <c r="C5" s="489" t="s">
        <v>482</v>
      </c>
      <c r="D5" s="490"/>
      <c r="E5" s="493" t="s">
        <v>483</v>
      </c>
      <c r="F5" s="494"/>
      <c r="G5" s="23" t="s">
        <v>484</v>
      </c>
    </row>
    <row r="6" spans="1:7" ht="15">
      <c r="A6" s="24" t="s">
        <v>108</v>
      </c>
      <c r="B6" s="24"/>
      <c r="C6" s="491" t="str">
        <f>CONCATENATE("Actual ",$G$1-2,"")</f>
        <v>Actual 2010</v>
      </c>
      <c r="D6" s="492"/>
      <c r="E6" s="491" t="str">
        <f>CONCATENATE("Estimate ",$G$1-1,"")</f>
        <v>Estimate 2011</v>
      </c>
      <c r="F6" s="492"/>
      <c r="G6" s="27" t="str">
        <f>CONCATENATE("Year ",$G$1,"")</f>
        <v>Year 2012</v>
      </c>
    </row>
    <row r="7" spans="1:7" ht="15">
      <c r="A7" s="28" t="s">
        <v>625</v>
      </c>
      <c r="B7" s="42"/>
      <c r="C7" s="507"/>
      <c r="D7" s="508"/>
      <c r="E7" s="512">
        <f>C54</f>
        <v>0</v>
      </c>
      <c r="F7" s="513"/>
      <c r="G7" s="75">
        <f>E54</f>
        <v>0</v>
      </c>
    </row>
    <row r="8" spans="1:7" ht="15">
      <c r="A8" s="28" t="s">
        <v>600</v>
      </c>
      <c r="B8" s="42"/>
      <c r="C8" s="510"/>
      <c r="D8" s="511"/>
      <c r="E8" s="512"/>
      <c r="F8" s="513"/>
      <c r="G8" s="75"/>
    </row>
    <row r="9" spans="1:7" ht="15">
      <c r="A9" s="28" t="s">
        <v>487</v>
      </c>
      <c r="B9" s="42"/>
      <c r="C9" s="476"/>
      <c r="D9" s="477"/>
      <c r="E9" s="510">
        <f>inputPrYr!E17</f>
        <v>0</v>
      </c>
      <c r="F9" s="511"/>
      <c r="G9" s="34" t="s">
        <v>98</v>
      </c>
    </row>
    <row r="10" spans="1:7" ht="15">
      <c r="A10" s="28" t="s">
        <v>488</v>
      </c>
      <c r="B10" s="42"/>
      <c r="C10" s="476"/>
      <c r="D10" s="477"/>
      <c r="E10" s="476"/>
      <c r="F10" s="477"/>
      <c r="G10" s="76"/>
    </row>
    <row r="11" spans="1:7" ht="15">
      <c r="A11" s="28" t="s">
        <v>489</v>
      </c>
      <c r="B11" s="42"/>
      <c r="C11" s="476"/>
      <c r="D11" s="477"/>
      <c r="E11" s="476"/>
      <c r="F11" s="477"/>
      <c r="G11" s="77">
        <f>mvalloc!G12</f>
        <v>0</v>
      </c>
    </row>
    <row r="12" spans="1:7" ht="15">
      <c r="A12" s="28" t="s">
        <v>490</v>
      </c>
      <c r="B12" s="42"/>
      <c r="C12" s="476"/>
      <c r="D12" s="477"/>
      <c r="E12" s="476"/>
      <c r="F12" s="477"/>
      <c r="G12" s="77">
        <f>mvalloc!I12</f>
        <v>0</v>
      </c>
    </row>
    <row r="13" spans="1:7" ht="15">
      <c r="A13" s="78" t="s">
        <v>579</v>
      </c>
      <c r="B13" s="42"/>
      <c r="C13" s="476"/>
      <c r="D13" s="477"/>
      <c r="E13" s="476"/>
      <c r="F13" s="477"/>
      <c r="G13" s="77">
        <f>mvalloc!J12</f>
        <v>0</v>
      </c>
    </row>
    <row r="14" spans="1:7" ht="15">
      <c r="A14" s="78" t="s">
        <v>644</v>
      </c>
      <c r="B14" s="42"/>
      <c r="C14" s="476"/>
      <c r="D14" s="477"/>
      <c r="E14" s="476"/>
      <c r="F14" s="477"/>
      <c r="G14" s="77">
        <f>mvalloc!K12</f>
        <v>0</v>
      </c>
    </row>
    <row r="15" spans="1:7" ht="15">
      <c r="A15" s="78"/>
      <c r="B15" s="42"/>
      <c r="C15" s="476"/>
      <c r="D15" s="477"/>
      <c r="E15" s="476"/>
      <c r="F15" s="477"/>
      <c r="G15" s="77"/>
    </row>
    <row r="16" spans="1:7" ht="15">
      <c r="A16" s="79"/>
      <c r="B16" s="80"/>
      <c r="C16" s="476"/>
      <c r="D16" s="477"/>
      <c r="E16" s="476"/>
      <c r="F16" s="477"/>
      <c r="G16" s="76"/>
    </row>
    <row r="17" spans="1:7" ht="15">
      <c r="A17" s="79"/>
      <c r="B17" s="80"/>
      <c r="C17" s="476"/>
      <c r="D17" s="477"/>
      <c r="E17" s="476"/>
      <c r="F17" s="477"/>
      <c r="G17" s="81"/>
    </row>
    <row r="18" spans="1:7" ht="15">
      <c r="A18" s="79"/>
      <c r="B18" s="80"/>
      <c r="C18" s="476"/>
      <c r="D18" s="477"/>
      <c r="E18" s="476"/>
      <c r="F18" s="477"/>
      <c r="G18" s="76"/>
    </row>
    <row r="19" spans="1:7" ht="15">
      <c r="A19" s="79"/>
      <c r="B19" s="80"/>
      <c r="C19" s="476"/>
      <c r="D19" s="477"/>
      <c r="E19" s="476"/>
      <c r="F19" s="477"/>
      <c r="G19" s="76"/>
    </row>
    <row r="20" spans="1:7" ht="15">
      <c r="A20" s="79"/>
      <c r="B20" s="80"/>
      <c r="C20" s="476"/>
      <c r="D20" s="477"/>
      <c r="E20" s="476"/>
      <c r="F20" s="477"/>
      <c r="G20" s="76"/>
    </row>
    <row r="21" spans="1:7" ht="15">
      <c r="A21" s="79"/>
      <c r="B21" s="80"/>
      <c r="C21" s="476"/>
      <c r="D21" s="477"/>
      <c r="E21" s="476"/>
      <c r="F21" s="477"/>
      <c r="G21" s="76"/>
    </row>
    <row r="22" spans="1:7" ht="15">
      <c r="A22" s="79"/>
      <c r="B22" s="80"/>
      <c r="C22" s="476"/>
      <c r="D22" s="477"/>
      <c r="E22" s="476"/>
      <c r="F22" s="477"/>
      <c r="G22" s="76"/>
    </row>
    <row r="23" spans="1:7" ht="15">
      <c r="A23" s="79"/>
      <c r="B23" s="80"/>
      <c r="C23" s="476"/>
      <c r="D23" s="477"/>
      <c r="E23" s="476"/>
      <c r="F23" s="477"/>
      <c r="G23" s="76"/>
    </row>
    <row r="24" spans="1:7" ht="15">
      <c r="A24" s="79"/>
      <c r="B24" s="80"/>
      <c r="C24" s="476"/>
      <c r="D24" s="477"/>
      <c r="E24" s="476"/>
      <c r="F24" s="477"/>
      <c r="G24" s="76"/>
    </row>
    <row r="25" spans="1:7" ht="15">
      <c r="A25" s="79" t="s">
        <v>635</v>
      </c>
      <c r="B25" s="80"/>
      <c r="C25" s="476"/>
      <c r="D25" s="477"/>
      <c r="E25" s="476"/>
      <c r="F25" s="477"/>
      <c r="G25" s="76"/>
    </row>
    <row r="26" spans="1:7" ht="15">
      <c r="A26" s="82" t="s">
        <v>493</v>
      </c>
      <c r="B26" s="80"/>
      <c r="C26" s="476"/>
      <c r="D26" s="477"/>
      <c r="E26" s="476"/>
      <c r="F26" s="477"/>
      <c r="G26" s="76"/>
    </row>
    <row r="27" spans="1:7" ht="15">
      <c r="A27" s="41" t="s">
        <v>14</v>
      </c>
      <c r="B27" s="42"/>
      <c r="C27" s="507"/>
      <c r="D27" s="508"/>
      <c r="E27" s="507"/>
      <c r="F27" s="508"/>
      <c r="G27" s="74"/>
    </row>
    <row r="28" spans="1:7" ht="15">
      <c r="A28" s="41" t="s">
        <v>15</v>
      </c>
      <c r="B28" s="42"/>
      <c r="C28" s="469">
        <f>IF(C29*0.1&lt;C27,"Exceed 10% Rule","")</f>
      </c>
      <c r="D28" s="478"/>
      <c r="E28" s="469">
        <f>IF(E29*0.1&lt;E27,"Exceed 10% Rule","")</f>
      </c>
      <c r="F28" s="478"/>
      <c r="G28" s="43">
        <f>IF(G29*0.1+G59&lt;G27,"Exceed 10% Rule","")</f>
      </c>
    </row>
    <row r="29" spans="1:7" ht="15">
      <c r="A29" s="47" t="s">
        <v>494</v>
      </c>
      <c r="B29" s="42"/>
      <c r="C29" s="503">
        <f>SUM(C9:C27)</f>
        <v>0</v>
      </c>
      <c r="D29" s="504"/>
      <c r="E29" s="503">
        <f>SUM(E9:E27)</f>
        <v>0</v>
      </c>
      <c r="F29" s="509"/>
      <c r="G29" s="83">
        <f>SUM(G9:G27)</f>
        <v>0</v>
      </c>
    </row>
    <row r="30" spans="1:7" ht="15">
      <c r="A30" s="47" t="s">
        <v>495</v>
      </c>
      <c r="B30" s="42"/>
      <c r="C30" s="503">
        <f>C7+C29</f>
        <v>0</v>
      </c>
      <c r="D30" s="509"/>
      <c r="E30" s="503">
        <f>E7+E29</f>
        <v>0</v>
      </c>
      <c r="F30" s="509"/>
      <c r="G30" s="84">
        <f>G7+G29</f>
        <v>0</v>
      </c>
    </row>
    <row r="31" spans="1:7" ht="15">
      <c r="A31" s="85" t="s">
        <v>496</v>
      </c>
      <c r="B31" s="42"/>
      <c r="C31" s="510"/>
      <c r="D31" s="511"/>
      <c r="E31" s="510"/>
      <c r="F31" s="511"/>
      <c r="G31" s="77"/>
    </row>
    <row r="32" spans="1:7" ht="15">
      <c r="A32" s="38"/>
      <c r="B32" s="80"/>
      <c r="C32" s="476"/>
      <c r="D32" s="477"/>
      <c r="E32" s="476"/>
      <c r="F32" s="477"/>
      <c r="G32" s="76"/>
    </row>
    <row r="33" spans="1:7" ht="15">
      <c r="A33" s="38"/>
      <c r="B33" s="80"/>
      <c r="C33" s="476"/>
      <c r="D33" s="477"/>
      <c r="E33" s="476"/>
      <c r="F33" s="477"/>
      <c r="G33" s="76"/>
    </row>
    <row r="34" spans="1:7" ht="15">
      <c r="A34" s="38"/>
      <c r="B34" s="80"/>
      <c r="C34" s="476"/>
      <c r="D34" s="477"/>
      <c r="E34" s="476"/>
      <c r="F34" s="477"/>
      <c r="G34" s="76"/>
    </row>
    <row r="35" spans="1:7" ht="15">
      <c r="A35" s="38"/>
      <c r="B35" s="80"/>
      <c r="C35" s="476"/>
      <c r="D35" s="477"/>
      <c r="E35" s="476"/>
      <c r="F35" s="477"/>
      <c r="G35" s="76"/>
    </row>
    <row r="36" spans="1:7" ht="15">
      <c r="A36" s="38"/>
      <c r="B36" s="80"/>
      <c r="C36" s="476"/>
      <c r="D36" s="477"/>
      <c r="E36" s="476"/>
      <c r="F36" s="477"/>
      <c r="G36" s="76"/>
    </row>
    <row r="37" spans="1:7" ht="15">
      <c r="A37" s="38"/>
      <c r="B37" s="80"/>
      <c r="C37" s="476"/>
      <c r="D37" s="477"/>
      <c r="E37" s="476"/>
      <c r="F37" s="477"/>
      <c r="G37" s="76"/>
    </row>
    <row r="38" spans="1:7" ht="15">
      <c r="A38" s="38"/>
      <c r="B38" s="80"/>
      <c r="C38" s="476"/>
      <c r="D38" s="477"/>
      <c r="E38" s="476"/>
      <c r="F38" s="477"/>
      <c r="G38" s="76"/>
    </row>
    <row r="39" spans="1:7" ht="15">
      <c r="A39" s="38"/>
      <c r="B39" s="80"/>
      <c r="C39" s="476"/>
      <c r="D39" s="477"/>
      <c r="E39" s="476"/>
      <c r="F39" s="477"/>
      <c r="G39" s="76"/>
    </row>
    <row r="40" spans="1:7" ht="15">
      <c r="A40" s="38"/>
      <c r="B40" s="80"/>
      <c r="C40" s="476"/>
      <c r="D40" s="477"/>
      <c r="E40" s="476"/>
      <c r="F40" s="477"/>
      <c r="G40" s="76"/>
    </row>
    <row r="41" spans="1:7" ht="15">
      <c r="A41" s="38"/>
      <c r="B41" s="80"/>
      <c r="C41" s="476"/>
      <c r="D41" s="477"/>
      <c r="E41" s="476"/>
      <c r="F41" s="477"/>
      <c r="G41" s="76"/>
    </row>
    <row r="42" spans="1:7" ht="15">
      <c r="A42" s="38"/>
      <c r="B42" s="80"/>
      <c r="C42" s="476"/>
      <c r="D42" s="477"/>
      <c r="E42" s="476"/>
      <c r="F42" s="477"/>
      <c r="G42" s="76"/>
    </row>
    <row r="43" spans="1:7" ht="15">
      <c r="A43" s="38"/>
      <c r="B43" s="80"/>
      <c r="C43" s="476"/>
      <c r="D43" s="477"/>
      <c r="E43" s="476"/>
      <c r="F43" s="477"/>
      <c r="G43" s="76"/>
    </row>
    <row r="44" spans="1:7" ht="15">
      <c r="A44" s="38"/>
      <c r="B44" s="80"/>
      <c r="C44" s="476"/>
      <c r="D44" s="477"/>
      <c r="E44" s="476"/>
      <c r="F44" s="477"/>
      <c r="G44" s="76"/>
    </row>
    <row r="45" spans="1:7" ht="15">
      <c r="A45" s="38"/>
      <c r="B45" s="80"/>
      <c r="C45" s="476"/>
      <c r="D45" s="477"/>
      <c r="E45" s="476"/>
      <c r="F45" s="477"/>
      <c r="G45" s="76"/>
    </row>
    <row r="46" spans="1:7" ht="15">
      <c r="A46" s="38"/>
      <c r="B46" s="80"/>
      <c r="C46" s="476"/>
      <c r="D46" s="477"/>
      <c r="E46" s="476"/>
      <c r="F46" s="477"/>
      <c r="G46" s="76"/>
    </row>
    <row r="47" spans="1:7" ht="15">
      <c r="A47" s="38"/>
      <c r="B47" s="80"/>
      <c r="C47" s="476"/>
      <c r="D47" s="477"/>
      <c r="E47" s="476"/>
      <c r="F47" s="477"/>
      <c r="G47" s="76"/>
    </row>
    <row r="48" spans="1:7" ht="15">
      <c r="A48" s="38"/>
      <c r="B48" s="80"/>
      <c r="C48" s="476"/>
      <c r="D48" s="477"/>
      <c r="E48" s="476"/>
      <c r="F48" s="477"/>
      <c r="G48" s="76"/>
    </row>
    <row r="49" spans="1:7" ht="15">
      <c r="A49" s="38"/>
      <c r="B49" s="80"/>
      <c r="C49" s="476"/>
      <c r="D49" s="477"/>
      <c r="E49" s="476"/>
      <c r="F49" s="477"/>
      <c r="G49" s="76"/>
    </row>
    <row r="50" spans="1:7" ht="15">
      <c r="A50" s="36" t="s">
        <v>17</v>
      </c>
      <c r="B50" s="42"/>
      <c r="C50" s="476"/>
      <c r="D50" s="477"/>
      <c r="E50" s="476"/>
      <c r="F50" s="477"/>
      <c r="G50" s="86">
        <f>nhood!E7</f>
      </c>
    </row>
    <row r="51" spans="1:7" ht="15">
      <c r="A51" s="36" t="s">
        <v>14</v>
      </c>
      <c r="B51" s="42"/>
      <c r="C51" s="507"/>
      <c r="D51" s="508"/>
      <c r="E51" s="507"/>
      <c r="F51" s="508"/>
      <c r="G51" s="74"/>
    </row>
    <row r="52" spans="1:7" ht="15">
      <c r="A52" s="36" t="s">
        <v>16</v>
      </c>
      <c r="B52" s="42"/>
      <c r="C52" s="469">
        <f>IF(C53*0.1&lt;C51,"Exceed 10% Rule","")</f>
      </c>
      <c r="D52" s="478"/>
      <c r="E52" s="469">
        <f>IF(E53*0.1&lt;E51,"Exceed 10% Rule","")</f>
      </c>
      <c r="F52" s="478"/>
      <c r="G52" s="43">
        <f>IF(G53*0.1&lt;G51,"Exceed 10% Rule","")</f>
      </c>
    </row>
    <row r="53" spans="1:7" ht="15">
      <c r="A53" s="47" t="s">
        <v>497</v>
      </c>
      <c r="B53" s="42"/>
      <c r="C53" s="503">
        <f>SUM(C32:C51)</f>
        <v>0</v>
      </c>
      <c r="D53" s="504"/>
      <c r="E53" s="503">
        <f>SUM(E32:E51)</f>
        <v>0</v>
      </c>
      <c r="F53" s="509"/>
      <c r="G53" s="83">
        <f>SUM(G32:G51)</f>
        <v>0</v>
      </c>
    </row>
    <row r="54" spans="1:7" ht="15">
      <c r="A54" s="28" t="s">
        <v>599</v>
      </c>
      <c r="B54" s="42"/>
      <c r="C54" s="505">
        <f>C30-C53</f>
        <v>0</v>
      </c>
      <c r="D54" s="506"/>
      <c r="E54" s="505">
        <f>E30-E53</f>
        <v>0</v>
      </c>
      <c r="F54" s="506"/>
      <c r="G54" s="34" t="s">
        <v>98</v>
      </c>
    </row>
    <row r="55" spans="1:8" ht="15.75">
      <c r="A55" s="54" t="str">
        <f>CONCATENATE("",G1-2,"/",G1-1," Budget Authority Amount:")</f>
        <v>2010/2011 Budget Authority Amount:</v>
      </c>
      <c r="B55" s="55">
        <f>inputOth!B47</f>
        <v>0</v>
      </c>
      <c r="C55" s="56">
        <f>inputPrYr!D17</f>
        <v>0</v>
      </c>
      <c r="D55" s="479" t="s">
        <v>50</v>
      </c>
      <c r="E55" s="480"/>
      <c r="F55" s="481"/>
      <c r="G55" s="35"/>
      <c r="H55" s="57">
        <f>IF(G53/0.95-G53&lt;G55,"Exceeds 5%","")</f>
      </c>
    </row>
    <row r="56" spans="1:7" ht="15">
      <c r="A56" s="54"/>
      <c r="B56" s="58">
        <f>IF(C53&gt;B55,"See Tab A","")</f>
      </c>
      <c r="C56" s="58">
        <f>IF(E53&gt;C55,"See Tab C","")</f>
      </c>
      <c r="D56" s="14"/>
      <c r="E56" s="472" t="s">
        <v>51</v>
      </c>
      <c r="F56" s="473"/>
      <c r="G56" s="33">
        <f>G53+G55</f>
        <v>0</v>
      </c>
    </row>
    <row r="57" spans="1:7" ht="15">
      <c r="A57" s="54"/>
      <c r="B57" s="58">
        <f>IF(C54&lt;0,"See Tab B","")</f>
      </c>
      <c r="C57" s="69">
        <f>IF(E54&lt;0,"See Tab D","")</f>
      </c>
      <c r="D57" s="14"/>
      <c r="E57" s="472" t="s">
        <v>499</v>
      </c>
      <c r="F57" s="473"/>
      <c r="G57" s="51">
        <f>IF(G56-G30&gt;0,G56-G30,0)</f>
        <v>0</v>
      </c>
    </row>
    <row r="58" spans="1:7" ht="15.75">
      <c r="A58" s="59"/>
      <c r="B58" s="59"/>
      <c r="C58" s="14"/>
      <c r="D58" s="474" t="s">
        <v>52</v>
      </c>
      <c r="E58" s="475"/>
      <c r="F58" s="60">
        <f>inputOth!$E$40</f>
        <v>0</v>
      </c>
      <c r="G58" s="33">
        <f>ROUND(IF(F58&gt;0,(G57*F58),0),0)</f>
        <v>0</v>
      </c>
    </row>
    <row r="59" spans="1:7" ht="15">
      <c r="A59" s="14"/>
      <c r="B59" s="14"/>
      <c r="C59" s="482" t="str">
        <f>CONCATENATE("Amount of  ",$G$1-1," Ad Valorem Tax")</f>
        <v>Amount of  2011 Ad Valorem Tax</v>
      </c>
      <c r="D59" s="483"/>
      <c r="E59" s="483"/>
      <c r="F59" s="484"/>
      <c r="G59" s="51">
        <f>G57+G58</f>
        <v>0</v>
      </c>
    </row>
    <row r="60" spans="1:7" ht="15">
      <c r="A60" s="59"/>
      <c r="B60" s="59"/>
      <c r="C60" s="14"/>
      <c r="D60" s="14"/>
      <c r="E60" s="14"/>
      <c r="F60" s="14"/>
      <c r="G60" s="14"/>
    </row>
    <row r="61" spans="1:7" ht="15">
      <c r="A61" s="54"/>
      <c r="B61" s="54" t="s">
        <v>480</v>
      </c>
      <c r="C61" s="87"/>
      <c r="D61" s="14"/>
      <c r="E61" s="14"/>
      <c r="F61" s="14"/>
      <c r="G61" s="14"/>
    </row>
  </sheetData>
  <sheetProtection sheet="1" objects="1" scenarios="1"/>
  <mergeCells count="105">
    <mergeCell ref="C11:D11"/>
    <mergeCell ref="C12:D12"/>
    <mergeCell ref="C5:D5"/>
    <mergeCell ref="C6:D6"/>
    <mergeCell ref="E5:F5"/>
    <mergeCell ref="E6:F6"/>
    <mergeCell ref="E7:F7"/>
    <mergeCell ref="E8:F8"/>
    <mergeCell ref="E27:F27"/>
    <mergeCell ref="E28:F28"/>
    <mergeCell ref="E9:F9"/>
    <mergeCell ref="C7:D7"/>
    <mergeCell ref="C8:D8"/>
    <mergeCell ref="C9:D9"/>
    <mergeCell ref="C22:D22"/>
    <mergeCell ref="C23:D23"/>
    <mergeCell ref="C21:D21"/>
    <mergeCell ref="C10:D10"/>
    <mergeCell ref="C36:D36"/>
    <mergeCell ref="C37:D37"/>
    <mergeCell ref="C39:D39"/>
    <mergeCell ref="C40:D40"/>
    <mergeCell ref="C27:D27"/>
    <mergeCell ref="C28:D28"/>
    <mergeCell ref="C29:D29"/>
    <mergeCell ref="C30:D30"/>
    <mergeCell ref="E18:F18"/>
    <mergeCell ref="C18:D18"/>
    <mergeCell ref="E16:F16"/>
    <mergeCell ref="E17:F17"/>
    <mergeCell ref="C31:D31"/>
    <mergeCell ref="E31:F31"/>
    <mergeCell ref="C24:D24"/>
    <mergeCell ref="C25:D25"/>
    <mergeCell ref="E29:F29"/>
    <mergeCell ref="E30:F30"/>
    <mergeCell ref="E15:F15"/>
    <mergeCell ref="C13:D13"/>
    <mergeCell ref="C14:D14"/>
    <mergeCell ref="C15:D15"/>
    <mergeCell ref="C16:D16"/>
    <mergeCell ref="C17:D17"/>
    <mergeCell ref="E25:F25"/>
    <mergeCell ref="C19:D19"/>
    <mergeCell ref="C20:D20"/>
    <mergeCell ref="E26:F26"/>
    <mergeCell ref="C26:D26"/>
    <mergeCell ref="E10:F10"/>
    <mergeCell ref="E11:F11"/>
    <mergeCell ref="E12:F12"/>
    <mergeCell ref="E13:F13"/>
    <mergeCell ref="E14:F14"/>
    <mergeCell ref="E19:F19"/>
    <mergeCell ref="E20:F20"/>
    <mergeCell ref="E21:F21"/>
    <mergeCell ref="E22:F22"/>
    <mergeCell ref="E23:F23"/>
    <mergeCell ref="E24:F24"/>
    <mergeCell ref="C41:D41"/>
    <mergeCell ref="C46:D46"/>
    <mergeCell ref="C47:D47"/>
    <mergeCell ref="E38:F38"/>
    <mergeCell ref="E39:F39"/>
    <mergeCell ref="E40:F40"/>
    <mergeCell ref="E45:F45"/>
    <mergeCell ref="E46:F46"/>
    <mergeCell ref="E41:F41"/>
    <mergeCell ref="E42:F42"/>
    <mergeCell ref="E32:F32"/>
    <mergeCell ref="E33:F33"/>
    <mergeCell ref="E34:F34"/>
    <mergeCell ref="E35:F35"/>
    <mergeCell ref="E36:F36"/>
    <mergeCell ref="C38:D38"/>
    <mergeCell ref="C32:D32"/>
    <mergeCell ref="C33:D33"/>
    <mergeCell ref="C34:D34"/>
    <mergeCell ref="C35:D35"/>
    <mergeCell ref="C42:D42"/>
    <mergeCell ref="C43:D43"/>
    <mergeCell ref="C44:D44"/>
    <mergeCell ref="C45:D45"/>
    <mergeCell ref="E53:F53"/>
    <mergeCell ref="E50:F50"/>
    <mergeCell ref="C51:D51"/>
    <mergeCell ref="C52:D52"/>
    <mergeCell ref="C59:F59"/>
    <mergeCell ref="E57:F57"/>
    <mergeCell ref="D58:E58"/>
    <mergeCell ref="E37:F37"/>
    <mergeCell ref="E47:F47"/>
    <mergeCell ref="E48:F48"/>
    <mergeCell ref="E43:F43"/>
    <mergeCell ref="E44:F44"/>
    <mergeCell ref="E49:F49"/>
    <mergeCell ref="C48:D48"/>
    <mergeCell ref="D55:F55"/>
    <mergeCell ref="E56:F56"/>
    <mergeCell ref="C50:D50"/>
    <mergeCell ref="C49:D49"/>
    <mergeCell ref="C53:D53"/>
    <mergeCell ref="C54:D54"/>
    <mergeCell ref="E51:F51"/>
    <mergeCell ref="E52:F52"/>
    <mergeCell ref="E54:F54"/>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ERVING TOWNSHIP</v>
      </c>
      <c r="B1" s="14"/>
      <c r="C1" s="14"/>
      <c r="D1" s="14"/>
      <c r="E1" s="14"/>
      <c r="F1" s="14"/>
      <c r="G1" s="15">
        <f>inputPrYr!D5</f>
        <v>2012</v>
      </c>
    </row>
    <row r="2" spans="1:7" ht="15">
      <c r="A2" s="17" t="s">
        <v>548</v>
      </c>
      <c r="B2" s="14"/>
      <c r="C2" s="14"/>
      <c r="D2" s="14"/>
      <c r="E2" s="71"/>
      <c r="F2" s="71"/>
      <c r="G2" s="72"/>
    </row>
    <row r="3" spans="1:7" ht="15">
      <c r="A3" s="22" t="s">
        <v>481</v>
      </c>
      <c r="B3" s="73"/>
      <c r="C3" s="88"/>
      <c r="D3" s="88"/>
      <c r="E3" s="88"/>
      <c r="F3" s="88"/>
      <c r="G3" s="88"/>
    </row>
    <row r="4" spans="1:7" ht="15">
      <c r="A4" s="14"/>
      <c r="B4" s="19"/>
      <c r="C4" s="489" t="s">
        <v>482</v>
      </c>
      <c r="D4" s="490"/>
      <c r="E4" s="493" t="s">
        <v>483</v>
      </c>
      <c r="F4" s="494"/>
      <c r="G4" s="23" t="s">
        <v>484</v>
      </c>
    </row>
    <row r="5" spans="1:7" ht="15">
      <c r="A5" s="24" t="str">
        <f>inputPrYr!B18</f>
        <v>Road</v>
      </c>
      <c r="B5" s="25"/>
      <c r="C5" s="491" t="str">
        <f>gen!C5</f>
        <v>Actual 2010</v>
      </c>
      <c r="D5" s="492"/>
      <c r="E5" s="491" t="str">
        <f>gen!E5</f>
        <v>Estimate 2011</v>
      </c>
      <c r="F5" s="492"/>
      <c r="G5" s="27" t="str">
        <f>gen!G5</f>
        <v>Year 2012</v>
      </c>
    </row>
    <row r="6" spans="1:7" ht="15">
      <c r="A6" s="28" t="s">
        <v>598</v>
      </c>
      <c r="B6" s="29"/>
      <c r="C6" s="476"/>
      <c r="D6" s="477"/>
      <c r="E6" s="485">
        <f>C44</f>
        <v>0</v>
      </c>
      <c r="F6" s="486"/>
      <c r="G6" s="33">
        <f>E44</f>
        <v>0</v>
      </c>
    </row>
    <row r="7" spans="1:7" ht="15">
      <c r="A7" s="28" t="s">
        <v>600</v>
      </c>
      <c r="B7" s="29"/>
      <c r="C7" s="485"/>
      <c r="D7" s="486"/>
      <c r="E7" s="485"/>
      <c r="F7" s="486"/>
      <c r="G7" s="34"/>
    </row>
    <row r="8" spans="1:7" ht="15">
      <c r="A8" s="28" t="s">
        <v>487</v>
      </c>
      <c r="B8" s="29"/>
      <c r="C8" s="476"/>
      <c r="D8" s="477"/>
      <c r="E8" s="485">
        <f>inputPrYr!E18</f>
        <v>0</v>
      </c>
      <c r="F8" s="486"/>
      <c r="G8" s="34" t="s">
        <v>98</v>
      </c>
    </row>
    <row r="9" spans="1:7" ht="15">
      <c r="A9" s="28" t="s">
        <v>488</v>
      </c>
      <c r="B9" s="29"/>
      <c r="C9" s="476"/>
      <c r="D9" s="477"/>
      <c r="E9" s="476"/>
      <c r="F9" s="477"/>
      <c r="G9" s="35"/>
    </row>
    <row r="10" spans="1:7" ht="15">
      <c r="A10" s="28" t="s">
        <v>489</v>
      </c>
      <c r="B10" s="29"/>
      <c r="C10" s="476"/>
      <c r="D10" s="477"/>
      <c r="E10" s="476"/>
      <c r="F10" s="477"/>
      <c r="G10" s="33">
        <f>mvalloc!G13</f>
        <v>0</v>
      </c>
    </row>
    <row r="11" spans="1:7" ht="15">
      <c r="A11" s="28" t="s">
        <v>490</v>
      </c>
      <c r="B11" s="29"/>
      <c r="C11" s="476"/>
      <c r="D11" s="477"/>
      <c r="E11" s="476"/>
      <c r="F11" s="477"/>
      <c r="G11" s="33">
        <f>mvalloc!I13</f>
        <v>0</v>
      </c>
    </row>
    <row r="12" spans="1:7" ht="15">
      <c r="A12" s="28" t="s">
        <v>579</v>
      </c>
      <c r="B12" s="29"/>
      <c r="C12" s="476"/>
      <c r="D12" s="477"/>
      <c r="E12" s="476"/>
      <c r="F12" s="477"/>
      <c r="G12" s="33">
        <f>mvalloc!J13</f>
        <v>0</v>
      </c>
    </row>
    <row r="13" spans="1:7" ht="15">
      <c r="A13" s="28" t="s">
        <v>644</v>
      </c>
      <c r="B13" s="29"/>
      <c r="C13" s="476"/>
      <c r="D13" s="477"/>
      <c r="E13" s="476"/>
      <c r="F13" s="477"/>
      <c r="G13" s="33">
        <f>mvalloc!K13</f>
        <v>0</v>
      </c>
    </row>
    <row r="14" spans="1:7" ht="15">
      <c r="A14" s="28" t="s">
        <v>580</v>
      </c>
      <c r="B14" s="29"/>
      <c r="C14" s="476"/>
      <c r="D14" s="477"/>
      <c r="E14" s="476"/>
      <c r="F14" s="477"/>
      <c r="G14" s="33">
        <f>inputOth!E36</f>
        <v>0</v>
      </c>
    </row>
    <row r="15" spans="1:7" ht="15">
      <c r="A15" s="40"/>
      <c r="B15" s="39"/>
      <c r="C15" s="476"/>
      <c r="D15" s="477"/>
      <c r="E15" s="476"/>
      <c r="F15" s="477"/>
      <c r="G15" s="35"/>
    </row>
    <row r="16" spans="1:7" ht="15">
      <c r="A16" s="40"/>
      <c r="B16" s="39"/>
      <c r="C16" s="476"/>
      <c r="D16" s="477"/>
      <c r="E16" s="476"/>
      <c r="F16" s="477"/>
      <c r="G16" s="35"/>
    </row>
    <row r="17" spans="1:7" ht="15">
      <c r="A17" s="40"/>
      <c r="B17" s="39"/>
      <c r="C17" s="476"/>
      <c r="D17" s="477"/>
      <c r="E17" s="476"/>
      <c r="F17" s="477"/>
      <c r="G17" s="35"/>
    </row>
    <row r="18" spans="1:7" ht="15">
      <c r="A18" s="40"/>
      <c r="B18" s="39"/>
      <c r="C18" s="476"/>
      <c r="D18" s="477"/>
      <c r="E18" s="476"/>
      <c r="F18" s="477"/>
      <c r="G18" s="35"/>
    </row>
    <row r="19" spans="1:7" ht="15">
      <c r="A19" s="40"/>
      <c r="B19" s="39"/>
      <c r="C19" s="476"/>
      <c r="D19" s="477"/>
      <c r="E19" s="476"/>
      <c r="F19" s="477"/>
      <c r="G19" s="35"/>
    </row>
    <row r="20" spans="1:7" ht="15">
      <c r="A20" s="40" t="s">
        <v>493</v>
      </c>
      <c r="B20" s="39"/>
      <c r="C20" s="476"/>
      <c r="D20" s="477"/>
      <c r="E20" s="476"/>
      <c r="F20" s="477"/>
      <c r="G20" s="35"/>
    </row>
    <row r="21" spans="1:7" ht="15">
      <c r="A21" s="41" t="s">
        <v>14</v>
      </c>
      <c r="B21" s="42"/>
      <c r="C21" s="476"/>
      <c r="D21" s="477"/>
      <c r="E21" s="476"/>
      <c r="F21" s="477"/>
      <c r="G21" s="31"/>
    </row>
    <row r="22" spans="1:7" ht="15">
      <c r="A22" s="41" t="s">
        <v>15</v>
      </c>
      <c r="B22" s="42"/>
      <c r="C22" s="469">
        <f>IF(C23*0.1&lt;C21,"Exceed 10% Rule","")</f>
      </c>
      <c r="D22" s="478"/>
      <c r="E22" s="469">
        <f>IF(E23*0.1&lt;E21,"Exceed 10% Rule","")</f>
      </c>
      <c r="F22" s="478"/>
      <c r="G22" s="43">
        <f>IF(G23*0.1+G49&lt;G21,"Exceed 10% Rule","")</f>
      </c>
    </row>
    <row r="23" spans="1:7" ht="15">
      <c r="A23" s="44" t="s">
        <v>494</v>
      </c>
      <c r="B23" s="29"/>
      <c r="C23" s="487">
        <f>SUM(C8:C21)</f>
        <v>0</v>
      </c>
      <c r="D23" s="488"/>
      <c r="E23" s="487">
        <f>SUM(E8:E21)</f>
        <v>0</v>
      </c>
      <c r="F23" s="488"/>
      <c r="G23" s="46">
        <f>SUM(G8:G21)</f>
        <v>0</v>
      </c>
    </row>
    <row r="24" spans="1:7" ht="15">
      <c r="A24" s="47" t="s">
        <v>495</v>
      </c>
      <c r="B24" s="29"/>
      <c r="C24" s="487">
        <f>C23+C6</f>
        <v>0</v>
      </c>
      <c r="D24" s="488"/>
      <c r="E24" s="487">
        <f>E23+E6</f>
        <v>0</v>
      </c>
      <c r="F24" s="488"/>
      <c r="G24" s="46">
        <f>G23+G6</f>
        <v>0</v>
      </c>
    </row>
    <row r="25" spans="1:7" ht="15">
      <c r="A25" s="28" t="s">
        <v>496</v>
      </c>
      <c r="B25" s="29"/>
      <c r="C25" s="485"/>
      <c r="D25" s="486"/>
      <c r="E25" s="485"/>
      <c r="F25" s="486"/>
      <c r="G25" s="33"/>
    </row>
    <row r="26" spans="1:7" ht="15">
      <c r="A26" s="40"/>
      <c r="B26" s="39"/>
      <c r="C26" s="476"/>
      <c r="D26" s="477"/>
      <c r="E26" s="476"/>
      <c r="F26" s="477"/>
      <c r="G26" s="35"/>
    </row>
    <row r="27" spans="1:7" ht="15">
      <c r="A27" s="40" t="s">
        <v>581</v>
      </c>
      <c r="B27" s="39"/>
      <c r="C27" s="476"/>
      <c r="D27" s="477"/>
      <c r="E27" s="476"/>
      <c r="F27" s="477"/>
      <c r="G27" s="35"/>
    </row>
    <row r="28" spans="1:7" ht="15">
      <c r="A28" s="40" t="s">
        <v>606</v>
      </c>
      <c r="B28" s="39"/>
      <c r="C28" s="476"/>
      <c r="D28" s="477"/>
      <c r="E28" s="476"/>
      <c r="F28" s="477"/>
      <c r="G28" s="35"/>
    </row>
    <row r="29" spans="1:7" ht="15">
      <c r="A29" s="38" t="s">
        <v>582</v>
      </c>
      <c r="B29" s="39"/>
      <c r="C29" s="476"/>
      <c r="D29" s="477"/>
      <c r="E29" s="476"/>
      <c r="F29" s="477"/>
      <c r="G29" s="35"/>
    </row>
    <row r="30" spans="1:7" ht="15">
      <c r="A30" s="40" t="s">
        <v>608</v>
      </c>
      <c r="B30" s="39"/>
      <c r="C30" s="476"/>
      <c r="D30" s="477"/>
      <c r="E30" s="476"/>
      <c r="F30" s="477"/>
      <c r="G30" s="35"/>
    </row>
    <row r="31" spans="1:7" ht="15">
      <c r="A31" s="40" t="s">
        <v>585</v>
      </c>
      <c r="B31" s="39"/>
      <c r="C31" s="476"/>
      <c r="D31" s="477"/>
      <c r="E31" s="476"/>
      <c r="F31" s="477"/>
      <c r="G31" s="35"/>
    </row>
    <row r="32" spans="1:7" ht="15">
      <c r="A32" s="40" t="s">
        <v>583</v>
      </c>
      <c r="B32" s="39"/>
      <c r="C32" s="476"/>
      <c r="D32" s="477"/>
      <c r="E32" s="476"/>
      <c r="F32" s="477"/>
      <c r="G32" s="35"/>
    </row>
    <row r="33" spans="1:7" ht="15">
      <c r="A33" s="40"/>
      <c r="B33" s="39"/>
      <c r="C33" s="476"/>
      <c r="D33" s="477"/>
      <c r="E33" s="476"/>
      <c r="F33" s="477"/>
      <c r="G33" s="35"/>
    </row>
    <row r="34" spans="1:7" ht="15">
      <c r="A34" s="38"/>
      <c r="B34" s="39"/>
      <c r="C34" s="476"/>
      <c r="D34" s="477"/>
      <c r="E34" s="476"/>
      <c r="F34" s="477"/>
      <c r="G34" s="35"/>
    </row>
    <row r="35" spans="1:7" ht="15">
      <c r="A35" s="38"/>
      <c r="B35" s="39"/>
      <c r="C35" s="476"/>
      <c r="D35" s="477"/>
      <c r="E35" s="476"/>
      <c r="F35" s="477"/>
      <c r="G35" s="35"/>
    </row>
    <row r="36" spans="1:7" ht="15">
      <c r="A36" s="40"/>
      <c r="B36" s="39"/>
      <c r="C36" s="476"/>
      <c r="D36" s="477"/>
      <c r="E36" s="476"/>
      <c r="F36" s="477"/>
      <c r="G36" s="35"/>
    </row>
    <row r="37" spans="1:7" ht="15">
      <c r="A37" s="40"/>
      <c r="B37" s="39"/>
      <c r="C37" s="476"/>
      <c r="D37" s="477"/>
      <c r="E37" s="476"/>
      <c r="F37" s="477"/>
      <c r="G37" s="35"/>
    </row>
    <row r="38" spans="1:7" ht="15">
      <c r="A38" s="28" t="s">
        <v>584</v>
      </c>
      <c r="B38" s="29"/>
      <c r="C38" s="476"/>
      <c r="D38" s="477"/>
      <c r="E38" s="476"/>
      <c r="F38" s="477"/>
      <c r="G38" s="35"/>
    </row>
    <row r="39" spans="1:7" ht="15">
      <c r="A39" s="28" t="s">
        <v>73</v>
      </c>
      <c r="B39" s="29"/>
      <c r="C39" s="517">
        <f>IF(C24*0.25&lt;C38,"Not Authorized","")</f>
      </c>
      <c r="D39" s="518"/>
      <c r="E39" s="517">
        <f>IF(E24*0.25&lt;E38,"Not Authorized","")</f>
      </c>
      <c r="F39" s="518"/>
      <c r="G39" s="89">
        <f>IF(G24*0.25+G49&lt;G38,"Not Authorized","")</f>
      </c>
    </row>
    <row r="40" spans="1:7" ht="15">
      <c r="A40" s="36" t="s">
        <v>17</v>
      </c>
      <c r="B40" s="42"/>
      <c r="C40" s="476"/>
      <c r="D40" s="477"/>
      <c r="E40" s="476"/>
      <c r="F40" s="477"/>
      <c r="G40" s="51">
        <f>nhood!E8</f>
      </c>
    </row>
    <row r="41" spans="1:7" ht="15">
      <c r="A41" s="36" t="s">
        <v>14</v>
      </c>
      <c r="B41" s="42"/>
      <c r="C41" s="476"/>
      <c r="D41" s="477"/>
      <c r="E41" s="476"/>
      <c r="F41" s="477"/>
      <c r="G41" s="31"/>
    </row>
    <row r="42" spans="1:7" ht="15">
      <c r="A42" s="36" t="s">
        <v>16</v>
      </c>
      <c r="B42" s="42"/>
      <c r="C42" s="469">
        <f>IF(C43*0.1&lt;C41,"Exceed 10% Rule","")</f>
      </c>
      <c r="D42" s="478"/>
      <c r="E42" s="469">
        <f>IF(E43*0.1&lt;E41,"Exceed 10% Rule","")</f>
      </c>
      <c r="F42" s="478"/>
      <c r="G42" s="43">
        <f>IF(G43*0.1&lt;G41,"Exceed 10% Rule","")</f>
      </c>
    </row>
    <row r="43" spans="1:7" ht="15">
      <c r="A43" s="47" t="s">
        <v>497</v>
      </c>
      <c r="B43" s="29"/>
      <c r="C43" s="487">
        <f>SUM(C26:D38,C40:D41)</f>
        <v>0</v>
      </c>
      <c r="D43" s="488"/>
      <c r="E43" s="487">
        <f>SUM(E26:F38,E40:F41)</f>
        <v>0</v>
      </c>
      <c r="F43" s="488"/>
      <c r="G43" s="46">
        <f>SUM(G26:G38,G40:G41)</f>
        <v>0</v>
      </c>
    </row>
    <row r="44" spans="1:7" ht="15">
      <c r="A44" s="28" t="s">
        <v>599</v>
      </c>
      <c r="B44" s="29"/>
      <c r="C44" s="500">
        <f>C24-C43</f>
        <v>0</v>
      </c>
      <c r="D44" s="501"/>
      <c r="E44" s="500">
        <f>E24-E43</f>
        <v>0</v>
      </c>
      <c r="F44" s="501"/>
      <c r="G44" s="34" t="s">
        <v>98</v>
      </c>
    </row>
    <row r="45" spans="1:8" ht="15.75">
      <c r="A45" s="54" t="str">
        <f>CONCATENATE("",G1-2,"/",G1-1," Budget Authority Amount:")</f>
        <v>2010/2011 Budget Authority Amount:</v>
      </c>
      <c r="B45" s="55">
        <f>inputOth!B48</f>
        <v>0</v>
      </c>
      <c r="C45" s="56">
        <f>inputPrYr!D18</f>
        <v>0</v>
      </c>
      <c r="D45" s="479" t="s">
        <v>50</v>
      </c>
      <c r="E45" s="480"/>
      <c r="F45" s="481"/>
      <c r="G45" s="35"/>
      <c r="H45" s="57">
        <f>IF(G43/0.95-G43&lt;G45,"Exceeds 5%","")</f>
      </c>
    </row>
    <row r="46" spans="1:7" ht="15">
      <c r="A46" s="54"/>
      <c r="B46" s="58">
        <f>IF(C43&gt;B45,"See Tab A","")</f>
      </c>
      <c r="C46" s="58">
        <f>IF(E43&gt;C45,"See Tab C","")</f>
      </c>
      <c r="D46" s="14"/>
      <c r="E46" s="472" t="s">
        <v>51</v>
      </c>
      <c r="F46" s="473"/>
      <c r="G46" s="33">
        <f>G43+G45</f>
        <v>0</v>
      </c>
    </row>
    <row r="47" spans="1:7" ht="15">
      <c r="A47" s="54"/>
      <c r="B47" s="58">
        <f>IF(C44&lt;0,"See Tab B","")</f>
      </c>
      <c r="C47" s="69">
        <f>IF(E44&lt;0,"See Tab D","")</f>
      </c>
      <c r="D47" s="14"/>
      <c r="E47" s="472" t="s">
        <v>499</v>
      </c>
      <c r="F47" s="473"/>
      <c r="G47" s="51">
        <f>IF(G46-G24&gt;0,G46-G24,0)</f>
        <v>0</v>
      </c>
    </row>
    <row r="48" spans="1:7" ht="15.75">
      <c r="A48" s="59"/>
      <c r="B48" s="14"/>
      <c r="C48" s="14"/>
      <c r="D48" s="474" t="s">
        <v>52</v>
      </c>
      <c r="E48" s="475"/>
      <c r="F48" s="60">
        <f>inputOth!$E$40</f>
        <v>0</v>
      </c>
      <c r="G48" s="33">
        <f>ROUND(IF(F48&gt;0,(G47*F48),0),0)</f>
        <v>0</v>
      </c>
    </row>
    <row r="49" spans="1:7" ht="15">
      <c r="A49" s="14"/>
      <c r="B49" s="14"/>
      <c r="C49" s="482" t="str">
        <f>CONCATENATE("Amount of  ",$G$1-1," Ad Valorem Tax")</f>
        <v>Amount of  2011 Ad Valorem Tax</v>
      </c>
      <c r="D49" s="483"/>
      <c r="E49" s="483"/>
      <c r="F49" s="484"/>
      <c r="G49" s="51">
        <f>G47+G48</f>
        <v>0</v>
      </c>
    </row>
    <row r="50" spans="1:7" ht="15">
      <c r="A50" s="14"/>
      <c r="B50" s="14"/>
      <c r="C50" s="14"/>
      <c r="D50" s="14"/>
      <c r="E50" s="14"/>
      <c r="F50" s="14"/>
      <c r="G50" s="14"/>
    </row>
    <row r="51" spans="1:7" ht="15">
      <c r="A51" s="14"/>
      <c r="B51" s="14"/>
      <c r="C51" s="14"/>
      <c r="D51" s="14"/>
      <c r="E51" s="14"/>
      <c r="F51" s="14"/>
      <c r="G51" s="14"/>
    </row>
    <row r="52" spans="1:7" ht="15">
      <c r="A52" s="90" t="s">
        <v>501</v>
      </c>
      <c r="B52" s="91">
        <f>G1-2</f>
        <v>2010</v>
      </c>
      <c r="C52" s="92"/>
      <c r="D52" s="92"/>
      <c r="E52" s="14"/>
      <c r="F52" s="14"/>
      <c r="G52" s="14"/>
    </row>
    <row r="53" spans="1:7" ht="15">
      <c r="A53" s="93" t="s">
        <v>502</v>
      </c>
      <c r="B53" s="27" t="s">
        <v>503</v>
      </c>
      <c r="C53" s="92"/>
      <c r="D53" s="92"/>
      <c r="E53" s="14"/>
      <c r="F53" s="14"/>
      <c r="G53" s="14"/>
    </row>
    <row r="54" spans="1:7" ht="15">
      <c r="A54" s="94" t="s">
        <v>485</v>
      </c>
      <c r="B54" s="35"/>
      <c r="C54" s="92"/>
      <c r="D54" s="92"/>
      <c r="E54" s="14"/>
      <c r="F54" s="14"/>
      <c r="G54" s="14"/>
    </row>
    <row r="55" spans="1:7" ht="15">
      <c r="A55" s="94" t="s">
        <v>504</v>
      </c>
      <c r="B55" s="95"/>
      <c r="C55" s="92"/>
      <c r="D55" s="92"/>
      <c r="E55" s="14"/>
      <c r="F55" s="14"/>
      <c r="G55" s="14"/>
    </row>
    <row r="56" spans="1:7" ht="15">
      <c r="A56" s="94" t="s">
        <v>505</v>
      </c>
      <c r="B56" s="51">
        <f>IF(C38&gt;0,C38,0)</f>
        <v>0</v>
      </c>
      <c r="C56" s="96">
        <f>IF(C38&gt;(C24*0.25),"Exceeds 25% of Resources Available","")</f>
      </c>
      <c r="D56" s="96"/>
      <c r="E56" s="96"/>
      <c r="F56" s="96"/>
      <c r="G56" s="14"/>
    </row>
    <row r="57" spans="1:7" ht="15">
      <c r="A57" s="94" t="s">
        <v>53</v>
      </c>
      <c r="B57" s="51">
        <f>gen!C43</f>
        <v>0</v>
      </c>
      <c r="C57" s="514">
        <f>IF(AND(B57&gt;0,B58&gt;0),"Not Authtorize Two Transfers - Only One","")</f>
      </c>
      <c r="D57" s="515"/>
      <c r="E57" s="96"/>
      <c r="F57" s="96"/>
      <c r="G57" s="14"/>
    </row>
    <row r="58" spans="1:7" ht="15">
      <c r="A58" s="97" t="s">
        <v>54</v>
      </c>
      <c r="B58" s="51">
        <f>gen!C45</f>
        <v>0</v>
      </c>
      <c r="C58" s="516"/>
      <c r="D58" s="515"/>
      <c r="E58" s="14"/>
      <c r="F58" s="14"/>
      <c r="G58" s="14"/>
    </row>
    <row r="59" spans="1:7" ht="15">
      <c r="A59" s="98"/>
      <c r="B59" s="35"/>
      <c r="C59" s="92"/>
      <c r="D59" s="92"/>
      <c r="E59" s="14"/>
      <c r="F59" s="14"/>
      <c r="G59" s="14"/>
    </row>
    <row r="60" spans="1:7" ht="15">
      <c r="A60" s="98" t="s">
        <v>493</v>
      </c>
      <c r="B60" s="35"/>
      <c r="C60" s="92"/>
      <c r="D60" s="92"/>
      <c r="E60" s="14"/>
      <c r="F60" s="14"/>
      <c r="G60" s="14"/>
    </row>
    <row r="61" spans="1:7" ht="15">
      <c r="A61" s="98" t="s">
        <v>492</v>
      </c>
      <c r="B61" s="35"/>
      <c r="C61" s="92"/>
      <c r="D61" s="92"/>
      <c r="E61" s="14"/>
      <c r="F61" s="14"/>
      <c r="G61" s="14"/>
    </row>
    <row r="62" spans="1:7" ht="15">
      <c r="A62" s="99" t="s">
        <v>495</v>
      </c>
      <c r="B62" s="33">
        <f>SUM(B54:B61)</f>
        <v>0</v>
      </c>
      <c r="C62" s="92"/>
      <c r="D62" s="92"/>
      <c r="E62" s="14"/>
      <c r="F62" s="14"/>
      <c r="G62" s="14"/>
    </row>
    <row r="63" spans="1:7" ht="15">
      <c r="A63" s="99" t="s">
        <v>497</v>
      </c>
      <c r="B63" s="35"/>
      <c r="C63" s="92"/>
      <c r="D63" s="92"/>
      <c r="E63" s="14"/>
      <c r="F63" s="14"/>
      <c r="G63" s="14"/>
    </row>
    <row r="64" spans="1:7" ht="15">
      <c r="A64" s="99" t="s">
        <v>498</v>
      </c>
      <c r="B64" s="52">
        <f>B62-B63</f>
        <v>0</v>
      </c>
      <c r="C64" s="92"/>
      <c r="D64" s="92"/>
      <c r="E64" s="14"/>
      <c r="F64" s="14"/>
      <c r="G64" s="14"/>
    </row>
    <row r="65" spans="1:7" ht="15">
      <c r="A65" s="14"/>
      <c r="B65" s="14"/>
      <c r="C65" s="14"/>
      <c r="D65" s="14"/>
      <c r="E65" s="14"/>
      <c r="F65" s="14"/>
      <c r="G65" s="14"/>
    </row>
    <row r="66" spans="1:7" ht="15">
      <c r="A66" s="59" t="s">
        <v>480</v>
      </c>
      <c r="B66" s="100"/>
      <c r="C66" s="14"/>
      <c r="D66" s="14"/>
      <c r="E66" s="14"/>
      <c r="F66" s="14"/>
      <c r="G66" s="14"/>
    </row>
    <row r="68" ht="15">
      <c r="A68" s="12"/>
    </row>
    <row r="85" ht="15">
      <c r="B85" s="66"/>
    </row>
    <row r="86" ht="15">
      <c r="B86" s="66"/>
    </row>
    <row r="87" ht="15">
      <c r="B87" s="66"/>
    </row>
  </sheetData>
  <sheetProtection sheet="1" objects="1" scenarios="1"/>
  <mergeCells count="88">
    <mergeCell ref="C4:D4"/>
    <mergeCell ref="C5:D5"/>
    <mergeCell ref="C6:D6"/>
    <mergeCell ref="C7:D7"/>
    <mergeCell ref="E4:F4"/>
    <mergeCell ref="E5:F5"/>
    <mergeCell ref="E6:F6"/>
    <mergeCell ref="E7:F7"/>
    <mergeCell ref="C43:D43"/>
    <mergeCell ref="C39:D39"/>
    <mergeCell ref="E39:F39"/>
    <mergeCell ref="C41:D41"/>
    <mergeCell ref="C33:D33"/>
    <mergeCell ref="E42:F42"/>
    <mergeCell ref="C34:D34"/>
    <mergeCell ref="C35:D35"/>
    <mergeCell ref="C42:D42"/>
    <mergeCell ref="E35:F35"/>
    <mergeCell ref="C27:D27"/>
    <mergeCell ref="C28:D28"/>
    <mergeCell ref="C29:D29"/>
    <mergeCell ref="C30:D30"/>
    <mergeCell ref="C31:D31"/>
    <mergeCell ref="C32:D32"/>
    <mergeCell ref="E8:F8"/>
    <mergeCell ref="C25:D25"/>
    <mergeCell ref="C24:D24"/>
    <mergeCell ref="C23:D23"/>
    <mergeCell ref="E23:F23"/>
    <mergeCell ref="E24:F24"/>
    <mergeCell ref="E25:F25"/>
    <mergeCell ref="C8:D8"/>
    <mergeCell ref="C9:D9"/>
    <mergeCell ref="C10:D10"/>
    <mergeCell ref="C11:D11"/>
    <mergeCell ref="C12:D12"/>
    <mergeCell ref="C13:D13"/>
    <mergeCell ref="C14:D14"/>
    <mergeCell ref="E9:F9"/>
    <mergeCell ref="E10:F10"/>
    <mergeCell ref="E11:F11"/>
    <mergeCell ref="E12:F12"/>
    <mergeCell ref="C18:D18"/>
    <mergeCell ref="E18:F18"/>
    <mergeCell ref="E13:F13"/>
    <mergeCell ref="E14:F14"/>
    <mergeCell ref="E15:F15"/>
    <mergeCell ref="E16:F16"/>
    <mergeCell ref="C15:D15"/>
    <mergeCell ref="E17:F17"/>
    <mergeCell ref="C16:D16"/>
    <mergeCell ref="C17:D17"/>
    <mergeCell ref="C26:D26"/>
    <mergeCell ref="E26:F26"/>
    <mergeCell ref="C20:D20"/>
    <mergeCell ref="C19:D19"/>
    <mergeCell ref="C22:D22"/>
    <mergeCell ref="C21:D21"/>
    <mergeCell ref="E21:F21"/>
    <mergeCell ref="E22:F22"/>
    <mergeCell ref="E19:F19"/>
    <mergeCell ref="E20:F20"/>
    <mergeCell ref="E27:F27"/>
    <mergeCell ref="E28:F28"/>
    <mergeCell ref="E29:F29"/>
    <mergeCell ref="E30:F30"/>
    <mergeCell ref="E33:F33"/>
    <mergeCell ref="E34:F34"/>
    <mergeCell ref="E31:F31"/>
    <mergeCell ref="E32:F32"/>
    <mergeCell ref="E36:F36"/>
    <mergeCell ref="E37:F37"/>
    <mergeCell ref="E38:F38"/>
    <mergeCell ref="C38:D38"/>
    <mergeCell ref="C40:D40"/>
    <mergeCell ref="E41:F41"/>
    <mergeCell ref="C36:D36"/>
    <mergeCell ref="C37:D37"/>
    <mergeCell ref="C57:D58"/>
    <mergeCell ref="D48:E48"/>
    <mergeCell ref="C49:F49"/>
    <mergeCell ref="E40:F40"/>
    <mergeCell ref="D45:F45"/>
    <mergeCell ref="E46:F46"/>
    <mergeCell ref="E47:F47"/>
    <mergeCell ref="E43:F43"/>
    <mergeCell ref="E44:F44"/>
    <mergeCell ref="C44:D44"/>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49">
      <selection activeCell="G62" sqref="G62"/>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ERVING TOWNSHIP</v>
      </c>
      <c r="B1" s="14"/>
      <c r="C1" s="22" t="s">
        <v>506</v>
      </c>
      <c r="D1" s="22"/>
      <c r="E1" s="14"/>
      <c r="F1" s="14"/>
      <c r="G1" s="15">
        <f>inputPrYr!D5</f>
        <v>2012</v>
      </c>
    </row>
    <row r="2" spans="1:7" ht="15">
      <c r="A2" s="17" t="s">
        <v>549</v>
      </c>
      <c r="B2" s="14"/>
      <c r="C2" s="14"/>
      <c r="D2" s="14"/>
      <c r="E2" s="14"/>
      <c r="F2" s="14"/>
      <c r="G2" s="101"/>
    </row>
    <row r="3" spans="1:7" ht="15">
      <c r="A3" s="14"/>
      <c r="B3" s="73"/>
      <c r="C3" s="88"/>
      <c r="D3" s="88"/>
      <c r="E3" s="88"/>
      <c r="F3" s="88"/>
      <c r="G3" s="14"/>
    </row>
    <row r="4" spans="1:7" ht="15">
      <c r="A4" s="22" t="s">
        <v>481</v>
      </c>
      <c r="B4" s="19"/>
      <c r="C4" s="489" t="s">
        <v>482</v>
      </c>
      <c r="D4" s="490"/>
      <c r="E4" s="493" t="s">
        <v>483</v>
      </c>
      <c r="F4" s="494"/>
      <c r="G4" s="23" t="s">
        <v>484</v>
      </c>
    </row>
    <row r="5" spans="1:7" ht="15">
      <c r="A5" s="24" t="str">
        <f>inputPrYr!B19</f>
        <v>Fire</v>
      </c>
      <c r="B5" s="25"/>
      <c r="C5" s="491" t="str">
        <f>gen!C5</f>
        <v>Actual 2010</v>
      </c>
      <c r="D5" s="492"/>
      <c r="E5" s="491" t="str">
        <f>gen!E5</f>
        <v>Estimate 2011</v>
      </c>
      <c r="F5" s="492"/>
      <c r="G5" s="27" t="str">
        <f>gen!G5</f>
        <v>Year 2012</v>
      </c>
    </row>
    <row r="6" spans="1:7" ht="15">
      <c r="A6" s="28" t="s">
        <v>598</v>
      </c>
      <c r="B6" s="29"/>
      <c r="C6" s="476">
        <v>478</v>
      </c>
      <c r="D6" s="477"/>
      <c r="E6" s="485">
        <f>C32</f>
        <v>650.9499999999998</v>
      </c>
      <c r="F6" s="486"/>
      <c r="G6" s="33">
        <f>E32</f>
        <v>838.9499999999998</v>
      </c>
    </row>
    <row r="7" spans="1:7" ht="15">
      <c r="A7" s="28" t="s">
        <v>600</v>
      </c>
      <c r="B7" s="29"/>
      <c r="C7" s="485"/>
      <c r="D7" s="486"/>
      <c r="E7" s="485"/>
      <c r="F7" s="486"/>
      <c r="G7" s="34"/>
    </row>
    <row r="8" spans="1:7" ht="15">
      <c r="A8" s="28" t="s">
        <v>487</v>
      </c>
      <c r="B8" s="29"/>
      <c r="C8" s="476">
        <f>1323.12+15.43+551.95+49.25</f>
        <v>1939.75</v>
      </c>
      <c r="D8" s="477"/>
      <c r="E8" s="485">
        <f>inputPrYr!E19</f>
        <v>1950</v>
      </c>
      <c r="F8" s="486"/>
      <c r="G8" s="34" t="s">
        <v>98</v>
      </c>
    </row>
    <row r="9" spans="1:7" ht="15">
      <c r="A9" s="28" t="s">
        <v>488</v>
      </c>
      <c r="B9" s="29"/>
      <c r="C9" s="476">
        <v>15.81</v>
      </c>
      <c r="D9" s="477"/>
      <c r="E9" s="476"/>
      <c r="F9" s="477"/>
      <c r="G9" s="35"/>
    </row>
    <row r="10" spans="1:7" ht="15">
      <c r="A10" s="28" t="s">
        <v>489</v>
      </c>
      <c r="B10" s="29"/>
      <c r="C10" s="476">
        <f>47.25+2.24+28.12+41.58+0.73</f>
        <v>119.92</v>
      </c>
      <c r="D10" s="477"/>
      <c r="E10" s="476">
        <v>137</v>
      </c>
      <c r="F10" s="477"/>
      <c r="G10" s="33">
        <f>mvalloc!G14</f>
        <v>117</v>
      </c>
    </row>
    <row r="11" spans="1:7" ht="15">
      <c r="A11" s="28" t="s">
        <v>490</v>
      </c>
      <c r="B11" s="29"/>
      <c r="C11" s="476">
        <v>1.72</v>
      </c>
      <c r="D11" s="477"/>
      <c r="E11" s="476">
        <v>2</v>
      </c>
      <c r="F11" s="477"/>
      <c r="G11" s="33">
        <f>mvalloc!I14</f>
        <v>3</v>
      </c>
    </row>
    <row r="12" spans="1:7" ht="15">
      <c r="A12" s="36" t="s">
        <v>545</v>
      </c>
      <c r="B12" s="29"/>
      <c r="C12" s="476">
        <f>26.91+18.24+0.6</f>
        <v>45.75</v>
      </c>
      <c r="D12" s="477"/>
      <c r="E12" s="476">
        <v>49</v>
      </c>
      <c r="F12" s="477"/>
      <c r="G12" s="33">
        <f>mvalloc!J14</f>
        <v>63</v>
      </c>
    </row>
    <row r="13" spans="1:7" ht="15">
      <c r="A13" s="36" t="s">
        <v>644</v>
      </c>
      <c r="B13" s="29"/>
      <c r="C13" s="476"/>
      <c r="D13" s="477"/>
      <c r="E13" s="476"/>
      <c r="F13" s="477"/>
      <c r="G13" s="33">
        <f>mvalloc!K14</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2122.95</v>
      </c>
      <c r="D20" s="488"/>
      <c r="E20" s="487">
        <f>SUM(E8:E18)</f>
        <v>2138</v>
      </c>
      <c r="F20" s="488"/>
      <c r="G20" s="46">
        <f>SUM(G8:G18)</f>
        <v>183</v>
      </c>
    </row>
    <row r="21" spans="1:7" ht="15">
      <c r="A21" s="47" t="s">
        <v>495</v>
      </c>
      <c r="B21" s="29"/>
      <c r="C21" s="487">
        <f>C20+C6</f>
        <v>2600.95</v>
      </c>
      <c r="D21" s="488"/>
      <c r="E21" s="487">
        <f>E20+E6</f>
        <v>2788.95</v>
      </c>
      <c r="F21" s="488"/>
      <c r="G21" s="46">
        <f>G20+G6</f>
        <v>1021.9499999999998</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t="s">
        <v>697</v>
      </c>
      <c r="B26" s="39"/>
      <c r="C26" s="476">
        <v>1950</v>
      </c>
      <c r="D26" s="477"/>
      <c r="E26" s="476">
        <v>1950</v>
      </c>
      <c r="F26" s="477"/>
      <c r="G26" s="35">
        <v>2972</v>
      </c>
    </row>
    <row r="27" spans="1:7" ht="15">
      <c r="A27" s="40"/>
      <c r="B27" s="39"/>
      <c r="C27" s="476"/>
      <c r="D27" s="477"/>
      <c r="E27" s="476"/>
      <c r="F27" s="477"/>
      <c r="G27" s="35" t="s">
        <v>86</v>
      </c>
    </row>
    <row r="28" spans="1:7" ht="15">
      <c r="A28" s="36" t="s">
        <v>17</v>
      </c>
      <c r="B28" s="42"/>
      <c r="C28" s="476"/>
      <c r="D28" s="477"/>
      <c r="E28" s="476"/>
      <c r="F28" s="477"/>
      <c r="G28" s="51">
        <f>nhood!E9</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1950</v>
      </c>
      <c r="D31" s="488"/>
      <c r="E31" s="487">
        <f>SUM(E23:E29)</f>
        <v>1950</v>
      </c>
      <c r="F31" s="488"/>
      <c r="G31" s="46">
        <f>SUM(G23:G29)</f>
        <v>2972</v>
      </c>
    </row>
    <row r="32" spans="1:7" ht="15">
      <c r="A32" s="28" t="s">
        <v>599</v>
      </c>
      <c r="B32" s="29"/>
      <c r="C32" s="500">
        <f>C21-C31</f>
        <v>650.9499999999998</v>
      </c>
      <c r="D32" s="501"/>
      <c r="E32" s="500">
        <f>E21-E31</f>
        <v>838.9499999999998</v>
      </c>
      <c r="F32" s="501"/>
      <c r="G32" s="34" t="s">
        <v>98</v>
      </c>
    </row>
    <row r="33" spans="1:8" ht="15.75">
      <c r="A33" s="54" t="str">
        <f>CONCATENATE("",G1-2,"/",G1-1," Budget Authority Amount:")</f>
        <v>2010/2011 Budget Authority Amount:</v>
      </c>
      <c r="B33" s="55">
        <f>inputOth!B49</f>
        <v>2606</v>
      </c>
      <c r="C33" s="56">
        <f>inputPrYr!D19</f>
        <v>2803</v>
      </c>
      <c r="D33" s="479" t="s">
        <v>50</v>
      </c>
      <c r="E33" s="480"/>
      <c r="F33" s="481"/>
      <c r="G33" s="35"/>
      <c r="H33" s="57">
        <f>IF(G31/0.95-G31&lt;G33,"Exceeds 5%","")</f>
      </c>
    </row>
    <row r="34" spans="1:7" ht="15">
      <c r="A34" s="54"/>
      <c r="B34" s="58">
        <f>IF(C31&gt;B33,"See Tab A","")</f>
      </c>
      <c r="C34" s="58">
        <f>IF(E31&gt;C33,"See Tab C","")</f>
      </c>
      <c r="D34" s="14"/>
      <c r="E34" s="472" t="s">
        <v>51</v>
      </c>
      <c r="F34" s="473"/>
      <c r="G34" s="33">
        <f>G31+G33</f>
        <v>2972</v>
      </c>
    </row>
    <row r="35" spans="1:7" ht="15">
      <c r="A35" s="54"/>
      <c r="B35" s="58">
        <f>IF(C32&lt;0,"See Tab B","")</f>
      </c>
      <c r="C35" s="69">
        <f>IF(E32&lt;0,"See Tab D","")</f>
      </c>
      <c r="D35" s="14"/>
      <c r="E35" s="472" t="s">
        <v>499</v>
      </c>
      <c r="F35" s="473"/>
      <c r="G35" s="51">
        <f>IF(G34-G21&gt;0,G34-G21,0)</f>
        <v>1950.0500000000002</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1950.0500000000002</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t="str">
        <f>inputPrYr!B20</f>
        <v>Cemetery</v>
      </c>
      <c r="B40" s="25"/>
      <c r="C40" s="491" t="str">
        <f>C5</f>
        <v>Actual 2010</v>
      </c>
      <c r="D40" s="492"/>
      <c r="E40" s="491" t="str">
        <f>E5</f>
        <v>Estimate 2011</v>
      </c>
      <c r="F40" s="492"/>
      <c r="G40" s="27" t="str">
        <f>G5</f>
        <v>Year 2012</v>
      </c>
    </row>
    <row r="41" spans="1:7" ht="15">
      <c r="A41" s="28" t="s">
        <v>598</v>
      </c>
      <c r="B41" s="29"/>
      <c r="C41" s="476">
        <v>216</v>
      </c>
      <c r="D41" s="477"/>
      <c r="E41" s="485">
        <f>C67</f>
        <v>231.51000000000005</v>
      </c>
      <c r="F41" s="486"/>
      <c r="G41" s="33">
        <f>E67</f>
        <v>225.51000000000005</v>
      </c>
    </row>
    <row r="42" spans="1:7" ht="15">
      <c r="A42" s="28" t="s">
        <v>600</v>
      </c>
      <c r="B42" s="29"/>
      <c r="C42" s="485"/>
      <c r="D42" s="486"/>
      <c r="E42" s="485"/>
      <c r="F42" s="486"/>
      <c r="G42" s="34"/>
    </row>
    <row r="43" spans="1:7" ht="15">
      <c r="A43" s="28" t="s">
        <v>487</v>
      </c>
      <c r="B43" s="29"/>
      <c r="C43" s="476">
        <f>135.74+1.58+56.62+5.05</f>
        <v>198.99000000000004</v>
      </c>
      <c r="D43" s="477"/>
      <c r="E43" s="485">
        <f>inputPrYr!E20</f>
        <v>175</v>
      </c>
      <c r="F43" s="486"/>
      <c r="G43" s="34" t="s">
        <v>98</v>
      </c>
    </row>
    <row r="44" spans="1:7" ht="15">
      <c r="A44" s="28" t="s">
        <v>488</v>
      </c>
      <c r="B44" s="29"/>
      <c r="C44" s="476">
        <v>1.62</v>
      </c>
      <c r="D44" s="477"/>
      <c r="E44" s="476"/>
      <c r="F44" s="477"/>
      <c r="G44" s="35"/>
    </row>
    <row r="45" spans="1:7" ht="15">
      <c r="A45" s="28" t="s">
        <v>489</v>
      </c>
      <c r="B45" s="29"/>
      <c r="C45" s="476">
        <f>4.25+0.2+2.53+3.74+0.07</f>
        <v>10.790000000000001</v>
      </c>
      <c r="D45" s="477"/>
      <c r="E45" s="476">
        <v>14</v>
      </c>
      <c r="F45" s="477"/>
      <c r="G45" s="33">
        <f>mvalloc!G15</f>
        <v>10</v>
      </c>
    </row>
    <row r="46" spans="1:7" ht="15">
      <c r="A46" s="28" t="s">
        <v>490</v>
      </c>
      <c r="B46" s="29"/>
      <c r="C46" s="476">
        <v>0</v>
      </c>
      <c r="D46" s="477"/>
      <c r="E46" s="476">
        <v>0</v>
      </c>
      <c r="F46" s="477"/>
      <c r="G46" s="33">
        <f>mvalloc!I15</f>
        <v>0</v>
      </c>
    </row>
    <row r="47" spans="1:7" ht="15">
      <c r="A47" s="28" t="s">
        <v>579</v>
      </c>
      <c r="B47" s="29"/>
      <c r="C47" s="476">
        <f>2.42+1.64+0.05</f>
        <v>4.109999999999999</v>
      </c>
      <c r="D47" s="477"/>
      <c r="E47" s="476">
        <v>5</v>
      </c>
      <c r="F47" s="477"/>
      <c r="G47" s="33">
        <f>mvalloc!J15</f>
        <v>6</v>
      </c>
    </row>
    <row r="48" spans="1:7" ht="15">
      <c r="A48" s="28" t="s">
        <v>644</v>
      </c>
      <c r="B48" s="29"/>
      <c r="C48" s="476"/>
      <c r="D48" s="477"/>
      <c r="E48" s="476"/>
      <c r="F48" s="477"/>
      <c r="G48" s="33">
        <f>mvalloc!K15</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215.51000000000005</v>
      </c>
      <c r="D55" s="488"/>
      <c r="E55" s="487">
        <f>SUM(E43:E53)</f>
        <v>194</v>
      </c>
      <c r="F55" s="488"/>
      <c r="G55" s="46">
        <f>SUM(G43:G53)</f>
        <v>16</v>
      </c>
    </row>
    <row r="56" spans="1:7" ht="15">
      <c r="A56" s="47" t="s">
        <v>495</v>
      </c>
      <c r="B56" s="29"/>
      <c r="C56" s="487">
        <f>C55+C41</f>
        <v>431.51000000000005</v>
      </c>
      <c r="D56" s="488"/>
      <c r="E56" s="487">
        <f>E55+E41</f>
        <v>425.51000000000005</v>
      </c>
      <c r="F56" s="488"/>
      <c r="G56" s="46">
        <f>G55+G41</f>
        <v>241.51000000000005</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t="s">
        <v>698</v>
      </c>
      <c r="B61" s="39"/>
      <c r="C61" s="476">
        <v>200</v>
      </c>
      <c r="D61" s="477"/>
      <c r="E61" s="476">
        <v>200</v>
      </c>
      <c r="F61" s="477"/>
      <c r="G61" s="35">
        <v>427</v>
      </c>
    </row>
    <row r="62" spans="1:7" ht="15">
      <c r="A62" s="40"/>
      <c r="B62" s="39"/>
      <c r="C62" s="476"/>
      <c r="D62" s="477"/>
      <c r="E62" s="476"/>
      <c r="F62" s="477"/>
      <c r="G62" s="35"/>
    </row>
    <row r="63" spans="1:7" ht="15">
      <c r="A63" s="36" t="s">
        <v>17</v>
      </c>
      <c r="B63" s="42"/>
      <c r="C63" s="476"/>
      <c r="D63" s="477"/>
      <c r="E63" s="476"/>
      <c r="F63" s="477"/>
      <c r="G63" s="51">
        <f>nhood!E10</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200</v>
      </c>
      <c r="D66" s="488"/>
      <c r="E66" s="487">
        <f>SUM(E58:E64)</f>
        <v>200</v>
      </c>
      <c r="F66" s="488"/>
      <c r="G66" s="46">
        <f>SUM(G58:G64)</f>
        <v>427</v>
      </c>
    </row>
    <row r="67" spans="1:7" ht="15">
      <c r="A67" s="28" t="s">
        <v>599</v>
      </c>
      <c r="B67" s="29"/>
      <c r="C67" s="500">
        <f>C56-C66</f>
        <v>231.51000000000005</v>
      </c>
      <c r="D67" s="501"/>
      <c r="E67" s="500">
        <f>E56-E66</f>
        <v>225.51000000000005</v>
      </c>
      <c r="F67" s="501"/>
      <c r="G67" s="34" t="s">
        <v>98</v>
      </c>
    </row>
    <row r="68" spans="1:8" ht="15.75">
      <c r="A68" s="54" t="str">
        <f>CONCATENATE("",G1-2,"/",G1-1," Budget Authority Amount:")</f>
        <v>2010/2011 Budget Authority Amount:</v>
      </c>
      <c r="B68" s="55">
        <f>inputOth!B50</f>
        <v>404</v>
      </c>
      <c r="C68" s="56">
        <f>inputPrYr!D20</f>
        <v>427</v>
      </c>
      <c r="D68" s="479" t="s">
        <v>50</v>
      </c>
      <c r="E68" s="480"/>
      <c r="F68" s="481"/>
      <c r="G68" s="35"/>
      <c r="H68" s="57">
        <f>IF(G66/0.95-G66&lt;G68,"Exceeds 5%","")</f>
      </c>
    </row>
    <row r="69" spans="1:7" ht="15">
      <c r="A69" s="54"/>
      <c r="B69" s="58">
        <f>IF(C66&gt;B68,"See Tab A","")</f>
      </c>
      <c r="C69" s="58">
        <f>IF(E66&gt;C68,"See Tab C","")</f>
      </c>
      <c r="D69" s="14"/>
      <c r="E69" s="472" t="s">
        <v>51</v>
      </c>
      <c r="F69" s="473"/>
      <c r="G69" s="33">
        <f>G66+G68</f>
        <v>427</v>
      </c>
    </row>
    <row r="70" spans="1:7" ht="15">
      <c r="A70" s="54"/>
      <c r="B70" s="58">
        <f>IF(C67&lt;0,"See Tab B","")</f>
      </c>
      <c r="C70" s="69">
        <f>IF(E67&lt;0,"See Tab D","")</f>
      </c>
      <c r="D70" s="14"/>
      <c r="E70" s="472" t="s">
        <v>499</v>
      </c>
      <c r="F70" s="473"/>
      <c r="G70" s="51">
        <f>IF(G69-G56&gt;0,G69-G56,0)</f>
        <v>185.48999999999995</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185.48999999999995</v>
      </c>
    </row>
    <row r="73" spans="1:7" ht="15">
      <c r="A73" s="59" t="s">
        <v>480</v>
      </c>
      <c r="B73" s="65">
        <v>7</v>
      </c>
      <c r="C73" s="14"/>
      <c r="D73" s="14"/>
      <c r="E73" s="14"/>
      <c r="F73" s="14"/>
      <c r="G73" s="14"/>
    </row>
    <row r="74" spans="1:2" ht="15">
      <c r="A74" s="103"/>
      <c r="B74" s="103"/>
    </row>
  </sheetData>
  <sheetProtection sheet="1" objects="1" scenarios="1"/>
  <mergeCells count="126">
    <mergeCell ref="E9:F9"/>
    <mergeCell ref="E4:F4"/>
    <mergeCell ref="E5:F5"/>
    <mergeCell ref="E6:F6"/>
    <mergeCell ref="E7:F7"/>
    <mergeCell ref="E8:F8"/>
    <mergeCell ref="C4:D4"/>
    <mergeCell ref="C5:D5"/>
    <mergeCell ref="C6:D6"/>
    <mergeCell ref="C7:D7"/>
    <mergeCell ref="C8:D8"/>
    <mergeCell ref="C9:D9"/>
    <mergeCell ref="C10:D10"/>
    <mergeCell ref="C11:D11"/>
    <mergeCell ref="C12:D12"/>
    <mergeCell ref="C13:D13"/>
    <mergeCell ref="E29:F29"/>
    <mergeCell ref="E30:F30"/>
    <mergeCell ref="E22:F22"/>
    <mergeCell ref="C14:D14"/>
    <mergeCell ref="C15:D15"/>
    <mergeCell ref="C18:D18"/>
    <mergeCell ref="C19:D19"/>
    <mergeCell ref="C20:D20"/>
    <mergeCell ref="E42:F42"/>
    <mergeCell ref="E31:F31"/>
    <mergeCell ref="E32:F32"/>
    <mergeCell ref="C29:D29"/>
    <mergeCell ref="C30:D30"/>
    <mergeCell ref="C31:D31"/>
    <mergeCell ref="C32:D32"/>
    <mergeCell ref="C24:D24"/>
    <mergeCell ref="C53:D53"/>
    <mergeCell ref="C54:D54"/>
    <mergeCell ref="C55:D55"/>
    <mergeCell ref="C43:D43"/>
    <mergeCell ref="C44:D44"/>
    <mergeCell ref="C45:D45"/>
    <mergeCell ref="C46:D46"/>
    <mergeCell ref="E64:F64"/>
    <mergeCell ref="E65:F65"/>
    <mergeCell ref="E66:F66"/>
    <mergeCell ref="E67:F67"/>
    <mergeCell ref="C64:D64"/>
    <mergeCell ref="C65:D65"/>
    <mergeCell ref="C66:D66"/>
    <mergeCell ref="C67:D67"/>
    <mergeCell ref="E10:F10"/>
    <mergeCell ref="E11:F11"/>
    <mergeCell ref="E12:F12"/>
    <mergeCell ref="E13:F13"/>
    <mergeCell ref="E14:F14"/>
    <mergeCell ref="E15:F15"/>
    <mergeCell ref="E16:F16"/>
    <mergeCell ref="E17:F17"/>
    <mergeCell ref="C16:D16"/>
    <mergeCell ref="C17:D17"/>
    <mergeCell ref="C23:D23"/>
    <mergeCell ref="E18:F18"/>
    <mergeCell ref="E19:F19"/>
    <mergeCell ref="E20:F20"/>
    <mergeCell ref="E21:F21"/>
    <mergeCell ref="E23:F23"/>
    <mergeCell ref="E24:F24"/>
    <mergeCell ref="C21:D21"/>
    <mergeCell ref="C22:D22"/>
    <mergeCell ref="E25:F25"/>
    <mergeCell ref="E26:F26"/>
    <mergeCell ref="E27:F27"/>
    <mergeCell ref="E28:F28"/>
    <mergeCell ref="C49:D49"/>
    <mergeCell ref="C50:D50"/>
    <mergeCell ref="E50:F50"/>
    <mergeCell ref="D36:E36"/>
    <mergeCell ref="E49:F49"/>
    <mergeCell ref="E43:F43"/>
    <mergeCell ref="C39:D39"/>
    <mergeCell ref="C40:D40"/>
    <mergeCell ref="C41:D41"/>
    <mergeCell ref="C42:D42"/>
    <mergeCell ref="C25:D25"/>
    <mergeCell ref="C51:D51"/>
    <mergeCell ref="C52:D52"/>
    <mergeCell ref="C26:D26"/>
    <mergeCell ref="C27:D27"/>
    <mergeCell ref="C28:D28"/>
    <mergeCell ref="C47:D47"/>
    <mergeCell ref="C48:D48"/>
    <mergeCell ref="D33:F33"/>
    <mergeCell ref="E34:F34"/>
    <mergeCell ref="E35:F35"/>
    <mergeCell ref="E51:F51"/>
    <mergeCell ref="E44:F44"/>
    <mergeCell ref="E45:F45"/>
    <mergeCell ref="E46:F46"/>
    <mergeCell ref="E47:F47"/>
    <mergeCell ref="E48:F48"/>
    <mergeCell ref="E39:F39"/>
    <mergeCell ref="E40:F40"/>
    <mergeCell ref="E41:F41"/>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ERVING TOWNSHIP</v>
      </c>
      <c r="B1" s="22" t="s">
        <v>508</v>
      </c>
      <c r="C1" s="14"/>
      <c r="D1" s="14"/>
      <c r="E1" s="14"/>
      <c r="F1" s="14"/>
      <c r="G1" s="15">
        <f>inputPrYr!D5</f>
        <v>2012</v>
      </c>
    </row>
    <row r="2" spans="1:7" ht="15">
      <c r="A2" s="17" t="s">
        <v>549</v>
      </c>
      <c r="B2" s="14"/>
      <c r="C2" s="14"/>
      <c r="D2" s="14"/>
      <c r="E2" s="71"/>
      <c r="F2" s="71"/>
      <c r="G2" s="105"/>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inputPrYr!B21</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inputPrYr!E21</f>
        <v>0</v>
      </c>
      <c r="F8" s="486"/>
      <c r="G8" s="34" t="s">
        <v>98</v>
      </c>
    </row>
    <row r="9" spans="1:7" ht="15">
      <c r="A9" s="28" t="s">
        <v>488</v>
      </c>
      <c r="B9" s="29"/>
      <c r="C9" s="476"/>
      <c r="D9" s="477"/>
      <c r="E9" s="476"/>
      <c r="F9" s="477"/>
      <c r="G9" s="35"/>
    </row>
    <row r="10" spans="1:7" ht="15">
      <c r="A10" s="28" t="s">
        <v>489</v>
      </c>
      <c r="B10" s="29"/>
      <c r="C10" s="476"/>
      <c r="D10" s="477"/>
      <c r="E10" s="476"/>
      <c r="F10" s="477"/>
      <c r="G10" s="33">
        <f>mvalloc!G16</f>
        <v>0</v>
      </c>
    </row>
    <row r="11" spans="1:7" ht="15">
      <c r="A11" s="28" t="s">
        <v>490</v>
      </c>
      <c r="B11" s="29"/>
      <c r="C11" s="476"/>
      <c r="D11" s="477"/>
      <c r="E11" s="476"/>
      <c r="F11" s="477"/>
      <c r="G11" s="33">
        <f>mvalloc!I16</f>
        <v>0</v>
      </c>
    </row>
    <row r="12" spans="1:7" ht="15">
      <c r="A12" s="28" t="s">
        <v>579</v>
      </c>
      <c r="B12" s="29"/>
      <c r="C12" s="476"/>
      <c r="D12" s="477"/>
      <c r="E12" s="476"/>
      <c r="F12" s="477"/>
      <c r="G12" s="33">
        <f>mvalloc!J16</f>
        <v>0</v>
      </c>
    </row>
    <row r="13" spans="1:7" ht="15">
      <c r="A13" s="28" t="s">
        <v>644</v>
      </c>
      <c r="B13" s="29"/>
      <c r="C13" s="476"/>
      <c r="D13" s="477"/>
      <c r="E13" s="476"/>
      <c r="F13" s="477"/>
      <c r="G13" s="33">
        <f>mvalloc!K16</f>
        <v>0</v>
      </c>
    </row>
    <row r="14" spans="1:7" ht="15">
      <c r="A14" s="38"/>
      <c r="B14" s="39"/>
      <c r="C14" s="476"/>
      <c r="D14" s="477"/>
      <c r="E14" s="476"/>
      <c r="F14" s="477"/>
      <c r="G14" s="35"/>
    </row>
    <row r="15" spans="1:7" ht="15">
      <c r="A15" s="38"/>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nhood!E11</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inputOth!B51</f>
        <v>0</v>
      </c>
      <c r="C33" s="56">
        <f>inputPrYr!D21</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inputPrYr!B22</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inputPrYr!E22</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mvalloc!G17</f>
        <v>0</v>
      </c>
    </row>
    <row r="46" spans="1:7" ht="15">
      <c r="A46" s="28" t="s">
        <v>490</v>
      </c>
      <c r="B46" s="29"/>
      <c r="C46" s="476"/>
      <c r="D46" s="477"/>
      <c r="E46" s="476"/>
      <c r="F46" s="477"/>
      <c r="G46" s="33">
        <f>mvalloc!I17</f>
        <v>0</v>
      </c>
    </row>
    <row r="47" spans="1:7" ht="15">
      <c r="A47" s="28" t="s">
        <v>579</v>
      </c>
      <c r="B47" s="29"/>
      <c r="C47" s="476"/>
      <c r="D47" s="477"/>
      <c r="E47" s="476"/>
      <c r="F47" s="477"/>
      <c r="G47" s="33">
        <f>mvalloc!J17</f>
        <v>0</v>
      </c>
    </row>
    <row r="48" spans="1:7" ht="15">
      <c r="A48" s="28" t="s">
        <v>644</v>
      </c>
      <c r="B48" s="29"/>
      <c r="C48" s="476"/>
      <c r="D48" s="477"/>
      <c r="E48" s="476"/>
      <c r="F48" s="477"/>
      <c r="G48" s="33">
        <f>mvalloc!K17</f>
        <v>0</v>
      </c>
    </row>
    <row r="49" spans="1:7" ht="15">
      <c r="A49" s="40"/>
      <c r="B49" s="39"/>
      <c r="C49" s="476"/>
      <c r="D49" s="477"/>
      <c r="E49" s="476"/>
      <c r="F49" s="477"/>
      <c r="G49" s="35"/>
    </row>
    <row r="50" spans="1:7" ht="15">
      <c r="A50" s="40"/>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nhood!E12</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inputOth!B52</f>
        <v>0</v>
      </c>
      <c r="C68" s="56">
        <f>inputPrYr!D22</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c r="C73" s="14"/>
      <c r="D73" s="14"/>
      <c r="E73" s="14"/>
      <c r="F73" s="14"/>
      <c r="G73" s="14"/>
    </row>
    <row r="74" spans="1:2" ht="15">
      <c r="A74" s="103"/>
      <c r="B74" s="103"/>
    </row>
  </sheetData>
  <sheetProtection sheet="1" objects="1" scenarios="1"/>
  <mergeCells count="126">
    <mergeCell ref="E6:F6"/>
    <mergeCell ref="C18:D18"/>
    <mergeCell ref="E8:F8"/>
    <mergeCell ref="C7:D7"/>
    <mergeCell ref="C12:D12"/>
    <mergeCell ref="C13:D13"/>
    <mergeCell ref="C4:D4"/>
    <mergeCell ref="C5:D5"/>
    <mergeCell ref="C19:D19"/>
    <mergeCell ref="E11:F11"/>
    <mergeCell ref="E12:F12"/>
    <mergeCell ref="E13:F13"/>
    <mergeCell ref="E4:F4"/>
    <mergeCell ref="E5:F5"/>
    <mergeCell ref="C6:D6"/>
    <mergeCell ref="C17:D17"/>
    <mergeCell ref="C16:D16"/>
    <mergeCell ref="E7:F7"/>
    <mergeCell ref="E9:F9"/>
    <mergeCell ref="E10:F10"/>
    <mergeCell ref="C10:D10"/>
    <mergeCell ref="C8:D8"/>
    <mergeCell ref="C9:D9"/>
    <mergeCell ref="C11:D11"/>
    <mergeCell ref="C52:D52"/>
    <mergeCell ref="E51:F51"/>
    <mergeCell ref="E31:F31"/>
    <mergeCell ref="E32:F32"/>
    <mergeCell ref="C29:D29"/>
    <mergeCell ref="C30:D30"/>
    <mergeCell ref="C31:D31"/>
    <mergeCell ref="C32:D32"/>
    <mergeCell ref="E29:F29"/>
    <mergeCell ref="E30:F30"/>
    <mergeCell ref="E42:F42"/>
    <mergeCell ref="C39:D39"/>
    <mergeCell ref="C40:D40"/>
    <mergeCell ref="C41:D41"/>
    <mergeCell ref="C42:D42"/>
    <mergeCell ref="C45:D45"/>
    <mergeCell ref="C67:D67"/>
    <mergeCell ref="E64:F64"/>
    <mergeCell ref="E65:F65"/>
    <mergeCell ref="E66:F66"/>
    <mergeCell ref="E67:F67"/>
    <mergeCell ref="C50:D50"/>
    <mergeCell ref="C64:D64"/>
    <mergeCell ref="C65:D65"/>
    <mergeCell ref="C66:D66"/>
    <mergeCell ref="C51:D51"/>
    <mergeCell ref="C54:D54"/>
    <mergeCell ref="C55:D55"/>
    <mergeCell ref="E26:F26"/>
    <mergeCell ref="E27:F27"/>
    <mergeCell ref="E28:F28"/>
    <mergeCell ref="C49:D49"/>
    <mergeCell ref="E43:F43"/>
    <mergeCell ref="C43:D43"/>
    <mergeCell ref="C44:D44"/>
    <mergeCell ref="C53:D53"/>
    <mergeCell ref="E39:F39"/>
    <mergeCell ref="E40:F40"/>
    <mergeCell ref="C46:D46"/>
    <mergeCell ref="C47:D47"/>
    <mergeCell ref="C25:D25"/>
    <mergeCell ref="C21:D21"/>
    <mergeCell ref="C22:D22"/>
    <mergeCell ref="E25:F25"/>
    <mergeCell ref="C23:D23"/>
    <mergeCell ref="E41:F41"/>
    <mergeCell ref="E23:F23"/>
    <mergeCell ref="E24:F24"/>
    <mergeCell ref="C20:D20"/>
    <mergeCell ref="E14:F14"/>
    <mergeCell ref="E15:F15"/>
    <mergeCell ref="E16:F16"/>
    <mergeCell ref="E17:F17"/>
    <mergeCell ref="E18:F18"/>
    <mergeCell ref="E19:F19"/>
    <mergeCell ref="E20:F20"/>
    <mergeCell ref="E34:F34"/>
    <mergeCell ref="E35:F35"/>
    <mergeCell ref="D36:E36"/>
    <mergeCell ref="E44:F44"/>
    <mergeCell ref="E45:F45"/>
    <mergeCell ref="C14:D14"/>
    <mergeCell ref="C15:D15"/>
    <mergeCell ref="E21:F21"/>
    <mergeCell ref="C24:D24"/>
    <mergeCell ref="E22:F22"/>
    <mergeCell ref="E61:F61"/>
    <mergeCell ref="E60:F60"/>
    <mergeCell ref="E54:F54"/>
    <mergeCell ref="E55:F55"/>
    <mergeCell ref="E56:F56"/>
    <mergeCell ref="C26:D26"/>
    <mergeCell ref="C27:D27"/>
    <mergeCell ref="C28:D28"/>
    <mergeCell ref="C48:D48"/>
    <mergeCell ref="D33:F33"/>
    <mergeCell ref="E53:F53"/>
    <mergeCell ref="E46:F46"/>
    <mergeCell ref="E47:F47"/>
    <mergeCell ref="E48:F48"/>
    <mergeCell ref="E50:F50"/>
    <mergeCell ref="E49:F49"/>
    <mergeCell ref="C63:D63"/>
    <mergeCell ref="E57:F57"/>
    <mergeCell ref="E62:F62"/>
    <mergeCell ref="E63:F63"/>
    <mergeCell ref="E52:F52"/>
    <mergeCell ref="C58:D58"/>
    <mergeCell ref="C59:D59"/>
    <mergeCell ref="C60:D60"/>
    <mergeCell ref="C56:D56"/>
    <mergeCell ref="C57:D57"/>
    <mergeCell ref="E58:F58"/>
    <mergeCell ref="E59:F59"/>
    <mergeCell ref="C72:F72"/>
    <mergeCell ref="C37:F37"/>
    <mergeCell ref="D68:F68"/>
    <mergeCell ref="E69:F69"/>
    <mergeCell ref="E70:F70"/>
    <mergeCell ref="D71:E71"/>
    <mergeCell ref="C61:D61"/>
    <mergeCell ref="C62:D62"/>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ERVING TOWNSHIP</v>
      </c>
      <c r="B1" s="22" t="s">
        <v>508</v>
      </c>
      <c r="C1" s="14"/>
      <c r="D1" s="14"/>
      <c r="E1" s="14"/>
      <c r="F1" s="14"/>
      <c r="G1" s="15">
        <f>inputPrYr!D5</f>
        <v>2012</v>
      </c>
    </row>
    <row r="2" spans="1:7" ht="15">
      <c r="A2" s="17" t="s">
        <v>549</v>
      </c>
      <c r="B2" s="14"/>
      <c r="C2" s="14"/>
      <c r="D2" s="14"/>
      <c r="E2" s="71"/>
      <c r="F2" s="71"/>
      <c r="G2" s="72"/>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inputPrYr!B23</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inputPrYr!E23</f>
        <v>0</v>
      </c>
      <c r="F8" s="486"/>
      <c r="G8" s="34" t="s">
        <v>98</v>
      </c>
    </row>
    <row r="9" spans="1:7" ht="15">
      <c r="A9" s="28" t="s">
        <v>488</v>
      </c>
      <c r="B9" s="29"/>
      <c r="C9" s="476"/>
      <c r="D9" s="477"/>
      <c r="E9" s="476"/>
      <c r="F9" s="477"/>
      <c r="G9" s="35"/>
    </row>
    <row r="10" spans="1:7" ht="15">
      <c r="A10" s="28" t="s">
        <v>489</v>
      </c>
      <c r="B10" s="29"/>
      <c r="C10" s="476"/>
      <c r="D10" s="477"/>
      <c r="E10" s="476"/>
      <c r="F10" s="477"/>
      <c r="G10" s="33">
        <f>mvalloc!G18</f>
        <v>0</v>
      </c>
    </row>
    <row r="11" spans="1:7" ht="15">
      <c r="A11" s="28" t="s">
        <v>490</v>
      </c>
      <c r="B11" s="29"/>
      <c r="C11" s="476"/>
      <c r="D11" s="477"/>
      <c r="E11" s="476"/>
      <c r="F11" s="477"/>
      <c r="G11" s="33">
        <f>mvalloc!I18</f>
        <v>0</v>
      </c>
    </row>
    <row r="12" spans="1:7" ht="15">
      <c r="A12" s="28" t="s">
        <v>579</v>
      </c>
      <c r="B12" s="29"/>
      <c r="C12" s="476"/>
      <c r="D12" s="477"/>
      <c r="E12" s="476"/>
      <c r="F12" s="477"/>
      <c r="G12" s="33">
        <f>mvalloc!J18</f>
        <v>0</v>
      </c>
    </row>
    <row r="13" spans="1:7" ht="15">
      <c r="A13" s="28" t="s">
        <v>644</v>
      </c>
      <c r="B13" s="29"/>
      <c r="C13" s="476"/>
      <c r="D13" s="477"/>
      <c r="E13" s="476"/>
      <c r="F13" s="477"/>
      <c r="G13" s="33">
        <f>mvalloc!K18</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3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nhood!E13</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inputOth!B53</f>
        <v>0</v>
      </c>
      <c r="C33" s="56">
        <f>inputPrYr!D23</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inputPrYr!B24</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inputPrYr!E24</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mvalloc!G19</f>
        <v>0</v>
      </c>
    </row>
    <row r="46" spans="1:7" ht="15">
      <c r="A46" s="28" t="s">
        <v>490</v>
      </c>
      <c r="B46" s="29"/>
      <c r="C46" s="476"/>
      <c r="D46" s="477"/>
      <c r="E46" s="476"/>
      <c r="F46" s="477"/>
      <c r="G46" s="33">
        <f>mvalloc!I19</f>
        <v>0</v>
      </c>
    </row>
    <row r="47" spans="1:7" ht="15">
      <c r="A47" s="28" t="s">
        <v>579</v>
      </c>
      <c r="B47" s="29"/>
      <c r="C47" s="476"/>
      <c r="D47" s="477"/>
      <c r="E47" s="476"/>
      <c r="F47" s="477"/>
      <c r="G47" s="33">
        <f>mvalloc!J19</f>
        <v>0</v>
      </c>
    </row>
    <row r="48" spans="1:7" ht="15">
      <c r="A48" s="28" t="s">
        <v>644</v>
      </c>
      <c r="B48" s="29"/>
      <c r="C48" s="476"/>
      <c r="D48" s="477"/>
      <c r="E48" s="476"/>
      <c r="F48" s="477"/>
      <c r="G48" s="33">
        <f>mvalloc!K19</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nhood!E14</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inputOth!B54</f>
        <v>0</v>
      </c>
      <c r="C68" s="56">
        <f>inputPrYr!D24</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104"/>
      <c r="C73" s="14"/>
      <c r="D73" s="14"/>
      <c r="E73" s="14"/>
      <c r="F73" s="14"/>
      <c r="G73" s="14"/>
    </row>
    <row r="74" spans="1:2" ht="15">
      <c r="A74" s="103"/>
      <c r="B74" s="103"/>
    </row>
  </sheetData>
  <sheetProtection sheet="1" objects="1" scenarios="1"/>
  <mergeCells count="126">
    <mergeCell ref="C12:D12"/>
    <mergeCell ref="E12:F12"/>
    <mergeCell ref="C4:D4"/>
    <mergeCell ref="C5:D5"/>
    <mergeCell ref="C6:D6"/>
    <mergeCell ref="E10:F10"/>
    <mergeCell ref="C7:D7"/>
    <mergeCell ref="E9:F9"/>
    <mergeCell ref="E4:F4"/>
    <mergeCell ref="E5:F5"/>
    <mergeCell ref="E6:F6"/>
    <mergeCell ref="E7:F7"/>
    <mergeCell ref="E8:F8"/>
    <mergeCell ref="C18:D18"/>
    <mergeCell ref="C19:D19"/>
    <mergeCell ref="C20:D20"/>
    <mergeCell ref="C8:D8"/>
    <mergeCell ref="C9:D9"/>
    <mergeCell ref="C10:D10"/>
    <mergeCell ref="C13:D13"/>
    <mergeCell ref="E11:F11"/>
    <mergeCell ref="C11:D11"/>
    <mergeCell ref="C39:D39"/>
    <mergeCell ref="C40:D40"/>
    <mergeCell ref="E39:F39"/>
    <mergeCell ref="E40:F40"/>
    <mergeCell ref="E13:F13"/>
    <mergeCell ref="C14:D14"/>
    <mergeCell ref="C15:D15"/>
    <mergeCell ref="E14:F14"/>
    <mergeCell ref="E66:F66"/>
    <mergeCell ref="E67:F67"/>
    <mergeCell ref="C64:D64"/>
    <mergeCell ref="C65:D65"/>
    <mergeCell ref="C66:D66"/>
    <mergeCell ref="C67:D67"/>
    <mergeCell ref="E64:F64"/>
    <mergeCell ref="E65:F65"/>
    <mergeCell ref="C57:D57"/>
    <mergeCell ref="E53:F53"/>
    <mergeCell ref="E54:F54"/>
    <mergeCell ref="E55:F55"/>
    <mergeCell ref="E56:F56"/>
    <mergeCell ref="E57:F57"/>
    <mergeCell ref="C53:D53"/>
    <mergeCell ref="C54:D54"/>
    <mergeCell ref="C55:D55"/>
    <mergeCell ref="C56:D56"/>
    <mergeCell ref="E15:F15"/>
    <mergeCell ref="E16:F16"/>
    <mergeCell ref="E17:F17"/>
    <mergeCell ref="C16:D16"/>
    <mergeCell ref="C17:D17"/>
    <mergeCell ref="E19:F19"/>
    <mergeCell ref="E18:F18"/>
    <mergeCell ref="E20:F20"/>
    <mergeCell ref="E21:F21"/>
    <mergeCell ref="C24:D24"/>
    <mergeCell ref="E23:F23"/>
    <mergeCell ref="E24:F24"/>
    <mergeCell ref="C21:D21"/>
    <mergeCell ref="C22:D22"/>
    <mergeCell ref="C23:D23"/>
    <mergeCell ref="E22:F22"/>
    <mergeCell ref="C45:D45"/>
    <mergeCell ref="E45:F45"/>
    <mergeCell ref="C25:D25"/>
    <mergeCell ref="C29:D29"/>
    <mergeCell ref="C30:D30"/>
    <mergeCell ref="E25:F25"/>
    <mergeCell ref="E26:F26"/>
    <mergeCell ref="E27:F27"/>
    <mergeCell ref="E28:F28"/>
    <mergeCell ref="E41:F41"/>
    <mergeCell ref="E35:F35"/>
    <mergeCell ref="D36:E36"/>
    <mergeCell ref="E44:F44"/>
    <mergeCell ref="C44:D44"/>
    <mergeCell ref="E42:F42"/>
    <mergeCell ref="E43:F43"/>
    <mergeCell ref="C41:D41"/>
    <mergeCell ref="C42:D42"/>
    <mergeCell ref="C43:D43"/>
    <mergeCell ref="E30:F30"/>
    <mergeCell ref="E31:F31"/>
    <mergeCell ref="E32:F32"/>
    <mergeCell ref="C31:D31"/>
    <mergeCell ref="C32:D32"/>
    <mergeCell ref="E34:F34"/>
    <mergeCell ref="E60:F60"/>
    <mergeCell ref="C63:D63"/>
    <mergeCell ref="E59:F59"/>
    <mergeCell ref="E61:F61"/>
    <mergeCell ref="E58:F58"/>
    <mergeCell ref="C26:D26"/>
    <mergeCell ref="C27:D27"/>
    <mergeCell ref="C28:D28"/>
    <mergeCell ref="D33:F33"/>
    <mergeCell ref="E29:F29"/>
    <mergeCell ref="E52:F52"/>
    <mergeCell ref="C46:D46"/>
    <mergeCell ref="C47:D47"/>
    <mergeCell ref="E48:F48"/>
    <mergeCell ref="C52:D52"/>
    <mergeCell ref="E63:F63"/>
    <mergeCell ref="C58:D58"/>
    <mergeCell ref="C59:D59"/>
    <mergeCell ref="C60:D60"/>
    <mergeCell ref="C61:D61"/>
    <mergeCell ref="E46:F46"/>
    <mergeCell ref="E47:F47"/>
    <mergeCell ref="E49:F49"/>
    <mergeCell ref="E50:F50"/>
    <mergeCell ref="C50:D50"/>
    <mergeCell ref="C51:D51"/>
    <mergeCell ref="E51:F51"/>
    <mergeCell ref="C72:F72"/>
    <mergeCell ref="C37:F37"/>
    <mergeCell ref="D68:F68"/>
    <mergeCell ref="E69:F69"/>
    <mergeCell ref="E70:F70"/>
    <mergeCell ref="D71:E71"/>
    <mergeCell ref="C62:D62"/>
    <mergeCell ref="E62:F62"/>
    <mergeCell ref="C48:D48"/>
    <mergeCell ref="C49:D49"/>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ERVING TOWNSHIP</v>
      </c>
      <c r="B1" s="13"/>
      <c r="C1" s="14"/>
      <c r="D1" s="14"/>
      <c r="E1" s="15">
        <f>inputPrYr!D5</f>
        <v>2012</v>
      </c>
    </row>
    <row r="2" spans="1:5" ht="15">
      <c r="A2" s="14"/>
      <c r="B2" s="14"/>
      <c r="C2" s="14"/>
      <c r="D2" s="14"/>
      <c r="E2" s="59"/>
    </row>
    <row r="3" spans="1:5" ht="15">
      <c r="A3" s="17" t="s">
        <v>624</v>
      </c>
      <c r="B3" s="17"/>
      <c r="C3" s="88"/>
      <c r="D3" s="88"/>
      <c r="E3" s="88"/>
    </row>
    <row r="4" spans="1:5" ht="15">
      <c r="A4" s="22" t="s">
        <v>481</v>
      </c>
      <c r="B4" s="22"/>
      <c r="C4" s="91" t="s">
        <v>482</v>
      </c>
      <c r="D4" s="23" t="s">
        <v>483</v>
      </c>
      <c r="E4" s="23" t="s">
        <v>484</v>
      </c>
    </row>
    <row r="5" spans="1:5" ht="15">
      <c r="A5" s="24">
        <f>inputPrYr!B28</f>
        <v>0</v>
      </c>
      <c r="B5" s="24"/>
      <c r="C5" s="27" t="str">
        <f>gen!C5</f>
        <v>Actual 2010</v>
      </c>
      <c r="D5" s="27" t="str">
        <f>gen!E5</f>
        <v>Estimate 2011</v>
      </c>
      <c r="E5" s="27" t="str">
        <f>gen!G5</f>
        <v>Year 2012</v>
      </c>
    </row>
    <row r="6" spans="1:5" ht="15">
      <c r="A6" s="106" t="s">
        <v>625</v>
      </c>
      <c r="B6" s="107"/>
      <c r="C6" s="31"/>
      <c r="D6" s="33">
        <f>C29</f>
        <v>0</v>
      </c>
      <c r="E6" s="33">
        <f>D29</f>
        <v>0</v>
      </c>
    </row>
    <row r="7" spans="1:5" s="16" customFormat="1" ht="15">
      <c r="A7" s="108" t="s">
        <v>600</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493</v>
      </c>
      <c r="B12" s="111"/>
      <c r="C12" s="31"/>
      <c r="D12" s="35"/>
      <c r="E12" s="35"/>
    </row>
    <row r="13" spans="1:5" ht="15">
      <c r="A13" s="41" t="s">
        <v>14</v>
      </c>
      <c r="B13" s="42"/>
      <c r="C13" s="31"/>
      <c r="D13" s="31"/>
      <c r="E13" s="31"/>
    </row>
    <row r="14" spans="1:5" ht="15">
      <c r="A14" s="41" t="s">
        <v>15</v>
      </c>
      <c r="B14" s="42"/>
      <c r="C14" s="43">
        <f>IF(C15*0.1&lt;C13,"Exceed 10% Rule","")</f>
      </c>
      <c r="D14" s="43">
        <f>IF(D15*0.1&lt;D13,"Exceed 10% Rule","")</f>
      </c>
      <c r="E14" s="43">
        <f>IF(E15*0.1&lt;E13,"Exceed 10% Rule","")</f>
      </c>
    </row>
    <row r="15" spans="1:5" ht="15">
      <c r="A15" s="47" t="s">
        <v>494</v>
      </c>
      <c r="B15" s="107"/>
      <c r="C15" s="45">
        <f>SUM(C8:C13)</f>
        <v>0</v>
      </c>
      <c r="D15" s="46">
        <f>SUM(D8:D13)</f>
        <v>0</v>
      </c>
      <c r="E15" s="46">
        <f>SUM(E8:E13)</f>
        <v>0</v>
      </c>
    </row>
    <row r="16" spans="1:5" ht="15">
      <c r="A16" s="47" t="s">
        <v>495</v>
      </c>
      <c r="B16" s="107"/>
      <c r="C16" s="45">
        <f>C6+C15</f>
        <v>0</v>
      </c>
      <c r="D16" s="46">
        <f>D6+D15</f>
        <v>0</v>
      </c>
      <c r="E16" s="46">
        <f>E6+E15</f>
        <v>0</v>
      </c>
    </row>
    <row r="17" spans="1:5" ht="15">
      <c r="A17" s="28" t="s">
        <v>496</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14</v>
      </c>
      <c r="B26" s="42"/>
      <c r="C26" s="31"/>
      <c r="D26" s="31"/>
      <c r="E26" s="31"/>
    </row>
    <row r="27" spans="1:5" ht="15">
      <c r="A27" s="36" t="s">
        <v>16</v>
      </c>
      <c r="B27" s="42"/>
      <c r="C27" s="43">
        <f>IF(C28*0.1&lt;C26,"Exceed 10% Rule","")</f>
      </c>
      <c r="D27" s="43">
        <f>IF(D28*0.1&lt;D26,"Exceed 10% Rule","")</f>
      </c>
      <c r="E27" s="43">
        <f>IF(E28*0.1&lt;E26,"Exceed 10% Rule","")</f>
      </c>
    </row>
    <row r="28" spans="1:5" ht="15">
      <c r="A28" s="47" t="s">
        <v>497</v>
      </c>
      <c r="B28" s="107"/>
      <c r="C28" s="45">
        <f>SUM(C18:C26)</f>
        <v>0</v>
      </c>
      <c r="D28" s="46">
        <f>SUM(D18:D26)</f>
        <v>0</v>
      </c>
      <c r="E28" s="46">
        <f>SUM(E18:E26)</f>
        <v>0</v>
      </c>
    </row>
    <row r="29" spans="1:5" ht="15">
      <c r="A29" s="28" t="s">
        <v>599</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481</v>
      </c>
      <c r="B34" s="22"/>
      <c r="C34" s="88"/>
      <c r="D34" s="88"/>
      <c r="E34" s="88"/>
    </row>
    <row r="35" spans="1:5" ht="15">
      <c r="A35" s="14"/>
      <c r="B35" s="14"/>
      <c r="C35" s="91" t="s">
        <v>482</v>
      </c>
      <c r="D35" s="23" t="s">
        <v>483</v>
      </c>
      <c r="E35" s="23" t="s">
        <v>484</v>
      </c>
    </row>
    <row r="36" spans="1:5" ht="15">
      <c r="A36" s="102">
        <f>inputPrYr!B29</f>
        <v>0</v>
      </c>
      <c r="B36" s="24"/>
      <c r="C36" s="27" t="str">
        <f>C5</f>
        <v>Actual 2010</v>
      </c>
      <c r="D36" s="27" t="str">
        <f>D5</f>
        <v>Estimate 2011</v>
      </c>
      <c r="E36" s="27" t="str">
        <f>E5</f>
        <v>Year 2012</v>
      </c>
    </row>
    <row r="37" spans="1:5" ht="15">
      <c r="A37" s="106" t="s">
        <v>625</v>
      </c>
      <c r="B37" s="107"/>
      <c r="C37" s="31"/>
      <c r="D37" s="33">
        <f>C60</f>
        <v>0</v>
      </c>
      <c r="E37" s="33">
        <f>D60</f>
        <v>0</v>
      </c>
    </row>
    <row r="38" spans="1:5" s="16" customFormat="1" ht="15">
      <c r="A38" s="106" t="s">
        <v>600</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493</v>
      </c>
      <c r="B43" s="111"/>
      <c r="C43" s="31"/>
      <c r="D43" s="35"/>
      <c r="E43" s="35"/>
    </row>
    <row r="44" spans="1:5" ht="15">
      <c r="A44" s="41" t="s">
        <v>14</v>
      </c>
      <c r="B44" s="42"/>
      <c r="C44" s="31"/>
      <c r="D44" s="31"/>
      <c r="E44" s="31"/>
    </row>
    <row r="45" spans="1:5" ht="15">
      <c r="A45" s="41" t="s">
        <v>15</v>
      </c>
      <c r="B45" s="42"/>
      <c r="C45" s="43">
        <f>IF(C46*0.1&lt;C44,"Exceed 10% Rule","")</f>
      </c>
      <c r="D45" s="43">
        <f>IF(D46*0.1&lt;D44,"Exceed 10% Rule","")</f>
      </c>
      <c r="E45" s="43">
        <f>IF(E46*0.1&lt;E44,"Exceed 10% Rule","")</f>
      </c>
    </row>
    <row r="46" spans="1:5" ht="15">
      <c r="A46" s="47" t="s">
        <v>494</v>
      </c>
      <c r="B46" s="107"/>
      <c r="C46" s="45">
        <f>SUM(C39:C44)</f>
        <v>0</v>
      </c>
      <c r="D46" s="46">
        <f>SUM(D39:D44)</f>
        <v>0</v>
      </c>
      <c r="E46" s="46">
        <f>SUM(E39:E44)</f>
        <v>0</v>
      </c>
    </row>
    <row r="47" spans="1:5" ht="15">
      <c r="A47" s="47" t="s">
        <v>495</v>
      </c>
      <c r="B47" s="107"/>
      <c r="C47" s="45">
        <f>C37+C46</f>
        <v>0</v>
      </c>
      <c r="D47" s="46">
        <f>D37+D46</f>
        <v>0</v>
      </c>
      <c r="E47" s="46">
        <f>E37+E46</f>
        <v>0</v>
      </c>
    </row>
    <row r="48" spans="1:5" ht="15">
      <c r="A48" s="28" t="s">
        <v>496</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14</v>
      </c>
      <c r="B57" s="42"/>
      <c r="C57" s="31"/>
      <c r="D57" s="31"/>
      <c r="E57" s="31"/>
    </row>
    <row r="58" spans="1:5" ht="15">
      <c r="A58" s="36" t="s">
        <v>16</v>
      </c>
      <c r="B58" s="42"/>
      <c r="C58" s="43">
        <f>IF(C59*0.1&lt;C57,"Exceed 10% Rule","")</f>
      </c>
      <c r="D58" s="43">
        <f>IF(D59*0.1&lt;D57,"Exceed 10% Rule","")</f>
      </c>
      <c r="E58" s="43">
        <f>IF(E59*0.1&lt;E57,"Exceed 10% Rule","")</f>
      </c>
    </row>
    <row r="59" spans="1:5" ht="15">
      <c r="A59" s="47" t="s">
        <v>497</v>
      </c>
      <c r="B59" s="107"/>
      <c r="C59" s="45">
        <f>SUM(C49:C57)</f>
        <v>0</v>
      </c>
      <c r="D59" s="46">
        <f>SUM(D49:D57)</f>
        <v>0</v>
      </c>
      <c r="E59" s="46">
        <f>SUM(E49:E57)</f>
        <v>0</v>
      </c>
    </row>
    <row r="60" spans="1:5" ht="15">
      <c r="A60" s="28" t="s">
        <v>599</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480</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ERVING TOWNSHIP</v>
      </c>
      <c r="B1" s="116"/>
      <c r="C1" s="117"/>
      <c r="D1" s="117"/>
      <c r="E1" s="117"/>
      <c r="F1" s="118" t="s">
        <v>134</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135</v>
      </c>
      <c r="B3" s="117"/>
      <c r="C3" s="117"/>
      <c r="D3" s="117"/>
      <c r="E3" s="117"/>
      <c r="F3" s="116"/>
      <c r="G3" s="117"/>
      <c r="H3" s="117"/>
      <c r="I3" s="117"/>
      <c r="J3" s="117"/>
      <c r="K3" s="117"/>
    </row>
    <row r="4" spans="1:11" ht="15">
      <c r="A4" s="117" t="s">
        <v>136</v>
      </c>
      <c r="B4" s="117"/>
      <c r="C4" s="117" t="s">
        <v>137</v>
      </c>
      <c r="D4" s="117"/>
      <c r="E4" s="117" t="s">
        <v>138</v>
      </c>
      <c r="F4" s="116"/>
      <c r="G4" s="117" t="s">
        <v>139</v>
      </c>
      <c r="H4" s="117"/>
      <c r="I4" s="117" t="s">
        <v>140</v>
      </c>
      <c r="J4" s="117"/>
      <c r="K4" s="117"/>
    </row>
    <row r="5" spans="1:11" ht="15">
      <c r="A5" s="521" t="str">
        <f>inputPrYr!B33</f>
        <v>a</v>
      </c>
      <c r="B5" s="520"/>
      <c r="C5" s="521" t="str">
        <f>inputPrYr!B34</f>
        <v>b</v>
      </c>
      <c r="D5" s="520"/>
      <c r="E5" s="521" t="str">
        <f>inputPrYr!B35</f>
        <v>c</v>
      </c>
      <c r="F5" s="520"/>
      <c r="G5" s="519" t="str">
        <f>inputPrYr!B36</f>
        <v>d</v>
      </c>
      <c r="H5" s="520"/>
      <c r="I5" s="519" t="str">
        <f>inputPrYr!B37</f>
        <v>e</v>
      </c>
      <c r="J5" s="520"/>
      <c r="K5" s="121"/>
    </row>
    <row r="6" spans="1:11" ht="15">
      <c r="A6" s="122" t="s">
        <v>141</v>
      </c>
      <c r="B6" s="123"/>
      <c r="C6" s="124" t="s">
        <v>141</v>
      </c>
      <c r="D6" s="125"/>
      <c r="E6" s="124" t="s">
        <v>141</v>
      </c>
      <c r="F6" s="126"/>
      <c r="G6" s="124" t="s">
        <v>141</v>
      </c>
      <c r="H6" s="120"/>
      <c r="I6" s="124" t="s">
        <v>141</v>
      </c>
      <c r="J6" s="117"/>
      <c r="K6" s="127" t="s">
        <v>84</v>
      </c>
    </row>
    <row r="7" spans="1:11" ht="15">
      <c r="A7" s="128" t="s">
        <v>142</v>
      </c>
      <c r="B7" s="129"/>
      <c r="C7" s="130" t="s">
        <v>142</v>
      </c>
      <c r="D7" s="129"/>
      <c r="E7" s="130" t="s">
        <v>142</v>
      </c>
      <c r="F7" s="129"/>
      <c r="G7" s="130" t="s">
        <v>142</v>
      </c>
      <c r="H7" s="129"/>
      <c r="I7" s="130" t="s">
        <v>142</v>
      </c>
      <c r="J7" s="129"/>
      <c r="K7" s="131">
        <f>SUM(B7+D7+F7+H7+J7)</f>
        <v>0</v>
      </c>
    </row>
    <row r="8" spans="1:11" ht="15">
      <c r="A8" s="132" t="s">
        <v>600</v>
      </c>
      <c r="B8" s="133"/>
      <c r="C8" s="132" t="s">
        <v>600</v>
      </c>
      <c r="D8" s="134"/>
      <c r="E8" s="132" t="s">
        <v>600</v>
      </c>
      <c r="F8" s="116"/>
      <c r="G8" s="132" t="s">
        <v>600</v>
      </c>
      <c r="H8" s="117"/>
      <c r="I8" s="132" t="s">
        <v>600</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494</v>
      </c>
      <c r="B17" s="131">
        <f>SUM(B9:B16)</f>
        <v>0</v>
      </c>
      <c r="C17" s="132" t="s">
        <v>494</v>
      </c>
      <c r="D17" s="131">
        <f>SUM(D9:D16)</f>
        <v>0</v>
      </c>
      <c r="E17" s="132" t="s">
        <v>494</v>
      </c>
      <c r="F17" s="145">
        <f>SUM(F9:F16)</f>
        <v>0</v>
      </c>
      <c r="G17" s="132" t="s">
        <v>494</v>
      </c>
      <c r="H17" s="131">
        <f>SUM(H9:H16)</f>
        <v>0</v>
      </c>
      <c r="I17" s="132" t="s">
        <v>494</v>
      </c>
      <c r="J17" s="131">
        <f>SUM(J9:J16)</f>
        <v>0</v>
      </c>
      <c r="K17" s="131">
        <f>SUM(B17+D17+F17+H17+J17)</f>
        <v>0</v>
      </c>
    </row>
    <row r="18" spans="1:11" ht="15">
      <c r="A18" s="132" t="s">
        <v>495</v>
      </c>
      <c r="B18" s="131">
        <f>SUM(B7+B17)</f>
        <v>0</v>
      </c>
      <c r="C18" s="132" t="s">
        <v>495</v>
      </c>
      <c r="D18" s="131">
        <f>SUM(D7+D17)</f>
        <v>0</v>
      </c>
      <c r="E18" s="132" t="s">
        <v>495</v>
      </c>
      <c r="F18" s="131">
        <f>SUM(F7+F17)</f>
        <v>0</v>
      </c>
      <c r="G18" s="132" t="s">
        <v>495</v>
      </c>
      <c r="H18" s="131">
        <f>SUM(H7+H17)</f>
        <v>0</v>
      </c>
      <c r="I18" s="132" t="s">
        <v>495</v>
      </c>
      <c r="J18" s="131">
        <f>SUM(J7+J17)</f>
        <v>0</v>
      </c>
      <c r="K18" s="131">
        <f>SUM(B18+D18+F18+H18+J18)</f>
        <v>0</v>
      </c>
    </row>
    <row r="19" spans="1:11" ht="15">
      <c r="A19" s="132" t="s">
        <v>496</v>
      </c>
      <c r="B19" s="133"/>
      <c r="C19" s="132" t="s">
        <v>496</v>
      </c>
      <c r="D19" s="134"/>
      <c r="E19" s="132" t="s">
        <v>496</v>
      </c>
      <c r="F19" s="116"/>
      <c r="G19" s="132" t="s">
        <v>496</v>
      </c>
      <c r="H19" s="117"/>
      <c r="I19" s="132" t="s">
        <v>496</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497</v>
      </c>
      <c r="B28" s="131">
        <f>SUM(B20:B27)</f>
        <v>0</v>
      </c>
      <c r="C28" s="132" t="s">
        <v>497</v>
      </c>
      <c r="D28" s="131">
        <f>SUM(D20:D27)</f>
        <v>0</v>
      </c>
      <c r="E28" s="132" t="s">
        <v>497</v>
      </c>
      <c r="F28" s="145">
        <f>SUM(F20:F27)</f>
        <v>0</v>
      </c>
      <c r="G28" s="132" t="s">
        <v>497</v>
      </c>
      <c r="H28" s="145">
        <f>SUM(H20:H27)</f>
        <v>0</v>
      </c>
      <c r="I28" s="132" t="s">
        <v>497</v>
      </c>
      <c r="J28" s="131">
        <f>SUM(J20:J27)</f>
        <v>0</v>
      </c>
      <c r="K28" s="131">
        <f>SUM(B28+D28+F28+H28+J28)</f>
        <v>0</v>
      </c>
    </row>
    <row r="29" spans="1:12" ht="1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
      <c r="A31" s="117"/>
      <c r="B31" s="147"/>
      <c r="C31" s="117"/>
      <c r="D31" s="116"/>
      <c r="E31" s="117"/>
      <c r="F31" s="117"/>
      <c r="G31" s="148" t="s">
        <v>145</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480</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
      <c r="A3" s="194"/>
    </row>
    <row r="4" ht="56.25" customHeight="1">
      <c r="A4" s="193" t="s">
        <v>155</v>
      </c>
    </row>
    <row r="5" ht="15">
      <c r="A5" s="103"/>
    </row>
    <row r="6" ht="50.25" customHeight="1">
      <c r="A6" s="193" t="s">
        <v>156</v>
      </c>
    </row>
    <row r="7" ht="15">
      <c r="A7" s="194"/>
    </row>
    <row r="8" ht="40.5" customHeight="1">
      <c r="A8" s="193" t="s">
        <v>157</v>
      </c>
    </row>
    <row r="9" ht="15">
      <c r="A9" s="103"/>
    </row>
    <row r="10" ht="40.5" customHeight="1">
      <c r="A10" s="193" t="s">
        <v>158</v>
      </c>
    </row>
    <row r="11" ht="15">
      <c r="A11" s="194"/>
    </row>
    <row r="12" ht="71.25" customHeight="1">
      <c r="A12" s="193" t="s">
        <v>159</v>
      </c>
    </row>
    <row r="13" ht="15">
      <c r="A13" s="194"/>
    </row>
    <row r="14" ht="40.5" customHeight="1">
      <c r="A14" s="193" t="s">
        <v>160</v>
      </c>
    </row>
    <row r="15" ht="15">
      <c r="A15" s="103"/>
    </row>
    <row r="16" ht="49.5" customHeight="1">
      <c r="A16" s="193" t="s">
        <v>161</v>
      </c>
    </row>
    <row r="17" ht="15">
      <c r="A17" s="194"/>
    </row>
    <row r="18" ht="52.5" customHeight="1">
      <c r="A18" s="193" t="s">
        <v>162</v>
      </c>
    </row>
    <row r="19" ht="15">
      <c r="A19" s="194"/>
    </row>
    <row r="20" ht="48.75" customHeight="1">
      <c r="A20" s="193" t="s">
        <v>163</v>
      </c>
    </row>
    <row r="21" ht="15">
      <c r="A21" s="194"/>
    </row>
    <row r="22" ht="1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7">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78</v>
      </c>
      <c r="B1" s="14"/>
      <c r="C1" s="14"/>
      <c r="D1" s="14"/>
      <c r="E1" s="14"/>
    </row>
    <row r="2" spans="1:5" ht="15">
      <c r="A2" s="90" t="s">
        <v>29</v>
      </c>
      <c r="B2" s="14"/>
      <c r="C2" s="14"/>
      <c r="D2" s="325" t="s">
        <v>692</v>
      </c>
      <c r="E2" s="19"/>
    </row>
    <row r="3" spans="1:5" ht="15">
      <c r="A3" s="90" t="s">
        <v>28</v>
      </c>
      <c r="B3" s="14"/>
      <c r="C3" s="14"/>
      <c r="D3" s="354" t="s">
        <v>467</v>
      </c>
      <c r="E3" s="19"/>
    </row>
    <row r="4" spans="1:5" ht="15">
      <c r="A4" s="14"/>
      <c r="B4" s="14"/>
      <c r="C4" s="14"/>
      <c r="D4" s="14"/>
      <c r="E4" s="14"/>
    </row>
    <row r="5" spans="1:5" ht="15">
      <c r="A5" s="17" t="s">
        <v>627</v>
      </c>
      <c r="B5" s="14"/>
      <c r="C5" s="14"/>
      <c r="D5" s="355">
        <v>2012</v>
      </c>
      <c r="E5" s="14"/>
    </row>
    <row r="6" spans="1:5" ht="15">
      <c r="A6" s="14"/>
      <c r="B6" s="14"/>
      <c r="C6" s="14"/>
      <c r="D6" s="14"/>
      <c r="E6" s="14"/>
    </row>
    <row r="7" spans="1:5" ht="15">
      <c r="A7" s="171" t="s">
        <v>629</v>
      </c>
      <c r="B7" s="175"/>
      <c r="C7" s="175"/>
      <c r="D7" s="175"/>
      <c r="E7" s="175"/>
    </row>
    <row r="8" spans="1:5" ht="15">
      <c r="A8" s="171" t="s">
        <v>687</v>
      </c>
      <c r="B8" s="175"/>
      <c r="C8" s="175"/>
      <c r="D8" s="175"/>
      <c r="E8" s="175"/>
    </row>
    <row r="9" spans="1:5" ht="15">
      <c r="A9" s="14"/>
      <c r="B9" s="14"/>
      <c r="C9" s="14"/>
      <c r="D9" s="14"/>
      <c r="E9" s="14"/>
    </row>
    <row r="10" spans="1:5" ht="15">
      <c r="A10" s="433" t="s">
        <v>640</v>
      </c>
      <c r="B10" s="434"/>
      <c r="C10" s="434"/>
      <c r="D10" s="434"/>
      <c r="E10" s="434"/>
    </row>
    <row r="11" spans="1:5" ht="15">
      <c r="A11" s="90"/>
      <c r="B11" s="14"/>
      <c r="C11" s="14"/>
      <c r="D11" s="14"/>
      <c r="E11" s="14"/>
    </row>
    <row r="12" spans="1:5" ht="15">
      <c r="A12" s="356" t="s">
        <v>628</v>
      </c>
      <c r="B12" s="339"/>
      <c r="C12" s="14"/>
      <c r="D12" s="56"/>
      <c r="E12" s="357"/>
    </row>
    <row r="13" spans="1:5" ht="15">
      <c r="A13" s="358" t="str">
        <f>CONCATENATE("the ",D5-1," Budget, Certificate Page:")</f>
        <v>the 2011 Budget, Certificate Page:</v>
      </c>
      <c r="B13" s="359"/>
      <c r="C13" s="56"/>
      <c r="D13" s="14"/>
      <c r="E13" s="14"/>
    </row>
    <row r="14" spans="1:5" ht="15">
      <c r="A14" s="358" t="s">
        <v>124</v>
      </c>
      <c r="B14" s="359"/>
      <c r="C14" s="56"/>
      <c r="D14" s="360">
        <f>$D$5-1</f>
        <v>2011</v>
      </c>
      <c r="E14" s="361">
        <f>$D$5-2</f>
        <v>2010</v>
      </c>
    </row>
    <row r="15" spans="1:5" ht="15">
      <c r="A15" s="22" t="s">
        <v>80</v>
      </c>
      <c r="B15" s="14"/>
      <c r="C15" s="362" t="s">
        <v>79</v>
      </c>
      <c r="D15" s="363" t="s">
        <v>152</v>
      </c>
      <c r="E15" s="364" t="s">
        <v>487</v>
      </c>
    </row>
    <row r="16" spans="1:5" ht="15">
      <c r="A16" s="14"/>
      <c r="B16" s="94" t="s">
        <v>81</v>
      </c>
      <c r="C16" s="189" t="s">
        <v>82</v>
      </c>
      <c r="D16" s="217">
        <v>275</v>
      </c>
      <c r="E16" s="217">
        <v>150</v>
      </c>
    </row>
    <row r="17" spans="1:5" ht="15">
      <c r="A17" s="14"/>
      <c r="B17" s="94" t="s">
        <v>108</v>
      </c>
      <c r="C17" s="189" t="s">
        <v>634</v>
      </c>
      <c r="D17" s="217"/>
      <c r="E17" s="217"/>
    </row>
    <row r="18" spans="1:5" ht="15">
      <c r="A18" s="14"/>
      <c r="B18" s="94" t="s">
        <v>83</v>
      </c>
      <c r="C18" s="209" t="s">
        <v>123</v>
      </c>
      <c r="D18" s="217"/>
      <c r="E18" s="217"/>
    </row>
    <row r="19" spans="1:5" ht="15">
      <c r="A19" s="14"/>
      <c r="B19" s="217" t="s">
        <v>690</v>
      </c>
      <c r="C19" s="365"/>
      <c r="D19" s="217">
        <v>2803</v>
      </c>
      <c r="E19" s="217">
        <v>1950</v>
      </c>
    </row>
    <row r="20" spans="1:5" ht="15">
      <c r="A20" s="14"/>
      <c r="B20" s="217" t="s">
        <v>693</v>
      </c>
      <c r="C20" s="365"/>
      <c r="D20" s="217">
        <v>427</v>
      </c>
      <c r="E20" s="217">
        <v>175</v>
      </c>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2275</v>
      </c>
    </row>
    <row r="26" spans="1:5" ht="15">
      <c r="A26" s="19"/>
      <c r="B26" s="19"/>
      <c r="C26" s="19"/>
      <c r="D26" s="24"/>
      <c r="E26" s="167"/>
    </row>
    <row r="27" spans="1:5" ht="15">
      <c r="A27" s="14" t="s">
        <v>623</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3505</v>
      </c>
      <c r="E30" s="14"/>
    </row>
    <row r="31" spans="1:5" ht="15">
      <c r="A31" s="14"/>
      <c r="B31" s="14"/>
      <c r="C31" s="14"/>
      <c r="D31" s="14"/>
      <c r="E31" s="14"/>
    </row>
    <row r="32" spans="1:5" ht="15">
      <c r="A32" s="319" t="s">
        <v>146</v>
      </c>
      <c r="B32" s="19"/>
      <c r="C32" s="14"/>
      <c r="D32" s="14"/>
      <c r="E32" s="14"/>
    </row>
    <row r="33" spans="1:5" ht="15">
      <c r="A33" s="371">
        <v>1</v>
      </c>
      <c r="B33" s="258" t="s">
        <v>460</v>
      </c>
      <c r="C33" s="14"/>
      <c r="D33" s="14"/>
      <c r="E33" s="14"/>
    </row>
    <row r="34" spans="1:5" ht="15">
      <c r="A34" s="371">
        <v>2</v>
      </c>
      <c r="B34" s="258" t="s">
        <v>461</v>
      </c>
      <c r="C34" s="14"/>
      <c r="D34" s="14"/>
      <c r="E34" s="14"/>
    </row>
    <row r="35" spans="1:5" ht="15">
      <c r="A35" s="371">
        <v>3</v>
      </c>
      <c r="B35" s="258" t="s">
        <v>462</v>
      </c>
      <c r="C35" s="14"/>
      <c r="D35" s="14"/>
      <c r="E35" s="14"/>
    </row>
    <row r="36" spans="1:5" ht="15">
      <c r="A36" s="371">
        <v>4</v>
      </c>
      <c r="B36" s="258" t="s">
        <v>463</v>
      </c>
      <c r="C36" s="14"/>
      <c r="D36" s="14"/>
      <c r="E36" s="14"/>
    </row>
    <row r="37" spans="1:5" ht="15">
      <c r="A37" s="371">
        <v>5</v>
      </c>
      <c r="B37" s="258" t="s">
        <v>464</v>
      </c>
      <c r="C37" s="14"/>
      <c r="D37" s="14"/>
      <c r="E37" s="14"/>
    </row>
    <row r="38" spans="1:5" ht="15">
      <c r="A38" s="14"/>
      <c r="B38" s="14"/>
      <c r="C38" s="14"/>
      <c r="D38" s="14"/>
      <c r="E38" s="14"/>
    </row>
    <row r="39" spans="1:5" ht="15.75" customHeight="1">
      <c r="A39" s="356" t="s">
        <v>628</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0.136</v>
      </c>
      <c r="E41" s="14"/>
    </row>
    <row r="42" spans="1:5" ht="15">
      <c r="A42" s="14"/>
      <c r="B42" s="110" t="str">
        <f t="shared" si="0"/>
        <v>Debt Service</v>
      </c>
      <c r="C42" s="14"/>
      <c r="D42" s="373"/>
      <c r="E42" s="14"/>
    </row>
    <row r="43" spans="1:5" ht="15">
      <c r="A43" s="14"/>
      <c r="B43" s="110" t="str">
        <f t="shared" si="0"/>
        <v>Road</v>
      </c>
      <c r="C43" s="14"/>
      <c r="D43" s="373"/>
      <c r="E43" s="14"/>
    </row>
    <row r="44" spans="1:5" ht="15">
      <c r="A44" s="14"/>
      <c r="B44" s="94" t="str">
        <f t="shared" si="0"/>
        <v>Fire</v>
      </c>
      <c r="C44" s="14"/>
      <c r="D44" s="373">
        <v>2.047</v>
      </c>
      <c r="E44" s="14"/>
    </row>
    <row r="45" spans="1:5" ht="15">
      <c r="A45" s="14"/>
      <c r="B45" s="94" t="str">
        <f t="shared" si="0"/>
        <v>Cemetery</v>
      </c>
      <c r="C45" s="14"/>
      <c r="D45" s="373">
        <v>0.21</v>
      </c>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2.3930000000000002</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2280</v>
      </c>
    </row>
    <row r="53" spans="1:5" ht="15">
      <c r="A53" s="378" t="str">
        <f>CONCATENATE("Assessed Valuation (",D5-2," budget column)")</f>
        <v>Assessed Valuation (2010 budget column)</v>
      </c>
      <c r="B53" s="379"/>
      <c r="C53" s="309"/>
      <c r="D53" s="29"/>
      <c r="E53" s="217">
        <v>952851</v>
      </c>
    </row>
    <row r="54" spans="1:5" ht="15">
      <c r="A54" s="319"/>
      <c r="B54" s="19"/>
      <c r="C54" s="19"/>
      <c r="D54" s="19"/>
      <c r="E54" s="330"/>
    </row>
    <row r="55" spans="1:5" ht="15">
      <c r="A55" s="14"/>
      <c r="B55" s="14"/>
      <c r="C55" s="14"/>
      <c r="D55" s="14"/>
      <c r="E55" s="63"/>
    </row>
    <row r="56" spans="1:5" ht="15">
      <c r="A56" s="339" t="s">
        <v>688</v>
      </c>
      <c r="B56" s="339"/>
      <c r="C56" s="156"/>
      <c r="D56" s="380">
        <f>D5-3</f>
        <v>2009</v>
      </c>
      <c r="E56" s="380">
        <f>D5-2</f>
        <v>2010</v>
      </c>
    </row>
    <row r="57" spans="1:5" ht="15">
      <c r="A57" s="377" t="s">
        <v>649</v>
      </c>
      <c r="B57" s="377"/>
      <c r="C57" s="381"/>
      <c r="D57" s="37"/>
      <c r="E57" s="37"/>
    </row>
    <row r="58" spans="1:5" ht="15">
      <c r="A58" s="379" t="s">
        <v>650</v>
      </c>
      <c r="B58" s="379"/>
      <c r="C58" s="382"/>
      <c r="D58" s="37"/>
      <c r="E58" s="37"/>
    </row>
    <row r="59" spans="1:5" ht="15">
      <c r="A59" s="379" t="s">
        <v>651</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zoomScale="75" zoomScaleNormal="75" zoomScalePageLayoutView="0" workbookViewId="0" topLeftCell="A1">
      <selection activeCell="C47" sqref="C47"/>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550</v>
      </c>
      <c r="B1" s="172"/>
      <c r="C1" s="172"/>
      <c r="D1" s="172"/>
      <c r="E1" s="172"/>
      <c r="F1" s="172"/>
      <c r="G1" s="172"/>
      <c r="H1" s="172">
        <f>inputPrYr!D5</f>
        <v>2012</v>
      </c>
    </row>
    <row r="2" spans="1:8" ht="15">
      <c r="A2" s="14"/>
      <c r="B2" s="14"/>
      <c r="C2" s="14"/>
      <c r="D2" s="14"/>
      <c r="E2" s="14"/>
      <c r="F2" s="22" t="s">
        <v>509</v>
      </c>
      <c r="G2" s="22" t="s">
        <v>510</v>
      </c>
      <c r="H2" s="14"/>
    </row>
    <row r="3" spans="1:8" ht="15">
      <c r="A3" s="455" t="s">
        <v>511</v>
      </c>
      <c r="B3" s="455"/>
      <c r="C3" s="455"/>
      <c r="D3" s="455"/>
      <c r="E3" s="455"/>
      <c r="F3" s="455"/>
      <c r="G3" s="455"/>
      <c r="H3" s="455"/>
    </row>
    <row r="4" spans="1:8" ht="15">
      <c r="A4" s="524" t="str">
        <f>inputPrYr!D2</f>
        <v>ERVING TOWNSHIP</v>
      </c>
      <c r="B4" s="524"/>
      <c r="C4" s="524"/>
      <c r="D4" s="524"/>
      <c r="E4" s="524"/>
      <c r="F4" s="524"/>
      <c r="G4" s="524"/>
      <c r="H4" s="524"/>
    </row>
    <row r="5" spans="1:8" ht="15">
      <c r="A5" s="524" t="str">
        <f>inputPrYr!D3</f>
        <v>JEWELL COUNTY</v>
      </c>
      <c r="B5" s="524"/>
      <c r="C5" s="524"/>
      <c r="D5" s="524"/>
      <c r="E5" s="524"/>
      <c r="F5" s="524"/>
      <c r="G5" s="524"/>
      <c r="H5" s="524"/>
    </row>
    <row r="6" spans="1:8" ht="15">
      <c r="A6" s="455" t="str">
        <f>CONCATENATE("will meet on ",inputBudSum!B5," at ",inputBudSum!B7," at ",inputBudSum!B9," for the purpose of hearing and")</f>
        <v>will meet on August 1, 2011 at 10:00 A.M. at 409 40 Road, Richard Stearn's Farm for the purpose of hearing and</v>
      </c>
      <c r="B6" s="455"/>
      <c r="C6" s="455"/>
      <c r="D6" s="455"/>
      <c r="E6" s="455"/>
      <c r="F6" s="455"/>
      <c r="G6" s="455"/>
      <c r="H6" s="455"/>
    </row>
    <row r="7" spans="1:8" ht="15">
      <c r="A7" s="174" t="s">
        <v>443</v>
      </c>
      <c r="B7" s="172"/>
      <c r="C7" s="172"/>
      <c r="D7" s="172"/>
      <c r="E7" s="172"/>
      <c r="F7" s="172"/>
      <c r="G7" s="172"/>
      <c r="H7" s="172"/>
    </row>
    <row r="8" spans="1:8" ht="1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
      <c r="A9" s="171" t="s">
        <v>551</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503</v>
      </c>
      <c r="D14" s="23"/>
      <c r="E14" s="23" t="s">
        <v>503</v>
      </c>
      <c r="F14" s="182"/>
      <c r="G14" s="447" t="str">
        <f>CONCATENATE("Amount of ",H1-1," Ad Valorem Tax")</f>
        <v>Amount of 2011 Ad Valorem Tax</v>
      </c>
      <c r="H14" s="23" t="s">
        <v>512</v>
      </c>
      <c r="I14" s="176"/>
    </row>
    <row r="15" spans="1:9" ht="15">
      <c r="A15" s="14"/>
      <c r="B15" s="183"/>
      <c r="C15" s="183" t="s">
        <v>513</v>
      </c>
      <c r="D15" s="183"/>
      <c r="E15" s="183" t="s">
        <v>513</v>
      </c>
      <c r="F15" s="183"/>
      <c r="G15" s="522"/>
      <c r="H15" s="183" t="s">
        <v>513</v>
      </c>
      <c r="I15" s="176"/>
    </row>
    <row r="16" spans="1:9" ht="15">
      <c r="A16" s="26" t="s">
        <v>94</v>
      </c>
      <c r="B16" s="27" t="s">
        <v>514</v>
      </c>
      <c r="C16" s="27" t="s">
        <v>515</v>
      </c>
      <c r="D16" s="27" t="s">
        <v>514</v>
      </c>
      <c r="E16" s="27" t="s">
        <v>515</v>
      </c>
      <c r="F16" s="27" t="s">
        <v>514</v>
      </c>
      <c r="G16" s="523"/>
      <c r="H16" s="27" t="s">
        <v>515</v>
      </c>
      <c r="I16" s="176"/>
    </row>
    <row r="17" spans="1:9" ht="15">
      <c r="A17" s="110" t="str">
        <f>inputPrYr!B16</f>
        <v>General</v>
      </c>
      <c r="B17" s="110">
        <f>IF(gen!$C$50&lt;&gt;0,gen!$C$50,"  ")</f>
        <v>111.38</v>
      </c>
      <c r="C17" s="184">
        <f>IF(inputPrYr!D41&gt;0,inputPrYr!D41,"  ")</f>
        <v>0.136</v>
      </c>
      <c r="D17" s="110">
        <f>IF(gen!$E$50&lt;&gt;0,gen!$E$50,"  ")</f>
        <v>246</v>
      </c>
      <c r="E17" s="184">
        <f>IF(inputOth!D17&gt;0,inputOth!D17,"  ")</f>
        <v>0.187</v>
      </c>
      <c r="F17" s="110">
        <f>IF(gen!$G$50&lt;&gt;0,gen!$G$50,"  ")</f>
        <v>307</v>
      </c>
      <c r="G17" s="110">
        <f>IF(gen!$G$56&lt;&gt;0,gen!$G$56," ")</f>
        <v>130</v>
      </c>
      <c r="H17" s="185">
        <f>IF(gen!G56&gt;0,ROUND(G17/$F$35*1000,3)," ")</f>
        <v>0.137</v>
      </c>
      <c r="I17" s="176"/>
    </row>
    <row r="18" spans="1:9" ht="1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
      <c r="A20" s="110" t="str">
        <f>IF(inputPrYr!$B19&gt;"  ",inputPrYr!$B19,"  ")</f>
        <v>Fire</v>
      </c>
      <c r="B20" s="110">
        <f>IF(levypage9!$C$31&lt;&gt;0,levypage9!$C$31,"  ")</f>
        <v>1950</v>
      </c>
      <c r="C20" s="184">
        <f>IF(inputPrYr!D44&gt;0,inputPrYr!D44,"  ")</f>
        <v>2.047</v>
      </c>
      <c r="D20" s="110">
        <f>IF(levypage9!$E$31&lt;&gt;0,levypage9!$E$31,"  ")</f>
        <v>1950</v>
      </c>
      <c r="E20" s="184">
        <f>IF(inputOth!D20&gt;0,inputOth!D20,"  ")</f>
        <v>2.085</v>
      </c>
      <c r="F20" s="110">
        <f>IF(levypage9!$G$31&lt;&gt;0,levypage9!$G$31,"  ")</f>
        <v>2972</v>
      </c>
      <c r="G20" s="110">
        <f>IF(levypage9!$G$37&lt;&gt;0,levypage9!$G$37,"  ")</f>
        <v>1950.0500000000002</v>
      </c>
      <c r="H20" s="185">
        <f>IF(levypage9!G37&gt;0,ROUND(G20/$F$35*1000,3)," ")</f>
        <v>2.06</v>
      </c>
    </row>
    <row r="21" spans="1:8" ht="15">
      <c r="A21" s="110" t="str">
        <f>IF(inputPrYr!$B20&gt;"  ",inputPrYr!$B20,"  ")</f>
        <v>Cemetery</v>
      </c>
      <c r="B21" s="110">
        <f>IF(levypage9!$C$66&lt;&gt;0,levypage9!$C$66,"  ")</f>
        <v>200</v>
      </c>
      <c r="C21" s="184">
        <f>IF(inputPrYr!D45&gt;0,inputPrYr!D45,"  ")</f>
        <v>0.21</v>
      </c>
      <c r="D21" s="110">
        <f>IF(levypage9!$E$66&lt;&gt;0,levypage9!$E$66,"  ")</f>
        <v>200</v>
      </c>
      <c r="E21" s="184">
        <f>IF(inputOth!D21&gt;0,inputOth!D21,"  ")</f>
        <v>0.16</v>
      </c>
      <c r="F21" s="110">
        <f>IF(levypage9!$G$66&lt;&gt;0,levypage9!$G$66,"  ")</f>
        <v>427</v>
      </c>
      <c r="G21" s="110">
        <f>IF(levypage9!$G$72&lt;&gt;0,levypage9!$G$72,"  ")</f>
        <v>185.48999999999995</v>
      </c>
      <c r="H21" s="185">
        <f>IF(levypage9!G72&gt;0,ROUND(G21/$F$35*1000,3)," ")</f>
        <v>0.196</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96</v>
      </c>
      <c r="B29" s="110" t="str">
        <f>IF(road!B63&lt;&gt;0,road!B63,"  ")</f>
        <v>  </v>
      </c>
      <c r="C29" s="95"/>
      <c r="D29" s="95"/>
      <c r="E29" s="95"/>
      <c r="F29" s="95"/>
      <c r="G29" s="95"/>
      <c r="H29" s="95"/>
    </row>
    <row r="30" spans="1:8" ht="15">
      <c r="A30" s="94" t="s">
        <v>97</v>
      </c>
      <c r="B30" s="186">
        <f aca="true" t="shared" si="0" ref="B30:H30">SUM(B17:B29)</f>
        <v>2261.38</v>
      </c>
      <c r="C30" s="185">
        <f t="shared" si="0"/>
        <v>2.3930000000000002</v>
      </c>
      <c r="D30" s="186">
        <f t="shared" si="0"/>
        <v>2396</v>
      </c>
      <c r="E30" s="185">
        <f t="shared" si="0"/>
        <v>2.432</v>
      </c>
      <c r="F30" s="186">
        <f t="shared" si="0"/>
        <v>3706</v>
      </c>
      <c r="G30" s="186">
        <f t="shared" si="0"/>
        <v>2265.54</v>
      </c>
      <c r="H30" s="185">
        <f t="shared" si="0"/>
        <v>2.3930000000000002</v>
      </c>
    </row>
    <row r="31" spans="1:8" ht="15">
      <c r="A31" s="94" t="s">
        <v>516</v>
      </c>
      <c r="B31" s="110">
        <f>transfer!C29</f>
        <v>0</v>
      </c>
      <c r="C31" s="14"/>
      <c r="D31" s="110">
        <f>transfer!D29</f>
        <v>0</v>
      </c>
      <c r="E31" s="71"/>
      <c r="F31" s="110">
        <f>transfer!E29</f>
        <v>0</v>
      </c>
      <c r="G31" s="14"/>
      <c r="H31" s="14"/>
    </row>
    <row r="32" spans="1:8" ht="15">
      <c r="A32" s="94" t="s">
        <v>517</v>
      </c>
      <c r="B32" s="186">
        <f>B30-B31</f>
        <v>2261.38</v>
      </c>
      <c r="C32" s="14"/>
      <c r="D32" s="186">
        <f>D30-D31</f>
        <v>2396</v>
      </c>
      <c r="E32" s="14"/>
      <c r="F32" s="186">
        <f>F30-F31</f>
        <v>3706</v>
      </c>
      <c r="G32" s="14"/>
      <c r="H32" s="14"/>
    </row>
    <row r="33" spans="1:8" ht="15">
      <c r="A33" s="94" t="s">
        <v>518</v>
      </c>
      <c r="B33" s="110">
        <f>inputPrYr!E52</f>
        <v>2280</v>
      </c>
      <c r="C33" s="71"/>
      <c r="D33" s="110">
        <f>inputPrYr!E25</f>
        <v>2275</v>
      </c>
      <c r="E33" s="14"/>
      <c r="F33" s="187" t="s">
        <v>98</v>
      </c>
      <c r="G33" s="14"/>
      <c r="H33" s="14"/>
    </row>
    <row r="34" spans="1:8" ht="15">
      <c r="A34" s="22" t="s">
        <v>519</v>
      </c>
      <c r="B34" s="14"/>
      <c r="C34" s="71"/>
      <c r="D34" s="14"/>
      <c r="E34" s="71"/>
      <c r="F34" s="14"/>
      <c r="G34" s="14"/>
      <c r="H34" s="14"/>
    </row>
    <row r="35" spans="1:8" ht="15">
      <c r="A35" s="94" t="s">
        <v>520</v>
      </c>
      <c r="B35" s="110">
        <f>inputPrYr!E53</f>
        <v>952851</v>
      </c>
      <c r="C35" s="14"/>
      <c r="D35" s="110">
        <f>inputOth!E28</f>
        <v>935172</v>
      </c>
      <c r="E35" s="14"/>
      <c r="F35" s="110">
        <f>inputOth!E7</f>
        <v>946760</v>
      </c>
      <c r="G35" s="14"/>
      <c r="H35" s="14"/>
    </row>
    <row r="36" spans="1:8" ht="15">
      <c r="A36" s="22" t="s">
        <v>521</v>
      </c>
      <c r="B36" s="14"/>
      <c r="C36" s="14"/>
      <c r="D36" s="14"/>
      <c r="E36" s="14"/>
      <c r="F36" s="14"/>
      <c r="G36" s="14"/>
      <c r="H36" s="14"/>
    </row>
    <row r="37" spans="1:8" ht="15">
      <c r="A37" s="22" t="s">
        <v>522</v>
      </c>
      <c r="B37" s="188">
        <f>H1-3</f>
        <v>2009</v>
      </c>
      <c r="C37" s="14"/>
      <c r="D37" s="188">
        <f>H1-2</f>
        <v>2010</v>
      </c>
      <c r="E37" s="14"/>
      <c r="F37" s="188">
        <f>H1-1</f>
        <v>2011</v>
      </c>
      <c r="G37" s="14"/>
      <c r="H37" s="14"/>
    </row>
    <row r="38" spans="1:8" ht="15">
      <c r="A38" s="22" t="s">
        <v>523</v>
      </c>
      <c r="B38" s="189">
        <f>inputPrYr!D57</f>
        <v>0</v>
      </c>
      <c r="C38" s="68"/>
      <c r="D38" s="189">
        <f>inputPrYr!E57</f>
        <v>0</v>
      </c>
      <c r="E38" s="68"/>
      <c r="F38" s="189">
        <f>debt!E11</f>
        <v>0</v>
      </c>
      <c r="G38" s="14"/>
      <c r="H38" s="14"/>
    </row>
    <row r="39" spans="1:8" ht="15">
      <c r="A39" s="22" t="s">
        <v>492</v>
      </c>
      <c r="B39" s="189">
        <f>inputPrYr!D58</f>
        <v>0</v>
      </c>
      <c r="C39" s="68"/>
      <c r="D39" s="189">
        <f>inputPrYr!E58</f>
        <v>0</v>
      </c>
      <c r="E39" s="68"/>
      <c r="F39" s="189">
        <f>debt!E15</f>
        <v>0</v>
      </c>
      <c r="G39" s="14"/>
      <c r="H39" s="14"/>
    </row>
    <row r="40" spans="1:8" ht="15">
      <c r="A40" s="22" t="s">
        <v>524</v>
      </c>
      <c r="B40" s="189">
        <f>inputPrYr!D59</f>
        <v>0</v>
      </c>
      <c r="C40" s="68"/>
      <c r="D40" s="189">
        <f>inputPrYr!E59</f>
        <v>0</v>
      </c>
      <c r="E40" s="68"/>
      <c r="F40" s="189">
        <f>debt!F36</f>
        <v>0</v>
      </c>
      <c r="G40" s="14"/>
      <c r="H40" s="14"/>
    </row>
    <row r="41" spans="1:8" ht="15.75" thickBot="1">
      <c r="A41" s="22" t="s">
        <v>525</v>
      </c>
      <c r="B41" s="190">
        <f>SUM(B38:B40)</f>
        <v>0</v>
      </c>
      <c r="C41" s="68"/>
      <c r="D41" s="190">
        <f>SUM(D38:D40)</f>
        <v>0</v>
      </c>
      <c r="E41" s="68"/>
      <c r="F41" s="190">
        <f>SUM(F38:F40)</f>
        <v>0</v>
      </c>
      <c r="G41" s="14"/>
      <c r="H41" s="14"/>
    </row>
    <row r="42" spans="1:8" ht="15.75" thickTop="1">
      <c r="A42" s="22" t="s">
        <v>526</v>
      </c>
      <c r="B42" s="14"/>
      <c r="C42" s="14"/>
      <c r="D42" s="14"/>
      <c r="E42" s="14"/>
      <c r="F42" s="14"/>
      <c r="G42" s="14"/>
      <c r="H42" s="14"/>
    </row>
    <row r="43" spans="1:8" ht="15">
      <c r="A43" s="14"/>
      <c r="B43" s="14"/>
      <c r="C43" s="14"/>
      <c r="D43" s="14"/>
      <c r="E43" s="14"/>
      <c r="F43" s="14"/>
      <c r="G43" s="14"/>
      <c r="H43" s="14"/>
    </row>
    <row r="44" spans="1:8" ht="15">
      <c r="A44" s="191"/>
      <c r="B44" s="191" t="s">
        <v>699</v>
      </c>
      <c r="C44" s="14"/>
      <c r="D44" s="14"/>
      <c r="E44" s="14"/>
      <c r="F44" s="14"/>
      <c r="G44" s="14"/>
      <c r="H44" s="14"/>
    </row>
    <row r="45" spans="1:8" ht="15">
      <c r="A45" s="174" t="s">
        <v>527</v>
      </c>
      <c r="B45" s="172"/>
      <c r="C45" s="14"/>
      <c r="D45" s="14"/>
      <c r="E45" s="14"/>
      <c r="F45" s="14"/>
      <c r="G45" s="14"/>
      <c r="H45" s="14"/>
    </row>
    <row r="46" spans="1:8" ht="15">
      <c r="A46" s="14"/>
      <c r="B46" s="14"/>
      <c r="C46" s="14"/>
      <c r="D46" s="14"/>
      <c r="E46" s="14"/>
      <c r="F46" s="14"/>
      <c r="G46" s="14"/>
      <c r="H46" s="14"/>
    </row>
    <row r="47" spans="1:8" ht="15">
      <c r="A47" s="14"/>
      <c r="B47" s="59" t="s">
        <v>480</v>
      </c>
      <c r="C47" s="104">
        <v>8</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sheet="1"/>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ERVING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t="str">
        <f>inputPrYr!B19</f>
        <v>Fire</v>
      </c>
      <c r="C9" s="157"/>
      <c r="D9" s="158">
        <f t="shared" si="0"/>
      </c>
      <c r="E9" s="159">
        <f t="shared" si="1"/>
      </c>
      <c r="F9" s="156"/>
    </row>
    <row r="10" spans="1:6" ht="15">
      <c r="A10" s="14"/>
      <c r="B10" s="94" t="str">
        <f>inputPrYr!B20</f>
        <v>Cemetery</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13</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946760</v>
      </c>
      <c r="E18" s="14"/>
      <c r="F18" s="156"/>
    </row>
    <row r="19" spans="1:6" ht="15">
      <c r="A19" s="14"/>
      <c r="B19" s="14"/>
      <c r="C19" s="14"/>
      <c r="D19" s="14"/>
      <c r="E19" s="14"/>
      <c r="F19" s="156"/>
    </row>
    <row r="20" spans="1:6" ht="15">
      <c r="A20" s="14"/>
      <c r="B20" s="527" t="s">
        <v>176</v>
      </c>
      <c r="C20" s="527"/>
      <c r="D20" s="164">
        <f>IF(D18&gt;0,(D18*0.001),"")</f>
        <v>946.76</v>
      </c>
      <c r="E20" s="14"/>
      <c r="F20" s="156"/>
    </row>
    <row r="21" spans="1:6" ht="15">
      <c r="A21" s="14"/>
      <c r="B21" s="54"/>
      <c r="C21" s="54"/>
      <c r="D21" s="165"/>
      <c r="E21" s="14"/>
      <c r="F21" s="156"/>
    </row>
    <row r="22" spans="1:6" ht="15">
      <c r="A22" s="525" t="s">
        <v>178</v>
      </c>
      <c r="B22" s="445"/>
      <c r="C22" s="445"/>
      <c r="D22" s="166">
        <f>inputOth!E13</f>
        <v>0</v>
      </c>
      <c r="E22" s="167"/>
      <c r="F22" s="167"/>
    </row>
    <row r="23" spans="1:6" ht="15">
      <c r="A23" s="167"/>
      <c r="B23" s="167"/>
      <c r="C23" s="167"/>
      <c r="D23" s="168"/>
      <c r="E23" s="167"/>
      <c r="F23" s="167"/>
    </row>
    <row r="24" spans="1:6" ht="15">
      <c r="A24" s="167"/>
      <c r="B24" s="525" t="s">
        <v>179</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444</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480</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29" t="s">
        <v>610</v>
      </c>
      <c r="B1" s="529"/>
      <c r="C1" s="529"/>
      <c r="D1" s="529"/>
      <c r="E1" s="529"/>
      <c r="F1" s="529"/>
      <c r="G1" s="529"/>
    </row>
    <row r="2" ht="15">
      <c r="A2" s="1"/>
    </row>
    <row r="3" spans="1:7" ht="15">
      <c r="A3" s="530" t="s">
        <v>611</v>
      </c>
      <c r="B3" s="530"/>
      <c r="C3" s="530"/>
      <c r="D3" s="530"/>
      <c r="E3" s="530"/>
      <c r="F3" s="530"/>
      <c r="G3" s="530"/>
    </row>
    <row r="4" ht="15">
      <c r="A4" s="2"/>
    </row>
    <row r="5" ht="15">
      <c r="A5" s="2"/>
    </row>
    <row r="6" spans="1:9" ht="15">
      <c r="A6" s="8" t="str">
        <f>CONCATENATE("A resolution expressing the property taxation policy of the Board of ",(inputPrYr!D2)," ")</f>
        <v>A resolution expressing the property taxation policy of the Board of ERVING TOWNSHIP </v>
      </c>
      <c r="I6">
        <f>CONCATENATE(I7)</f>
      </c>
    </row>
    <row r="7" spans="1:7" ht="15">
      <c r="A7" s="531" t="str">
        <f>CONCATENATE("   with respect to financing the ",inputPrYr!D5," annual budget for ",(inputPrYr!D2)," , ",(inputPrYr!D3)," , Kansas.")</f>
        <v>   with respect to financing the 2012 annual budget for ERVING TOWNSHIP , JEWELL COUNTY , Kansas.</v>
      </c>
      <c r="B7" s="532"/>
      <c r="C7" s="532"/>
      <c r="D7" s="532"/>
      <c r="E7" s="532"/>
      <c r="F7" s="532"/>
      <c r="G7" s="532"/>
    </row>
    <row r="8" spans="1:7" ht="15">
      <c r="A8" s="532"/>
      <c r="B8" s="532"/>
      <c r="C8" s="532"/>
      <c r="D8" s="532"/>
      <c r="E8" s="532"/>
      <c r="F8" s="532"/>
      <c r="G8" s="532"/>
    </row>
    <row r="9" ht="15">
      <c r="A9" s="1"/>
    </row>
    <row r="10" ht="15">
      <c r="A10" s="9" t="s">
        <v>612</v>
      </c>
    </row>
    <row r="11" ht="15">
      <c r="A11" s="7" t="str">
        <f>CONCATENATE("to finance the ",inputPrYr!D5," ",(inputPrYr!D2)," budget exceed the amount levied to finance the ",inputPrYr!D5-1,"")</f>
        <v>to finance the 2012 ERVING TOWNSHIP budget exceed the amount levied to finance the 2011</v>
      </c>
    </row>
    <row r="12" spans="1:7" ht="15">
      <c r="A12" s="535" t="str">
        <f>CONCATENATE((inputPrYr!D2)," Township budget, except with regard to revenue produced and attributable to the taxation of 1) new improvements to real property; 2) increased personal property valuation, other than increased")</f>
        <v>ERVING TOWNSHIP Township budget, except with regard to revenue produced and attributable to the taxation of 1) new improvements to real property; 2) increased personal property valuation, other than increased</v>
      </c>
      <c r="B12" s="532"/>
      <c r="C12" s="532"/>
      <c r="D12" s="532"/>
      <c r="E12" s="532"/>
      <c r="F12" s="532"/>
      <c r="G12" s="532"/>
    </row>
    <row r="13" spans="1:7" ht="15">
      <c r="A13" s="532"/>
      <c r="B13" s="532"/>
      <c r="C13" s="532"/>
      <c r="D13" s="532"/>
      <c r="E13" s="532"/>
      <c r="F13" s="532"/>
      <c r="G13" s="532"/>
    </row>
    <row r="14" spans="1:7" ht="15">
      <c r="A14" s="535" t="s">
        <v>617</v>
      </c>
      <c r="B14" s="532"/>
      <c r="C14" s="532"/>
      <c r="D14" s="532"/>
      <c r="E14" s="532"/>
      <c r="F14" s="532"/>
      <c r="G14" s="532"/>
    </row>
    <row r="15" spans="1:7" ht="15">
      <c r="A15" s="532"/>
      <c r="B15" s="532"/>
      <c r="C15" s="532"/>
      <c r="D15" s="532"/>
      <c r="E15" s="532"/>
      <c r="F15" s="532"/>
      <c r="G15" s="532"/>
    </row>
    <row r="16" spans="1:7" ht="15">
      <c r="A16" s="536"/>
      <c r="B16" s="536"/>
      <c r="C16" s="536"/>
      <c r="D16" s="536"/>
      <c r="E16" s="536"/>
      <c r="F16" s="536"/>
      <c r="G16" s="536"/>
    </row>
    <row r="17" ht="15">
      <c r="A17" s="2"/>
    </row>
    <row r="18" spans="1:7" ht="15">
      <c r="A18" s="533" t="s">
        <v>613</v>
      </c>
      <c r="B18" s="532"/>
      <c r="C18" s="532"/>
      <c r="D18" s="532"/>
      <c r="E18" s="532"/>
      <c r="F18" s="532"/>
      <c r="G18" s="532"/>
    </row>
    <row r="19" spans="1:7" ht="15">
      <c r="A19" s="532"/>
      <c r="B19" s="532"/>
      <c r="C19" s="532"/>
      <c r="D19" s="532"/>
      <c r="E19" s="532"/>
      <c r="F19" s="532"/>
      <c r="G19" s="532"/>
    </row>
    <row r="20" ht="15">
      <c r="A20" s="2"/>
    </row>
    <row r="21" spans="1:7" ht="15">
      <c r="A21" s="533" t="str">
        <f>CONCATENATE("Whereas, ",(inputPrYr!D2)," provides essential services to protect the safety and well being of the citizens of the township; and")</f>
        <v>Whereas, ERVING TOWNSHIP provides essential services to protect the safety and well being of the citizens of the township; and</v>
      </c>
      <c r="B21" s="532"/>
      <c r="C21" s="532"/>
      <c r="D21" s="532"/>
      <c r="E21" s="532"/>
      <c r="F21" s="532"/>
      <c r="G21" s="532"/>
    </row>
    <row r="22" spans="1:7" ht="15">
      <c r="A22" s="532"/>
      <c r="B22" s="532"/>
      <c r="C22" s="532"/>
      <c r="D22" s="532"/>
      <c r="E22" s="532"/>
      <c r="F22" s="532"/>
      <c r="G22" s="532"/>
    </row>
    <row r="23" ht="15">
      <c r="A23" s="4"/>
    </row>
    <row r="24" ht="15">
      <c r="A24" s="3" t="s">
        <v>614</v>
      </c>
    </row>
    <row r="25" ht="15">
      <c r="A25" s="4"/>
    </row>
    <row r="26" spans="1:7" ht="15">
      <c r="A26" s="533" t="str">
        <f>CONCATENATE("NOW, THEREFORE, BE IT RESOLVED by the Board of ",(inputPrYr!D2)," of ",(inputPrYr!D3),", Kansas that is our desire to notify the public of increased property taxes to finance the ",inputPrYr!D5," ",(inputPrYr!D2),"  budget as defined above.")</f>
        <v>NOW, THEREFORE, BE IT RESOLVED by the Board of ERVING TOWNSHIP of JEWELL COUNTY, Kansas that is our desire to notify the public of increased property taxes to finance the 2012 ERVING TOWNSHIP  budget as defined above.</v>
      </c>
      <c r="B26" s="532"/>
      <c r="C26" s="532"/>
      <c r="D26" s="532"/>
      <c r="E26" s="532"/>
      <c r="F26" s="532"/>
      <c r="G26" s="532"/>
    </row>
    <row r="27" spans="1:7" ht="15">
      <c r="A27" s="532"/>
      <c r="B27" s="532"/>
      <c r="C27" s="532"/>
      <c r="D27" s="532"/>
      <c r="E27" s="532"/>
      <c r="F27" s="532"/>
      <c r="G27" s="532"/>
    </row>
    <row r="28" spans="1:7" ht="15">
      <c r="A28" s="532"/>
      <c r="B28" s="532"/>
      <c r="C28" s="532"/>
      <c r="D28" s="532"/>
      <c r="E28" s="532"/>
      <c r="F28" s="532"/>
      <c r="G28" s="532"/>
    </row>
    <row r="29" ht="15">
      <c r="A29" s="4"/>
    </row>
    <row r="30" spans="1:7" ht="15">
      <c r="A30" s="534" t="str">
        <f>CONCATENATE("Adopted this _________ day of ___________, ",inputPrYr!D5-1," by the ",(inputPrYr!D2)," Board, ",(inputPrYr!D3),", Kansas.")</f>
        <v>Adopted this _________ day of ___________, 2011 by the ERVING TOWNSHIP Board, JEWELL COUNTY, Kansas.</v>
      </c>
      <c r="B30" s="532"/>
      <c r="C30" s="532"/>
      <c r="D30" s="532"/>
      <c r="E30" s="532"/>
      <c r="F30" s="532"/>
      <c r="G30" s="532"/>
    </row>
    <row r="31" spans="1:7" ht="15">
      <c r="A31" s="532"/>
      <c r="B31" s="532"/>
      <c r="C31" s="532"/>
      <c r="D31" s="532"/>
      <c r="E31" s="532"/>
      <c r="F31" s="532"/>
      <c r="G31" s="532"/>
    </row>
    <row r="32" ht="15">
      <c r="A32" s="4"/>
    </row>
    <row r="33" spans="4:7" ht="15">
      <c r="D33" s="537" t="str">
        <f>CONCATENATE((inputPrYr!D2)," Board")</f>
        <v>ERVING TOWNSHIP Board</v>
      </c>
      <c r="E33" s="537"/>
      <c r="F33" s="537"/>
      <c r="G33" s="537"/>
    </row>
    <row r="35" spans="4:7" ht="15">
      <c r="D35" s="528" t="s">
        <v>615</v>
      </c>
      <c r="E35" s="528"/>
      <c r="F35" s="528"/>
      <c r="G35" s="528"/>
    </row>
    <row r="36" spans="1:7" ht="15">
      <c r="A36" s="5"/>
      <c r="D36" s="528" t="s">
        <v>619</v>
      </c>
      <c r="E36" s="528"/>
      <c r="F36" s="528"/>
      <c r="G36" s="528"/>
    </row>
    <row r="37" spans="4:7" ht="15">
      <c r="D37" s="528"/>
      <c r="E37" s="528"/>
      <c r="F37" s="528"/>
      <c r="G37" s="528"/>
    </row>
    <row r="38" spans="4:7" ht="15">
      <c r="D38" s="528" t="s">
        <v>615</v>
      </c>
      <c r="E38" s="528"/>
      <c r="F38" s="528"/>
      <c r="G38" s="528"/>
    </row>
    <row r="39" spans="1:7" ht="15">
      <c r="A39" s="4"/>
      <c r="D39" s="528" t="s">
        <v>620</v>
      </c>
      <c r="E39" s="528"/>
      <c r="F39" s="528"/>
      <c r="G39" s="528"/>
    </row>
    <row r="40" spans="4:7" ht="15">
      <c r="D40" s="528"/>
      <c r="E40" s="528"/>
      <c r="F40" s="528"/>
      <c r="G40" s="528"/>
    </row>
    <row r="41" spans="4:7" ht="15">
      <c r="D41" s="528" t="s">
        <v>618</v>
      </c>
      <c r="E41" s="528"/>
      <c r="F41" s="528"/>
      <c r="G41" s="528"/>
    </row>
    <row r="42" spans="1:7" ht="15">
      <c r="A42" s="4"/>
      <c r="D42" s="528" t="s">
        <v>621</v>
      </c>
      <c r="E42" s="528"/>
      <c r="F42" s="528"/>
      <c r="G42" s="528"/>
    </row>
    <row r="43" ht="15">
      <c r="A43" s="6"/>
    </row>
    <row r="44" ht="15">
      <c r="A44" s="6"/>
    </row>
    <row r="45" ht="15">
      <c r="A45" s="6" t="s">
        <v>616</v>
      </c>
    </row>
    <row r="50" spans="3:4" ht="15">
      <c r="C50" s="10" t="s">
        <v>480</v>
      </c>
      <c r="D50" s="11"/>
    </row>
  </sheetData>
  <sheetProtection sheet="1" objects="1" scenarios="1"/>
  <mergeCells count="18">
    <mergeCell ref="D39:G39"/>
    <mergeCell ref="D35:G35"/>
    <mergeCell ref="A21:G22"/>
    <mergeCell ref="A26:G28"/>
    <mergeCell ref="D33:G33"/>
    <mergeCell ref="D42:G42"/>
    <mergeCell ref="D37:G37"/>
    <mergeCell ref="D38:G38"/>
    <mergeCell ref="D40:G40"/>
    <mergeCell ref="D41:G41"/>
    <mergeCell ref="D36:G36"/>
    <mergeCell ref="A1:G1"/>
    <mergeCell ref="A3:G3"/>
    <mergeCell ref="A7:G8"/>
    <mergeCell ref="A18:G19"/>
    <mergeCell ref="A30:G31"/>
    <mergeCell ref="A12:G13"/>
    <mergeCell ref="A14:G16"/>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401</v>
      </c>
    </row>
    <row r="39" ht="15.75">
      <c r="A39" s="404" t="s">
        <v>402</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
      <c r="A6" t="str">
        <f>CONCATENATE(inputPrYr!D5-2," expenditures show that you finished the year with a ")</f>
        <v>2010 expenditures show that you finished the year with a </v>
      </c>
    </row>
    <row r="7" ht="15">
      <c r="A7" t="s">
        <v>250</v>
      </c>
    </row>
    <row r="9" ht="15">
      <c r="A9" t="s">
        <v>251</v>
      </c>
    </row>
    <row r="10" ht="15">
      <c r="A10" t="s">
        <v>252</v>
      </c>
    </row>
    <row r="11" ht="1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305</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306</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307</v>
      </c>
      <c r="I7" s="405"/>
      <c r="J7" s="405"/>
      <c r="K7" s="405"/>
      <c r="L7" s="405"/>
    </row>
    <row r="8" spans="1:12" ht="15.75">
      <c r="A8" s="404"/>
      <c r="I8" s="405"/>
      <c r="J8" s="405"/>
      <c r="K8" s="405"/>
      <c r="L8" s="405"/>
    </row>
    <row r="9" spans="1:12" ht="15.75">
      <c r="A9" s="404" t="s">
        <v>308</v>
      </c>
      <c r="I9" s="405"/>
      <c r="J9" s="405"/>
      <c r="K9" s="405"/>
      <c r="L9" s="405"/>
    </row>
    <row r="10" spans="1:12" ht="15.75">
      <c r="A10" s="404" t="s">
        <v>309</v>
      </c>
      <c r="I10" s="405"/>
      <c r="J10" s="405"/>
      <c r="K10" s="405"/>
      <c r="L10" s="405"/>
    </row>
    <row r="11" spans="1:12" ht="15.75">
      <c r="A11" s="404" t="s">
        <v>310</v>
      </c>
      <c r="I11" s="405"/>
      <c r="J11" s="405"/>
      <c r="K11" s="405"/>
      <c r="L11" s="405"/>
    </row>
    <row r="12" spans="1:12" ht="15.75">
      <c r="A12" s="404" t="s">
        <v>311</v>
      </c>
      <c r="I12" s="405"/>
      <c r="J12" s="405"/>
      <c r="K12" s="405"/>
      <c r="L12" s="405"/>
    </row>
    <row r="13" spans="1:12" ht="15.75">
      <c r="A13" s="404" t="s">
        <v>312</v>
      </c>
      <c r="I13" s="405"/>
      <c r="J13" s="405"/>
      <c r="K13" s="405"/>
      <c r="L13" s="405"/>
    </row>
    <row r="14" spans="1:12" ht="15.75">
      <c r="A14" s="405"/>
      <c r="B14" s="405"/>
      <c r="C14" s="405"/>
      <c r="D14" s="405"/>
      <c r="E14" s="405"/>
      <c r="F14" s="405"/>
      <c r="G14" s="405"/>
      <c r="H14" s="405"/>
      <c r="I14" s="405"/>
      <c r="J14" s="405"/>
      <c r="K14" s="405"/>
      <c r="L14" s="405"/>
    </row>
    <row r="15" ht="15.75">
      <c r="A15" s="403" t="s">
        <v>313</v>
      </c>
    </row>
    <row r="16" ht="15.75">
      <c r="A16" s="403" t="s">
        <v>314</v>
      </c>
    </row>
    <row r="17" ht="15.75">
      <c r="A17" s="403"/>
    </row>
    <row r="18" spans="1:7" ht="15.75">
      <c r="A18" s="404" t="s">
        <v>315</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316</v>
      </c>
      <c r="B20" s="404"/>
      <c r="C20" s="404"/>
      <c r="D20" s="404"/>
      <c r="E20" s="404"/>
      <c r="F20" s="404"/>
      <c r="G20" s="404"/>
    </row>
    <row r="21" spans="1:7" ht="15.75">
      <c r="A21" s="404" t="s">
        <v>317</v>
      </c>
      <c r="B21" s="404"/>
      <c r="C21" s="404"/>
      <c r="D21" s="404"/>
      <c r="E21" s="404"/>
      <c r="F21" s="404"/>
      <c r="G21" s="404"/>
    </row>
    <row r="22" ht="15.75">
      <c r="A22" s="404"/>
    </row>
    <row r="23" ht="15.75">
      <c r="A23" s="403" t="s">
        <v>318</v>
      </c>
    </row>
    <row r="24" ht="15.75">
      <c r="A24" s="403"/>
    </row>
    <row r="25" ht="15.75">
      <c r="A25" s="404" t="s">
        <v>319</v>
      </c>
    </row>
    <row r="26" spans="1:6" ht="15.75">
      <c r="A26" s="404" t="s">
        <v>320</v>
      </c>
      <c r="B26" s="404"/>
      <c r="C26" s="404"/>
      <c r="D26" s="404"/>
      <c r="E26" s="404"/>
      <c r="F26" s="404"/>
    </row>
    <row r="27" spans="1:6" ht="15.75">
      <c r="A27" s="404" t="s">
        <v>321</v>
      </c>
      <c r="B27" s="404"/>
      <c r="C27" s="404"/>
      <c r="D27" s="404"/>
      <c r="E27" s="404"/>
      <c r="F27" s="404"/>
    </row>
    <row r="28" spans="1:6" ht="15.75">
      <c r="A28" s="404" t="s">
        <v>322</v>
      </c>
      <c r="B28" s="404"/>
      <c r="C28" s="404"/>
      <c r="D28" s="404"/>
      <c r="E28" s="404"/>
      <c r="F28" s="404"/>
    </row>
    <row r="29" spans="1:6" ht="15.75">
      <c r="A29" s="404"/>
      <c r="B29" s="404"/>
      <c r="C29" s="404"/>
      <c r="D29" s="404"/>
      <c r="E29" s="404"/>
      <c r="F29" s="404"/>
    </row>
    <row r="30" spans="1:7" ht="15.75">
      <c r="A30" s="403" t="s">
        <v>323</v>
      </c>
      <c r="B30" s="403"/>
      <c r="C30" s="403"/>
      <c r="D30" s="403"/>
      <c r="E30" s="403"/>
      <c r="F30" s="403"/>
      <c r="G30" s="403"/>
    </row>
    <row r="31" spans="1:7" ht="15.75">
      <c r="A31" s="403" t="s">
        <v>324</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325</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401</v>
      </c>
      <c r="B43" s="404"/>
      <c r="C43" s="404"/>
      <c r="D43" s="404"/>
      <c r="E43" s="404"/>
      <c r="F43" s="404"/>
    </row>
    <row r="44" spans="1:6" ht="15.75">
      <c r="A44" s="416" t="s">
        <v>402</v>
      </c>
      <c r="B44" s="404"/>
      <c r="C44" s="404"/>
      <c r="D44" s="404"/>
      <c r="E44" s="404"/>
      <c r="F44" s="404"/>
    </row>
    <row r="45" spans="1:6" ht="15.75">
      <c r="A45" s="416" t="s">
        <v>326</v>
      </c>
      <c r="B45" s="404"/>
      <c r="C45" s="404"/>
      <c r="D45" s="404"/>
      <c r="E45" s="404"/>
      <c r="F45" s="404"/>
    </row>
    <row r="46" spans="1:6" ht="15.75">
      <c r="A46" s="416" t="s">
        <v>214</v>
      </c>
      <c r="B46" s="404"/>
      <c r="C46" s="404"/>
      <c r="D46" s="404"/>
      <c r="E46" s="404"/>
      <c r="F46" s="404"/>
    </row>
    <row r="47" spans="1:6" ht="15.75">
      <c r="A47" s="416" t="s">
        <v>327</v>
      </c>
      <c r="B47" s="404"/>
      <c r="C47" s="404"/>
      <c r="D47" s="404"/>
      <c r="E47" s="404"/>
      <c r="F47" s="404"/>
    </row>
    <row r="48" spans="1:6" ht="15.75">
      <c r="A48" s="416" t="s">
        <v>328</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329</v>
      </c>
      <c r="B55" s="404"/>
      <c r="C55" s="404"/>
      <c r="D55" s="404"/>
      <c r="E55" s="404"/>
      <c r="F55" s="404"/>
    </row>
    <row r="56" spans="1:6" ht="15.75">
      <c r="A56" s="416" t="s">
        <v>330</v>
      </c>
      <c r="B56" s="404"/>
      <c r="C56" s="404"/>
      <c r="D56" s="404"/>
      <c r="E56" s="404"/>
      <c r="F56" s="404"/>
    </row>
    <row r="57" spans="1:6" ht="15.75">
      <c r="A57" s="416" t="s">
        <v>331</v>
      </c>
      <c r="B57" s="404"/>
      <c r="C57" s="404"/>
      <c r="D57" s="404"/>
      <c r="E57" s="404"/>
      <c r="F57" s="404"/>
    </row>
    <row r="58" spans="1:6" ht="15.75">
      <c r="A58" s="416" t="s">
        <v>332</v>
      </c>
      <c r="B58" s="404"/>
      <c r="C58" s="404"/>
      <c r="D58" s="404"/>
      <c r="E58" s="404"/>
      <c r="F58" s="404"/>
    </row>
    <row r="59" spans="1:6" ht="15.75">
      <c r="A59" s="416" t="s">
        <v>333</v>
      </c>
      <c r="B59" s="404"/>
      <c r="C59" s="404"/>
      <c r="D59" s="404"/>
      <c r="E59" s="404"/>
      <c r="F59" s="404"/>
    </row>
    <row r="60" spans="1:6" ht="15.75">
      <c r="A60" s="416"/>
      <c r="B60" s="404"/>
      <c r="C60" s="404"/>
      <c r="D60" s="404"/>
      <c r="E60" s="404"/>
      <c r="F60" s="404"/>
    </row>
    <row r="61" spans="1:6" ht="15.75">
      <c r="A61" s="417" t="s">
        <v>334</v>
      </c>
      <c r="B61" s="404"/>
      <c r="C61" s="404"/>
      <c r="D61" s="404"/>
      <c r="E61" s="404"/>
      <c r="F61" s="404"/>
    </row>
    <row r="62" spans="1:6" ht="15.75">
      <c r="A62" s="417" t="s">
        <v>335</v>
      </c>
      <c r="B62" s="404"/>
      <c r="C62" s="404"/>
      <c r="D62" s="404"/>
      <c r="E62" s="404"/>
      <c r="F62" s="404"/>
    </row>
    <row r="63" spans="1:6" ht="15.75">
      <c r="A63" s="417" t="s">
        <v>336</v>
      </c>
      <c r="B63" s="404"/>
      <c r="C63" s="404"/>
      <c r="D63" s="404"/>
      <c r="E63" s="404"/>
      <c r="F63" s="404"/>
    </row>
    <row r="64" ht="15.75">
      <c r="A64" s="417" t="s">
        <v>337</v>
      </c>
    </row>
    <row r="65" ht="15.75">
      <c r="A65" s="417" t="s">
        <v>338</v>
      </c>
    </row>
    <row r="66" ht="15.75">
      <c r="A66" s="417" t="s">
        <v>339</v>
      </c>
    </row>
    <row r="68" ht="15.75">
      <c r="A68" s="404" t="s">
        <v>340</v>
      </c>
    </row>
    <row r="69" ht="15.75">
      <c r="A69" s="404" t="s">
        <v>341</v>
      </c>
    </row>
    <row r="70" ht="15.75">
      <c r="A70" s="404" t="s">
        <v>342</v>
      </c>
    </row>
    <row r="71" ht="15.75">
      <c r="A71" s="404" t="s">
        <v>343</v>
      </c>
    </row>
    <row r="72" ht="15.75">
      <c r="A72" s="404" t="s">
        <v>344</v>
      </c>
    </row>
    <row r="73" ht="15.75">
      <c r="A73" s="404" t="s">
        <v>345</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346</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347</v>
      </c>
    </row>
    <row r="8" ht="15.75">
      <c r="A8" s="404" t="s">
        <v>348</v>
      </c>
    </row>
    <row r="10" ht="15">
      <c r="A10" t="s">
        <v>251</v>
      </c>
    </row>
    <row r="11" ht="15">
      <c r="A11" t="s">
        <v>252</v>
      </c>
    </row>
    <row r="12" ht="15">
      <c r="A12" t="s">
        <v>253</v>
      </c>
    </row>
    <row r="13" spans="1:7" ht="15.75">
      <c r="A13" s="405"/>
      <c r="B13" s="405"/>
      <c r="C13" s="405"/>
      <c r="D13" s="405"/>
      <c r="E13" s="405"/>
      <c r="F13" s="405"/>
      <c r="G13" s="405"/>
    </row>
    <row r="14" ht="15.75">
      <c r="A14" s="403" t="s">
        <v>349</v>
      </c>
    </row>
    <row r="15" ht="15.75">
      <c r="A15" s="404"/>
    </row>
    <row r="16" ht="15.75">
      <c r="A16" s="404" t="s">
        <v>350</v>
      </c>
    </row>
    <row r="17" ht="15.75">
      <c r="A17" s="404" t="s">
        <v>351</v>
      </c>
    </row>
    <row r="18" ht="15.75">
      <c r="A18" s="404" t="s">
        <v>352</v>
      </c>
    </row>
    <row r="19" ht="15.75">
      <c r="A19" s="404"/>
    </row>
    <row r="20" ht="15.75">
      <c r="A20" s="404" t="s">
        <v>353</v>
      </c>
    </row>
    <row r="21" ht="15.75">
      <c r="A21" s="404" t="s">
        <v>354</v>
      </c>
    </row>
    <row r="22" ht="15.75">
      <c r="A22" s="404" t="s">
        <v>355</v>
      </c>
    </row>
    <row r="23" ht="15.75">
      <c r="A23" s="404" t="s">
        <v>356</v>
      </c>
    </row>
    <row r="24" ht="15.75">
      <c r="A24" s="404"/>
    </row>
    <row r="25" ht="15.75">
      <c r="A25" s="403" t="s">
        <v>318</v>
      </c>
    </row>
    <row r="26" ht="15.75">
      <c r="A26" s="403"/>
    </row>
    <row r="27" ht="15.75">
      <c r="A27" s="404" t="s">
        <v>319</v>
      </c>
    </row>
    <row r="28" spans="1:6" ht="15.75">
      <c r="A28" s="404" t="s">
        <v>320</v>
      </c>
      <c r="B28" s="404"/>
      <c r="C28" s="404"/>
      <c r="D28" s="404"/>
      <c r="E28" s="404"/>
      <c r="F28" s="404"/>
    </row>
    <row r="29" spans="1:6" ht="15.75">
      <c r="A29" s="404" t="s">
        <v>321</v>
      </c>
      <c r="B29" s="404"/>
      <c r="C29" s="404"/>
      <c r="D29" s="404"/>
      <c r="E29" s="404"/>
      <c r="F29" s="404"/>
    </row>
    <row r="30" spans="1:6" ht="15.75">
      <c r="A30" s="404" t="s">
        <v>322</v>
      </c>
      <c r="B30" s="404"/>
      <c r="C30" s="404"/>
      <c r="D30" s="404"/>
      <c r="E30" s="404"/>
      <c r="F30" s="404"/>
    </row>
    <row r="31" ht="15.75">
      <c r="A31" s="404"/>
    </row>
    <row r="32" spans="1:7" ht="15.75">
      <c r="A32" s="403" t="s">
        <v>323</v>
      </c>
      <c r="B32" s="403"/>
      <c r="C32" s="403"/>
      <c r="D32" s="403"/>
      <c r="E32" s="403"/>
      <c r="F32" s="403"/>
      <c r="G32" s="403"/>
    </row>
    <row r="33" spans="1:7" ht="15.75">
      <c r="A33" s="403" t="s">
        <v>324</v>
      </c>
      <c r="B33" s="403"/>
      <c r="C33" s="403"/>
      <c r="D33" s="403"/>
      <c r="E33" s="403"/>
      <c r="F33" s="403"/>
      <c r="G33" s="403"/>
    </row>
    <row r="34" spans="1:7" ht="15.75">
      <c r="A34" s="403"/>
      <c r="B34" s="403"/>
      <c r="C34" s="403"/>
      <c r="D34" s="403"/>
      <c r="E34" s="403"/>
      <c r="F34" s="403"/>
      <c r="G34" s="403"/>
    </row>
    <row r="35" spans="1:7" ht="15.75">
      <c r="A35" s="404" t="s">
        <v>357</v>
      </c>
      <c r="B35" s="404"/>
      <c r="C35" s="404"/>
      <c r="D35" s="404"/>
      <c r="E35" s="404"/>
      <c r="F35" s="404"/>
      <c r="G35" s="404"/>
    </row>
    <row r="36" spans="1:7" ht="15.75">
      <c r="A36" s="404" t="s">
        <v>358</v>
      </c>
      <c r="B36" s="404"/>
      <c r="C36" s="404"/>
      <c r="D36" s="404"/>
      <c r="E36" s="404"/>
      <c r="F36" s="404"/>
      <c r="G36" s="404"/>
    </row>
    <row r="37" spans="1:7" ht="15.75">
      <c r="A37" s="404" t="s">
        <v>359</v>
      </c>
      <c r="B37" s="404"/>
      <c r="C37" s="404"/>
      <c r="D37" s="404"/>
      <c r="E37" s="404"/>
      <c r="F37" s="404"/>
      <c r="G37" s="404"/>
    </row>
    <row r="38" spans="1:7" ht="15.75">
      <c r="A38" s="404" t="s">
        <v>360</v>
      </c>
      <c r="B38" s="404"/>
      <c r="C38" s="404"/>
      <c r="D38" s="404"/>
      <c r="E38" s="404"/>
      <c r="F38" s="404"/>
      <c r="G38" s="404"/>
    </row>
    <row r="39" spans="1:7" ht="15.75">
      <c r="A39" s="404" t="s">
        <v>361</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325</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362</v>
      </c>
      <c r="B60" s="404"/>
      <c r="C60" s="404"/>
      <c r="D60" s="404"/>
      <c r="E60" s="404"/>
      <c r="F60" s="404"/>
      <c r="G60" s="404"/>
    </row>
    <row r="61" spans="1:7" ht="15.75">
      <c r="A61" s="404" t="s">
        <v>363</v>
      </c>
      <c r="B61" s="404"/>
      <c r="C61" s="404"/>
      <c r="D61" s="404"/>
      <c r="E61" s="404"/>
      <c r="F61" s="404"/>
      <c r="G61" s="404"/>
    </row>
    <row r="62" spans="1:7" ht="15.75">
      <c r="A62" s="404" t="s">
        <v>364</v>
      </c>
      <c r="B62" s="404"/>
      <c r="C62" s="404"/>
      <c r="D62" s="404"/>
      <c r="E62" s="404"/>
      <c r="F62" s="404"/>
      <c r="G62" s="404"/>
    </row>
    <row r="63" spans="1:7" ht="15.75">
      <c r="A63" s="404" t="s">
        <v>365</v>
      </c>
      <c r="B63" s="404"/>
      <c r="C63" s="404"/>
      <c r="D63" s="404"/>
      <c r="E63" s="404"/>
      <c r="F63" s="404"/>
      <c r="G63" s="404"/>
    </row>
    <row r="64" spans="1:7" ht="15.75">
      <c r="A64" s="404" t="s">
        <v>366</v>
      </c>
      <c r="B64" s="404"/>
      <c r="C64" s="404"/>
      <c r="D64" s="404"/>
      <c r="E64" s="404"/>
      <c r="F64" s="404"/>
      <c r="G64" s="404"/>
    </row>
    <row r="66" spans="1:6" ht="15.75">
      <c r="A66" s="416" t="s">
        <v>329</v>
      </c>
      <c r="B66" s="404"/>
      <c r="C66" s="404"/>
      <c r="D66" s="404"/>
      <c r="E66" s="404"/>
      <c r="F66" s="404"/>
    </row>
    <row r="67" spans="1:6" ht="15.75">
      <c r="A67" s="416" t="s">
        <v>330</v>
      </c>
      <c r="B67" s="404"/>
      <c r="C67" s="404"/>
      <c r="D67" s="404"/>
      <c r="E67" s="404"/>
      <c r="F67" s="404"/>
    </row>
    <row r="68" spans="1:6" ht="15.75">
      <c r="A68" s="416" t="s">
        <v>331</v>
      </c>
      <c r="B68" s="404"/>
      <c r="C68" s="404"/>
      <c r="D68" s="404"/>
      <c r="E68" s="404"/>
      <c r="F68" s="404"/>
    </row>
    <row r="69" spans="1:6" ht="15.75">
      <c r="A69" s="416" t="s">
        <v>332</v>
      </c>
      <c r="B69" s="404"/>
      <c r="C69" s="404"/>
      <c r="D69" s="404"/>
      <c r="E69" s="404"/>
      <c r="F69" s="404"/>
    </row>
    <row r="70" spans="1:6" ht="15.75">
      <c r="A70" s="416" t="s">
        <v>333</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367</v>
      </c>
      <c r="B3" s="405"/>
      <c r="C3" s="405"/>
      <c r="D3" s="405"/>
      <c r="E3" s="405"/>
      <c r="F3" s="405"/>
      <c r="G3" s="405"/>
    </row>
    <row r="4" spans="1:7" ht="15.75">
      <c r="A4" s="405" t="s">
        <v>368</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369</v>
      </c>
    </row>
    <row r="10" ht="15.75">
      <c r="A10" s="404"/>
    </row>
    <row r="11" ht="15.75">
      <c r="A11" s="404" t="s">
        <v>370</v>
      </c>
    </row>
    <row r="12" ht="15.75">
      <c r="A12" s="404" t="s">
        <v>371</v>
      </c>
    </row>
    <row r="13" ht="15.75">
      <c r="A13" s="404" t="s">
        <v>372</v>
      </c>
    </row>
    <row r="14" ht="15.75">
      <c r="A14" s="404"/>
    </row>
    <row r="15" ht="15.75">
      <c r="A15" s="403" t="s">
        <v>373</v>
      </c>
    </row>
    <row r="16" spans="1:7" ht="15.75">
      <c r="A16" s="405"/>
      <c r="B16" s="405"/>
      <c r="C16" s="405"/>
      <c r="D16" s="405"/>
      <c r="E16" s="405"/>
      <c r="F16" s="405"/>
      <c r="G16" s="405"/>
    </row>
    <row r="17" spans="1:8" ht="15.75">
      <c r="A17" s="420" t="s">
        <v>374</v>
      </c>
      <c r="B17" s="399"/>
      <c r="C17" s="399"/>
      <c r="D17" s="399"/>
      <c r="E17" s="399"/>
      <c r="F17" s="399"/>
      <c r="G17" s="399"/>
      <c r="H17" s="399"/>
    </row>
    <row r="18" spans="1:7" ht="15.75">
      <c r="A18" s="404" t="s">
        <v>375</v>
      </c>
      <c r="B18" s="421"/>
      <c r="C18" s="421"/>
      <c r="D18" s="421"/>
      <c r="E18" s="421"/>
      <c r="F18" s="421"/>
      <c r="G18" s="421"/>
    </row>
    <row r="19" ht="15.75">
      <c r="A19" s="404" t="s">
        <v>376</v>
      </c>
    </row>
    <row r="20" ht="15.75">
      <c r="A20" s="404" t="s">
        <v>377</v>
      </c>
    </row>
    <row r="22" ht="15.75">
      <c r="A22" s="403" t="s">
        <v>378</v>
      </c>
    </row>
    <row r="24" ht="15.75">
      <c r="A24" s="404" t="s">
        <v>379</v>
      </c>
    </row>
    <row r="25" ht="15.75">
      <c r="A25" s="404" t="s">
        <v>380</v>
      </c>
    </row>
    <row r="26" ht="15.75">
      <c r="A26" s="404" t="s">
        <v>381</v>
      </c>
    </row>
    <row r="28" ht="15.75">
      <c r="A28" s="403" t="s">
        <v>382</v>
      </c>
    </row>
    <row r="30" ht="15">
      <c r="A30" t="s">
        <v>383</v>
      </c>
    </row>
    <row r="31" ht="15">
      <c r="A31" t="s">
        <v>384</v>
      </c>
    </row>
    <row r="32" ht="15">
      <c r="A32" t="s">
        <v>385</v>
      </c>
    </row>
    <row r="33" ht="15.75">
      <c r="A33" s="404" t="s">
        <v>386</v>
      </c>
    </row>
    <row r="35" ht="15">
      <c r="A35" t="s">
        <v>387</v>
      </c>
    </row>
    <row r="36" ht="15">
      <c r="A36" t="s">
        <v>388</v>
      </c>
    </row>
    <row r="37" ht="15">
      <c r="A37" t="s">
        <v>389</v>
      </c>
    </row>
    <row r="38" ht="15">
      <c r="A38" t="s">
        <v>390</v>
      </c>
    </row>
    <row r="40" ht="15">
      <c r="A40" t="s">
        <v>391</v>
      </c>
    </row>
    <row r="41" ht="15">
      <c r="A41" t="s">
        <v>392</v>
      </c>
    </row>
    <row r="42" ht="15">
      <c r="A42" t="s">
        <v>393</v>
      </c>
    </row>
    <row r="43" ht="15">
      <c r="A43" t="s">
        <v>394</v>
      </c>
    </row>
    <row r="44" ht="15">
      <c r="A44" t="s">
        <v>395</v>
      </c>
    </row>
    <row r="45" ht="15">
      <c r="A45" t="s">
        <v>396</v>
      </c>
    </row>
    <row r="47" ht="15">
      <c r="A47" t="s">
        <v>397</v>
      </c>
    </row>
    <row r="48" ht="15">
      <c r="A48" t="s">
        <v>398</v>
      </c>
    </row>
    <row r="49" ht="15.75">
      <c r="A49" s="404" t="s">
        <v>399</v>
      </c>
    </row>
    <row r="50" ht="15.75">
      <c r="A50" s="404" t="s">
        <v>400</v>
      </c>
    </row>
    <row r="52" ht="1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465</v>
      </c>
    </row>
    <row r="2" ht="39" customHeight="1">
      <c r="A2" s="385" t="s">
        <v>466</v>
      </c>
    </row>
    <row r="3" ht="23.25" customHeight="1"/>
    <row r="4" ht="15">
      <c r="A4" s="424" t="s">
        <v>456</v>
      </c>
    </row>
    <row r="5" ht="15">
      <c r="A5" s="103" t="s">
        <v>457</v>
      </c>
    </row>
    <row r="6" ht="15">
      <c r="A6" s="103" t="s">
        <v>458</v>
      </c>
    </row>
    <row r="7" ht="15">
      <c r="A7" s="103" t="s">
        <v>459</v>
      </c>
    </row>
    <row r="9" ht="15">
      <c r="A9" s="427" t="s">
        <v>445</v>
      </c>
    </row>
    <row r="10" ht="15">
      <c r="A10" s="103" t="s">
        <v>455</v>
      </c>
    </row>
    <row r="12" ht="15">
      <c r="A12" s="424" t="s">
        <v>403</v>
      </c>
    </row>
    <row r="13" ht="15">
      <c r="A13" s="425" t="s">
        <v>404</v>
      </c>
    </row>
    <row r="14" ht="15">
      <c r="A14" s="425" t="s">
        <v>405</v>
      </c>
    </row>
    <row r="15" ht="15">
      <c r="A15" s="425" t="s">
        <v>406</v>
      </c>
    </row>
    <row r="16" ht="15">
      <c r="A16" s="423" t="s">
        <v>407</v>
      </c>
    </row>
    <row r="18" ht="15">
      <c r="A18" s="398" t="s">
        <v>125</v>
      </c>
    </row>
    <row r="19" ht="15">
      <c r="A19" s="103" t="s">
        <v>127</v>
      </c>
    </row>
    <row r="20" ht="15">
      <c r="A20" s="103" t="s">
        <v>128</v>
      </c>
    </row>
    <row r="21" ht="15">
      <c r="A21" s="103" t="s">
        <v>129</v>
      </c>
    </row>
    <row r="22" ht="15">
      <c r="A22" s="103" t="s">
        <v>130</v>
      </c>
    </row>
    <row r="23" ht="15">
      <c r="A23" s="103" t="s">
        <v>131</v>
      </c>
    </row>
    <row r="24" ht="15">
      <c r="A24" s="103" t="s">
        <v>132</v>
      </c>
    </row>
    <row r="25" ht="15">
      <c r="A25" s="103" t="s">
        <v>147</v>
      </c>
    </row>
    <row r="26" ht="15">
      <c r="A26" s="103" t="s">
        <v>148</v>
      </c>
    </row>
    <row r="27" ht="15">
      <c r="A27" s="103" t="s">
        <v>149</v>
      </c>
    </row>
    <row r="28" ht="15">
      <c r="A28" s="103" t="s">
        <v>150</v>
      </c>
    </row>
    <row r="29" ht="15">
      <c r="A29" s="103" t="s">
        <v>166</v>
      </c>
    </row>
    <row r="30" ht="30.75">
      <c r="A30" s="385" t="s">
        <v>167</v>
      </c>
    </row>
    <row r="31" ht="15">
      <c r="A31" s="385" t="s">
        <v>177</v>
      </c>
    </row>
    <row r="32" ht="15">
      <c r="A32" s="400" t="s">
        <v>180</v>
      </c>
    </row>
    <row r="33" ht="15">
      <c r="A33" s="401" t="s">
        <v>181</v>
      </c>
    </row>
    <row r="35" ht="15">
      <c r="A35" s="398" t="s">
        <v>120</v>
      </c>
    </row>
    <row r="36" ht="15">
      <c r="A36" s="103" t="s">
        <v>121</v>
      </c>
    </row>
    <row r="37" ht="15">
      <c r="A37" s="103" t="s">
        <v>122</v>
      </c>
    </row>
    <row r="39" ht="15">
      <c r="A39" s="398" t="s">
        <v>118</v>
      </c>
    </row>
    <row r="40" ht="15">
      <c r="A40" s="103" t="s">
        <v>119</v>
      </c>
    </row>
    <row r="42" ht="15">
      <c r="A42" s="398" t="s">
        <v>116</v>
      </c>
    </row>
    <row r="43" ht="15">
      <c r="A43" s="103" t="s">
        <v>117</v>
      </c>
    </row>
    <row r="45" ht="15">
      <c r="A45" s="398" t="s">
        <v>113</v>
      </c>
    </row>
    <row r="46" ht="15">
      <c r="A46" s="103" t="s">
        <v>114</v>
      </c>
    </row>
    <row r="47" ht="15">
      <c r="A47" s="103" t="s">
        <v>115</v>
      </c>
    </row>
    <row r="49" ht="15">
      <c r="A49" s="103" t="s">
        <v>109</v>
      </c>
    </row>
    <row r="50" ht="15">
      <c r="A50" s="103" t="s">
        <v>110</v>
      </c>
    </row>
    <row r="51" ht="15">
      <c r="A51" s="103" t="s">
        <v>111</v>
      </c>
    </row>
    <row r="52" ht="15">
      <c r="A52" s="103" t="s">
        <v>112</v>
      </c>
    </row>
    <row r="54" ht="15">
      <c r="A54" s="103" t="s">
        <v>105</v>
      </c>
    </row>
    <row r="55" ht="15">
      <c r="A55" s="103" t="s">
        <v>106</v>
      </c>
    </row>
    <row r="56" ht="15">
      <c r="A56" s="103" t="s">
        <v>107</v>
      </c>
    </row>
    <row r="58" ht="15">
      <c r="A58" s="103" t="s">
        <v>103</v>
      </c>
    </row>
    <row r="59" ht="34.5" customHeight="1">
      <c r="A59" s="103" t="s">
        <v>104</v>
      </c>
    </row>
    <row r="61" ht="15">
      <c r="A61" s="103" t="s">
        <v>57</v>
      </c>
    </row>
    <row r="62" ht="15">
      <c r="A62" s="103" t="s">
        <v>58</v>
      </c>
    </row>
    <row r="63" ht="30.75">
      <c r="A63" s="385" t="s">
        <v>75</v>
      </c>
    </row>
    <row r="64" ht="15">
      <c r="A64" s="103" t="s">
        <v>59</v>
      </c>
    </row>
    <row r="65" ht="15">
      <c r="A65" s="103" t="s">
        <v>60</v>
      </c>
    </row>
    <row r="66" ht="15">
      <c r="A66" s="103" t="s">
        <v>61</v>
      </c>
    </row>
    <row r="67" ht="15">
      <c r="A67" s="103" t="s">
        <v>62</v>
      </c>
    </row>
    <row r="68" ht="30.75">
      <c r="A68" s="385" t="s">
        <v>38</v>
      </c>
    </row>
    <row r="69" ht="30.75">
      <c r="A69" s="385" t="s">
        <v>70</v>
      </c>
    </row>
    <row r="70" ht="30.75">
      <c r="A70" s="385" t="s">
        <v>63</v>
      </c>
    </row>
    <row r="71" ht="15">
      <c r="A71" s="385" t="s">
        <v>64</v>
      </c>
    </row>
    <row r="72" ht="30.7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0.75">
      <c r="A83" s="385" t="s">
        <v>36</v>
      </c>
    </row>
    <row r="84" ht="30.75">
      <c r="A84" s="385" t="s">
        <v>40</v>
      </c>
    </row>
    <row r="85" ht="30.75">
      <c r="A85" s="385" t="s">
        <v>37</v>
      </c>
    </row>
    <row r="86" ht="46.5">
      <c r="A86" s="385" t="s">
        <v>41</v>
      </c>
    </row>
    <row r="87" ht="15">
      <c r="A87" s="385" t="s">
        <v>47</v>
      </c>
    </row>
    <row r="89" ht="15">
      <c r="A89" s="103" t="s">
        <v>674</v>
      </c>
    </row>
    <row r="90" ht="46.5">
      <c r="A90" s="385" t="s">
        <v>42</v>
      </c>
    </row>
    <row r="91" ht="15">
      <c r="A91" s="103" t="s">
        <v>675</v>
      </c>
    </row>
    <row r="92" ht="15">
      <c r="A92" s="103" t="s">
        <v>679</v>
      </c>
    </row>
    <row r="93" ht="15">
      <c r="A93" s="103" t="s">
        <v>680</v>
      </c>
    </row>
    <row r="94" ht="15">
      <c r="A94" s="103" t="s">
        <v>676</v>
      </c>
    </row>
    <row r="95" ht="15">
      <c r="A95" s="103" t="s">
        <v>677</v>
      </c>
    </row>
    <row r="96" ht="15">
      <c r="A96" s="103" t="s">
        <v>678</v>
      </c>
    </row>
    <row r="97" ht="15">
      <c r="A97" s="385" t="s">
        <v>681</v>
      </c>
    </row>
    <row r="98" ht="15">
      <c r="A98" s="103" t="s">
        <v>682</v>
      </c>
    </row>
    <row r="99" ht="15">
      <c r="A99" s="103" t="s">
        <v>683</v>
      </c>
    </row>
    <row r="100" ht="15">
      <c r="A100" s="103" t="s">
        <v>43</v>
      </c>
    </row>
    <row r="101" ht="15">
      <c r="A101" s="103" t="s">
        <v>684</v>
      </c>
    </row>
    <row r="102" ht="15">
      <c r="A102" s="103" t="s">
        <v>44</v>
      </c>
    </row>
    <row r="103" ht="15">
      <c r="A103" s="103" t="s">
        <v>685</v>
      </c>
    </row>
    <row r="104" ht="15">
      <c r="A104" s="103" t="s">
        <v>45</v>
      </c>
    </row>
    <row r="105" ht="15">
      <c r="A105" s="103" t="s">
        <v>686</v>
      </c>
    </row>
    <row r="106" ht="15">
      <c r="A106" s="103" t="s">
        <v>0</v>
      </c>
    </row>
    <row r="107" ht="15">
      <c r="A107" s="103" t="s">
        <v>46</v>
      </c>
    </row>
    <row r="108" ht="15">
      <c r="A108" s="103" t="s">
        <v>21</v>
      </c>
    </row>
    <row r="109" ht="15">
      <c r="A109" s="103" t="s">
        <v>22</v>
      </c>
    </row>
    <row r="110" ht="15">
      <c r="A110" s="103" t="s">
        <v>23</v>
      </c>
    </row>
    <row r="111" ht="15">
      <c r="A111" s="103" t="s">
        <v>4</v>
      </c>
    </row>
    <row r="112" ht="15">
      <c r="A112" s="103" t="s">
        <v>5</v>
      </c>
    </row>
    <row r="113" ht="15">
      <c r="A113" s="103" t="s">
        <v>6</v>
      </c>
    </row>
    <row r="114" ht="15">
      <c r="A114" s="103" t="s">
        <v>18</v>
      </c>
    </row>
    <row r="115" ht="15">
      <c r="A115" s="103" t="s">
        <v>19</v>
      </c>
    </row>
    <row r="116" ht="15">
      <c r="A116" s="103" t="s">
        <v>20</v>
      </c>
    </row>
    <row r="117" ht="15">
      <c r="A117" s="103" t="s">
        <v>31</v>
      </c>
    </row>
    <row r="118" ht="1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51" sqref="B51"/>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ERVING TOWNSHIP</v>
      </c>
      <c r="B1" s="117"/>
      <c r="C1" s="117"/>
      <c r="D1" s="117"/>
      <c r="E1" s="117">
        <f>inputPrYr!D5</f>
        <v>2012</v>
      </c>
    </row>
    <row r="2" spans="1:5" ht="15">
      <c r="A2" s="115" t="str">
        <f>inputPrYr!D3</f>
        <v>JEWELL COUNTY</v>
      </c>
      <c r="B2" s="117"/>
      <c r="C2" s="117"/>
      <c r="D2" s="117"/>
      <c r="E2" s="117"/>
    </row>
    <row r="3" spans="1:5" ht="15">
      <c r="A3" s="117"/>
      <c r="B3" s="117"/>
      <c r="C3" s="117"/>
      <c r="D3" s="117"/>
      <c r="E3" s="117"/>
    </row>
    <row r="4" spans="1:5" ht="15">
      <c r="A4" s="433" t="s">
        <v>640</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v>946760</v>
      </c>
    </row>
    <row r="8" spans="1:5" ht="15">
      <c r="A8" s="22" t="str">
        <f>CONCATENATE("New Improvements for ",E1-1,"")</f>
        <v>New Improvements for 2011</v>
      </c>
      <c r="B8" s="19"/>
      <c r="C8" s="19"/>
      <c r="D8" s="19"/>
      <c r="E8" s="329">
        <v>0</v>
      </c>
    </row>
    <row r="9" spans="1:5" ht="15">
      <c r="A9" s="22" t="str">
        <f>CONCATENATE("Personal Property excluding oil, gas, and mobile homes - ",E1-1,"")</f>
        <v>Personal Property excluding oil, gas, and mobile homes - 2011</v>
      </c>
      <c r="B9" s="19"/>
      <c r="C9" s="19"/>
      <c r="D9" s="19"/>
      <c r="E9" s="329">
        <v>31116</v>
      </c>
    </row>
    <row r="10" spans="1:5" ht="15">
      <c r="A10" s="22" t="str">
        <f>CONCATENATE("Property that has changed in use for ",E1-1,"")</f>
        <v>Property that has changed in use for 2011</v>
      </c>
      <c r="B10" s="19"/>
      <c r="C10" s="19"/>
      <c r="D10" s="19"/>
      <c r="E10" s="329">
        <v>0</v>
      </c>
    </row>
    <row r="11" spans="1:5" ht="15">
      <c r="A11" s="22" t="str">
        <f>CONCATENATE("Personal Property excluding oil, gas, and mobile homes- ",E1-2,"")</f>
        <v>Personal Property excluding oil, gas, and mobile homes- 2010</v>
      </c>
      <c r="B11" s="19"/>
      <c r="C11" s="19"/>
      <c r="D11" s="19"/>
      <c r="E11" s="329">
        <v>34488</v>
      </c>
    </row>
    <row r="12" spans="1:5" ht="15">
      <c r="A12" s="22" t="str">
        <f>CONCATENATE("Gross earnings (intangible) tax estimate for ",E1,"")</f>
        <v>Gross earnings (intangible) tax estimate for 2012</v>
      </c>
      <c r="B12" s="19"/>
      <c r="C12" s="19"/>
      <c r="D12" s="19"/>
      <c r="E12" s="329">
        <v>0</v>
      </c>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94</v>
      </c>
      <c r="B16" s="436"/>
      <c r="C16" s="117"/>
      <c r="D16" s="333" t="s">
        <v>474</v>
      </c>
      <c r="E16" s="332"/>
    </row>
    <row r="17" spans="1:5" ht="15">
      <c r="A17" s="93" t="str">
        <f>inputPrYr!B16</f>
        <v>General</v>
      </c>
      <c r="B17" s="20"/>
      <c r="C17" s="19"/>
      <c r="D17" s="334">
        <v>0.187</v>
      </c>
      <c r="E17" s="332"/>
    </row>
    <row r="18" spans="1:5" ht="15">
      <c r="A18" s="93" t="str">
        <f>inputPrYr!B17</f>
        <v>Debt Service</v>
      </c>
      <c r="B18" s="309"/>
      <c r="C18" s="19"/>
      <c r="D18" s="335"/>
      <c r="E18" s="332"/>
    </row>
    <row r="19" spans="1:5" ht="15">
      <c r="A19" s="93" t="str">
        <f>inputPrYr!B18</f>
        <v>Road</v>
      </c>
      <c r="B19" s="309"/>
      <c r="C19" s="19"/>
      <c r="D19" s="335"/>
      <c r="E19" s="332"/>
    </row>
    <row r="20" spans="1:5" ht="15">
      <c r="A20" s="93" t="str">
        <f>inputPrYr!B19</f>
        <v>Fire</v>
      </c>
      <c r="B20" s="309"/>
      <c r="C20" s="19"/>
      <c r="D20" s="335">
        <v>2.085</v>
      </c>
      <c r="E20" s="332"/>
    </row>
    <row r="21" spans="1:5" ht="15">
      <c r="A21" s="93" t="str">
        <f>inputPrYr!B20</f>
        <v>Cemetery</v>
      </c>
      <c r="B21" s="309"/>
      <c r="C21" s="19"/>
      <c r="D21" s="335">
        <v>0.16</v>
      </c>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84</v>
      </c>
      <c r="C26" s="301"/>
      <c r="D26" s="337">
        <f>SUM(D17:D25)</f>
        <v>2.432</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v>935172</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641</v>
      </c>
      <c r="B31" s="20"/>
      <c r="C31" s="20"/>
      <c r="D31" s="341"/>
      <c r="E31" s="35">
        <v>136</v>
      </c>
    </row>
    <row r="32" spans="1:5" ht="15">
      <c r="A32" s="342" t="s">
        <v>85</v>
      </c>
      <c r="B32" s="309"/>
      <c r="C32" s="309"/>
      <c r="D32" s="32"/>
      <c r="E32" s="35">
        <v>3</v>
      </c>
    </row>
    <row r="33" spans="1:5" ht="15">
      <c r="A33" s="342" t="s">
        <v>642</v>
      </c>
      <c r="B33" s="309"/>
      <c r="C33" s="309"/>
      <c r="D33" s="32"/>
      <c r="E33" s="35">
        <v>74</v>
      </c>
    </row>
    <row r="34" spans="1:5" ht="15">
      <c r="A34" s="342" t="s">
        <v>643</v>
      </c>
      <c r="B34" s="309"/>
      <c r="C34" s="309"/>
      <c r="D34" s="32"/>
      <c r="E34" s="35" t="s">
        <v>86</v>
      </c>
    </row>
    <row r="35" spans="1:5" ht="15">
      <c r="A35" s="342" t="s">
        <v>644</v>
      </c>
      <c r="B35" s="309"/>
      <c r="C35" s="309"/>
      <c r="D35" s="32"/>
      <c r="E35" s="35"/>
    </row>
    <row r="36" spans="1:5" ht="15">
      <c r="A36" s="342" t="s">
        <v>580</v>
      </c>
      <c r="B36" s="20"/>
      <c r="C36" s="20"/>
      <c r="D36" s="341"/>
      <c r="E36" s="35"/>
    </row>
    <row r="37" spans="1:5" ht="15">
      <c r="A37" s="14" t="s">
        <v>645</v>
      </c>
      <c r="B37" s="14"/>
      <c r="C37" s="14"/>
      <c r="D37" s="14"/>
      <c r="E37" s="14"/>
    </row>
    <row r="38" spans="1:5" ht="15">
      <c r="A38" s="90" t="s">
        <v>646</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647</v>
      </c>
      <c r="B40" s="319"/>
      <c r="C40" s="19"/>
      <c r="D40" s="19"/>
      <c r="E40" s="344"/>
    </row>
    <row r="41" spans="1:5" ht="15">
      <c r="A41" s="345" t="s">
        <v>648</v>
      </c>
      <c r="B41" s="345"/>
      <c r="C41" s="346"/>
      <c r="D41" s="346"/>
      <c r="E41" s="347"/>
    </row>
    <row r="42" spans="1:5" ht="1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246</v>
      </c>
      <c r="C46" s="350" t="s">
        <v>11</v>
      </c>
      <c r="D46" s="351"/>
      <c r="E46" s="351"/>
    </row>
    <row r="47" spans="1:5" ht="15.75">
      <c r="A47" s="352" t="str">
        <f>inputPrYr!B17</f>
        <v>Debt Service</v>
      </c>
      <c r="B47" s="37"/>
      <c r="C47" s="350"/>
      <c r="D47" s="351"/>
      <c r="E47" s="351"/>
    </row>
    <row r="48" spans="1:5" ht="15">
      <c r="A48" s="352" t="str">
        <f>inputPrYr!B18</f>
        <v>Road</v>
      </c>
      <c r="B48" s="37"/>
      <c r="C48" s="167"/>
      <c r="D48" s="167"/>
      <c r="E48" s="167"/>
    </row>
    <row r="49" spans="1:5" ht="15">
      <c r="A49" s="352" t="str">
        <f>inputPrYr!B19</f>
        <v>Fire</v>
      </c>
      <c r="B49" s="37">
        <v>2606</v>
      </c>
      <c r="C49" s="167"/>
      <c r="D49" s="167"/>
      <c r="E49" s="167"/>
    </row>
    <row r="50" spans="1:5" ht="15">
      <c r="A50" s="352" t="str">
        <f>inputPrYr!B20</f>
        <v>Cemetery</v>
      </c>
      <c r="B50" s="37">
        <v>404</v>
      </c>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
      <c r="A4" s="406"/>
      <c r="B4" s="406"/>
      <c r="C4" s="406"/>
      <c r="D4" s="408"/>
      <c r="E4" s="406"/>
      <c r="F4" s="406"/>
    </row>
    <row r="5" spans="1:6" ht="15">
      <c r="A5" s="407" t="s">
        <v>183</v>
      </c>
      <c r="B5" s="409" t="s">
        <v>694</v>
      </c>
      <c r="C5" s="410"/>
      <c r="D5" s="407" t="s">
        <v>184</v>
      </c>
      <c r="E5" s="406"/>
      <c r="F5" s="406"/>
    </row>
    <row r="6" spans="1:6" ht="15">
      <c r="A6" s="407"/>
      <c r="B6" s="411"/>
      <c r="C6" s="412"/>
      <c r="D6" s="407"/>
      <c r="E6" s="406"/>
      <c r="F6" s="406"/>
    </row>
    <row r="7" spans="1:6" ht="15">
      <c r="A7" s="407" t="s">
        <v>185</v>
      </c>
      <c r="B7" s="409" t="s">
        <v>695</v>
      </c>
      <c r="C7" s="413"/>
      <c r="D7" s="407"/>
      <c r="E7" s="406"/>
      <c r="F7" s="406"/>
    </row>
    <row r="8" spans="1:6" ht="15">
      <c r="A8" s="407"/>
      <c r="B8" s="407"/>
      <c r="C8" s="407"/>
      <c r="D8" s="407"/>
      <c r="E8" s="406"/>
      <c r="F8" s="406"/>
    </row>
    <row r="9" spans="1:6" ht="15">
      <c r="A9" s="407" t="s">
        <v>186</v>
      </c>
      <c r="B9" s="414" t="s">
        <v>696</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187</v>
      </c>
      <c r="B12" s="414" t="s">
        <v>469</v>
      </c>
      <c r="C12" s="414"/>
      <c r="D12" s="414"/>
      <c r="E12" s="415"/>
      <c r="F12" s="406"/>
    </row>
    <row r="15" spans="1:6" ht="15">
      <c r="A15" s="443" t="s">
        <v>188</v>
      </c>
      <c r="B15" s="443"/>
      <c r="C15" s="407"/>
      <c r="D15" s="407"/>
      <c r="E15" s="407"/>
      <c r="F15" s="406"/>
    </row>
    <row r="16" spans="1:6" ht="15">
      <c r="A16" s="407"/>
      <c r="B16" s="407"/>
      <c r="C16" s="407"/>
      <c r="D16" s="407"/>
      <c r="E16" s="407"/>
      <c r="F16" s="406"/>
    </row>
    <row r="17" spans="1:5" ht="15">
      <c r="A17" s="407" t="s">
        <v>183</v>
      </c>
      <c r="B17" s="411" t="s">
        <v>189</v>
      </c>
      <c r="C17" s="407"/>
      <c r="D17" s="407"/>
      <c r="E17" s="407"/>
    </row>
    <row r="18" spans="1:5" ht="15">
      <c r="A18" s="407"/>
      <c r="B18" s="407"/>
      <c r="C18" s="407"/>
      <c r="D18" s="407"/>
      <c r="E18" s="407"/>
    </row>
    <row r="19" spans="1:5" ht="15">
      <c r="A19" s="407" t="s">
        <v>185</v>
      </c>
      <c r="B19" s="407" t="s">
        <v>190</v>
      </c>
      <c r="C19" s="407"/>
      <c r="D19" s="407"/>
      <c r="E19" s="407"/>
    </row>
    <row r="20" spans="1:5" ht="15">
      <c r="A20" s="407"/>
      <c r="B20" s="407"/>
      <c r="C20" s="407"/>
      <c r="D20" s="407"/>
      <c r="E20" s="407"/>
    </row>
    <row r="21" spans="1:5" ht="15">
      <c r="A21" s="407" t="s">
        <v>186</v>
      </c>
      <c r="B21" s="407" t="s">
        <v>192</v>
      </c>
      <c r="C21" s="407"/>
      <c r="D21" s="407"/>
      <c r="E21" s="407"/>
    </row>
    <row r="22" spans="1:5" ht="15">
      <c r="A22" s="407"/>
      <c r="B22" s="407"/>
      <c r="C22" s="407"/>
      <c r="D22" s="407"/>
      <c r="E22" s="407"/>
    </row>
    <row r="23" spans="1:5" ht="1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0" zoomScaleNormal="90" zoomScalePageLayoutView="0" workbookViewId="0" topLeftCell="A1">
      <selection activeCell="A41" sqref="A41"/>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546</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JEWELL COUNTY, State of Kansas</v>
      </c>
      <c r="B3" s="454"/>
      <c r="C3" s="454"/>
      <c r="D3" s="454"/>
      <c r="E3" s="454"/>
      <c r="F3" s="454"/>
      <c r="G3" s="454"/>
    </row>
    <row r="4" spans="1:6" s="14" customFormat="1" ht="15">
      <c r="A4" s="174" t="s">
        <v>633</v>
      </c>
      <c r="B4" s="172"/>
      <c r="C4" s="172"/>
      <c r="D4" s="172"/>
      <c r="E4" s="172"/>
      <c r="F4" s="172"/>
    </row>
    <row r="5" s="14" customFormat="1" ht="15">
      <c r="C5" s="296" t="str">
        <f>inputPrYr!D2</f>
        <v>ERVING TOWNSHIP</v>
      </c>
    </row>
    <row r="6" spans="1:6" s="14" customFormat="1" ht="15">
      <c r="A6" s="453" t="s">
        <v>631</v>
      </c>
      <c r="B6" s="454"/>
      <c r="C6" s="454"/>
      <c r="D6" s="454"/>
      <c r="E6" s="454"/>
      <c r="F6" s="454"/>
    </row>
    <row r="7" spans="1:6" s="14" customFormat="1" ht="15.75" customHeight="1">
      <c r="A7" s="455" t="s">
        <v>632</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86</v>
      </c>
      <c r="E12" s="447" t="str">
        <f>CONCATENATE("Amount of ",G1-1," Ad Valorem Tax")</f>
        <v>Amount of 2011 Ad Valorem Tax</v>
      </c>
      <c r="F12" s="23" t="s">
        <v>87</v>
      </c>
    </row>
    <row r="13" spans="3:6" s="14" customFormat="1" ht="15">
      <c r="C13" s="23" t="s">
        <v>88</v>
      </c>
      <c r="D13" s="235"/>
      <c r="E13" s="448"/>
      <c r="F13" s="183" t="s">
        <v>89</v>
      </c>
    </row>
    <row r="14" spans="1:6" s="14" customFormat="1" ht="15">
      <c r="A14" s="93" t="s">
        <v>90</v>
      </c>
      <c r="B14" s="20"/>
      <c r="C14" s="27" t="s">
        <v>91</v>
      </c>
      <c r="D14" s="27" t="s">
        <v>92</v>
      </c>
      <c r="E14" s="449"/>
      <c r="F14" s="27" t="s">
        <v>93</v>
      </c>
    </row>
    <row r="15" spans="1:6" s="14" customFormat="1" ht="15">
      <c r="A15" s="28" t="str">
        <f>CONCATENATE("Computation to Determine Limit for ",G1,"")</f>
        <v>Computation to Determine Limit for 2012</v>
      </c>
      <c r="B15" s="29"/>
      <c r="C15" s="23">
        <v>2</v>
      </c>
      <c r="D15" s="19"/>
      <c r="E15" s="19"/>
      <c r="F15" s="298"/>
    </row>
    <row r="16" spans="1:6" s="14" customFormat="1" ht="15">
      <c r="A16" s="28" t="s">
        <v>3</v>
      </c>
      <c r="B16" s="29"/>
      <c r="C16" s="189">
        <v>3</v>
      </c>
      <c r="D16" s="19"/>
      <c r="E16" s="19"/>
      <c r="F16" s="299"/>
    </row>
    <row r="17" spans="1:6" s="14" customFormat="1" ht="15">
      <c r="A17" s="85" t="s">
        <v>653</v>
      </c>
      <c r="B17" s="29"/>
      <c r="C17" s="189">
        <v>4</v>
      </c>
      <c r="D17" s="19"/>
      <c r="E17" s="19"/>
      <c r="F17" s="299"/>
    </row>
    <row r="18" spans="1:6" s="14" customFormat="1" ht="15">
      <c r="A18" s="85" t="s">
        <v>622</v>
      </c>
      <c r="B18" s="29"/>
      <c r="C18" s="189">
        <v>5</v>
      </c>
      <c r="D18" s="19"/>
      <c r="E18" s="19"/>
      <c r="F18" s="299"/>
    </row>
    <row r="19" spans="1:6" s="14" customFormat="1" ht="15">
      <c r="A19" s="300" t="s">
        <v>94</v>
      </c>
      <c r="B19" s="173" t="s">
        <v>95</v>
      </c>
      <c r="C19" s="209"/>
      <c r="F19" s="301"/>
    </row>
    <row r="20" spans="1:6" s="14" customFormat="1" ht="15">
      <c r="A20" s="110" t="str">
        <f>inputPrYr!B16</f>
        <v>General</v>
      </c>
      <c r="B20" s="302" t="str">
        <f>inputPrYr!C16</f>
        <v>79-1962</v>
      </c>
      <c r="C20" s="303">
        <f>IF(gen!$B$60&gt;0,gen!$B$60,"  ")</f>
        <v>6</v>
      </c>
      <c r="D20" s="189">
        <f>IF(gen!$G$50&lt;&gt;0,gen!$G$50,"  ")</f>
        <v>307</v>
      </c>
      <c r="E20" s="189">
        <f>IF(gen!$G$56&lt;&gt;0,gen!$G$56,0)</f>
        <v>130</v>
      </c>
      <c r="F20" s="184" t="str">
        <f>IF(AND(gen!G56=0,$B$38&gt;=0)," ",IF(AND(E20&gt;0,$B$38=0)," ",IF(AND(E20&gt;0,$B$38&gt;0),ROUND(E20/$B$38*1000,3))))</f>
        <v> </v>
      </c>
    </row>
    <row r="21" spans="1:6" s="14" customFormat="1" ht="1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
      <c r="A23" s="110" t="str">
        <f>IF(inputPrYr!$B19&gt;"  ",inputPrYr!$B19,"  ")</f>
        <v>Fire</v>
      </c>
      <c r="B23" s="302" t="str">
        <f>IF(inputPrYr!C19&gt;0,inputPrYr!C19,"  ")</f>
        <v>  </v>
      </c>
      <c r="C23" s="303">
        <f>IF(levypage9!$B$73&gt;0,levypage9!$B$73,"  ")</f>
        <v>7</v>
      </c>
      <c r="D23" s="189">
        <f>IF(levypage9!$G$31&lt;&gt;0,levypage9!$G$31,"  ")</f>
        <v>2972</v>
      </c>
      <c r="E23" s="189">
        <f>IF(levypage9!$G$37&lt;&gt;0,levypage9!$G$37,"  ")</f>
        <v>1950.0500000000002</v>
      </c>
      <c r="F23" s="184" t="str">
        <f>IF(AND(levypage9!G37=0,$B$38&gt;=0)," ",IF(AND(E23&gt;0,$B$38=0)," ",IF(AND(E23&gt;0,$B$38&gt;0),ROUND(E23/$B$38*1000,3))))</f>
        <v> </v>
      </c>
    </row>
    <row r="24" spans="1:6" s="14" customFormat="1" ht="15">
      <c r="A24" s="110" t="str">
        <f>IF(inputPrYr!$B20&gt;"  ",inputPrYr!$B20,"  ")</f>
        <v>Cemetery</v>
      </c>
      <c r="B24" s="302" t="str">
        <f>IF(inputPrYr!C20&gt;0,inputPrYr!C20,"  ")</f>
        <v>  </v>
      </c>
      <c r="C24" s="303">
        <f>IF(levypage9!$B$73&gt;0,levypage9!$B$73,"  ")</f>
        <v>7</v>
      </c>
      <c r="D24" s="189">
        <f>IF(levypage9!$G$66&lt;&gt;0,levypage9!$G$66,"  ")</f>
        <v>427</v>
      </c>
      <c r="E24" s="189">
        <f>IF(levypage9!$G$72&lt;&gt;0,levypage9!$G$72,"  ")</f>
        <v>185.48999999999995</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96</v>
      </c>
      <c r="B32" s="305"/>
      <c r="C32" s="306" t="str">
        <f>IF(road!$B$66&gt;0,road!$B$66,"  ")</f>
        <v>  </v>
      </c>
      <c r="D32" s="209"/>
      <c r="E32" s="209"/>
      <c r="F32" s="184"/>
    </row>
    <row r="33" spans="1:6" s="14" customFormat="1" ht="15.75" thickBot="1">
      <c r="A33" s="308" t="s">
        <v>97</v>
      </c>
      <c r="B33" s="309"/>
      <c r="C33" s="187" t="s">
        <v>98</v>
      </c>
      <c r="D33" s="310">
        <f>SUM(D20:D28)</f>
        <v>3706</v>
      </c>
      <c r="E33" s="310">
        <f>SUM(E20:E28)</f>
        <v>2265.54</v>
      </c>
      <c r="F33" s="311">
        <f>IF(SUM(F20:F28)&gt;0,SUM(F20:F28),"")</f>
      </c>
    </row>
    <row r="34" spans="1:3" s="14" customFormat="1" ht="15.75" thickTop="1">
      <c r="A34" s="28" t="s">
        <v>652</v>
      </c>
      <c r="B34" s="301"/>
      <c r="C34" s="306">
        <f>summ!C47</f>
        <v>8</v>
      </c>
    </row>
    <row r="35" spans="1:5" s="14" customFormat="1" ht="15">
      <c r="A35" s="28" t="s">
        <v>17</v>
      </c>
      <c r="B35" s="29"/>
      <c r="C35" s="306">
        <f>IF(nhood!C37&gt;0,nhood!C37,"")</f>
      </c>
      <c r="D35" s="312" t="s">
        <v>639</v>
      </c>
      <c r="E35" s="313" t="str">
        <f>IF(E33&gt;computation!J34,"Yes","No")</f>
        <v>No</v>
      </c>
    </row>
    <row r="36" spans="1:5" s="14" customFormat="1" ht="15">
      <c r="A36" s="28" t="s">
        <v>638</v>
      </c>
      <c r="B36" s="29"/>
      <c r="C36" s="306">
        <f>IF(Resolution!D50&gt;0,Resolution!D50,"")</f>
      </c>
      <c r="D36" s="314"/>
      <c r="E36" s="315"/>
    </row>
    <row r="37" spans="1:6" s="14" customFormat="1" ht="15">
      <c r="A37" s="316" t="s">
        <v>577</v>
      </c>
      <c r="B37" s="457" t="s">
        <v>605</v>
      </c>
      <c r="C37" s="458"/>
      <c r="D37" s="317"/>
      <c r="F37" s="22" t="s">
        <v>99</v>
      </c>
    </row>
    <row r="38" spans="1:6" s="14" customFormat="1" ht="15">
      <c r="A38" s="94" t="s">
        <v>578</v>
      </c>
      <c r="B38" s="459"/>
      <c r="C38" s="460"/>
      <c r="D38" s="318"/>
      <c r="F38" s="22"/>
    </row>
    <row r="39" spans="1:6" s="14" customFormat="1" ht="15">
      <c r="A39" s="319"/>
      <c r="B39" s="461" t="s">
        <v>604</v>
      </c>
      <c r="C39" s="445"/>
      <c r="D39" s="317"/>
      <c r="F39" s="22"/>
    </row>
    <row r="40" spans="1:6" s="14" customFormat="1" ht="15">
      <c r="A40" s="319" t="s">
        <v>100</v>
      </c>
      <c r="D40" s="19"/>
      <c r="F40" s="22"/>
    </row>
    <row r="41" spans="1:6" s="14" customFormat="1" ht="15">
      <c r="A41" s="320" t="s">
        <v>468</v>
      </c>
      <c r="B41" s="320"/>
      <c r="D41" s="317"/>
      <c r="E41" s="19"/>
      <c r="F41" s="19"/>
    </row>
    <row r="42" spans="1:2" s="14" customFormat="1" ht="15">
      <c r="A42" s="321"/>
      <c r="B42" s="321"/>
    </row>
    <row r="43" spans="1:6" s="14" customFormat="1" ht="15">
      <c r="A43" s="319" t="s">
        <v>626</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630</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102</v>
      </c>
      <c r="B52" s="14"/>
      <c r="C52" s="14"/>
      <c r="D52" s="444" t="s">
        <v>101</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470</v>
      </c>
      <c r="B56" s="322"/>
      <c r="C56" s="322"/>
      <c r="D56" s="322"/>
      <c r="E56" s="322"/>
      <c r="F56" s="14"/>
    </row>
    <row r="57" spans="1:6" ht="15">
      <c r="A57" s="323" t="s">
        <v>471</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472</v>
      </c>
      <c r="B62" s="14"/>
      <c r="C62" s="14"/>
      <c r="D62" s="54" t="s">
        <v>473</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ERVING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559</v>
      </c>
    </row>
    <row r="5" spans="1:10" ht="15">
      <c r="A5" s="286" t="s">
        <v>560</v>
      </c>
      <c r="B5" s="14" t="str">
        <f>CONCATENATE("Total Tax Levy Amount in ",J1-1,"")</f>
        <v>Total Tax Levy Amount in 2011</v>
      </c>
      <c r="C5" s="14"/>
      <c r="D5" s="14"/>
      <c r="E5" s="63"/>
      <c r="F5" s="63"/>
      <c r="G5" s="63"/>
      <c r="H5" s="287" t="s">
        <v>486</v>
      </c>
      <c r="I5" s="63" t="s">
        <v>473</v>
      </c>
      <c r="J5" s="288">
        <f>inputPrYr!E25</f>
        <v>2275</v>
      </c>
    </row>
    <row r="6" spans="1:10" ht="15">
      <c r="A6" s="286" t="s">
        <v>561</v>
      </c>
      <c r="B6" s="14" t="str">
        <f>CONCATENATE("Debt Service Levy in ",J1-1,"")</f>
        <v>Debt Service Levy in 2011</v>
      </c>
      <c r="C6" s="14"/>
      <c r="D6" s="14"/>
      <c r="E6" s="63"/>
      <c r="F6" s="63"/>
      <c r="G6" s="63"/>
      <c r="H6" s="287" t="s">
        <v>562</v>
      </c>
      <c r="I6" s="63" t="s">
        <v>473</v>
      </c>
      <c r="J6" s="289">
        <f>inputPrYr!E17</f>
        <v>0</v>
      </c>
    </row>
    <row r="7" spans="1:10" ht="15">
      <c r="A7" s="286" t="s">
        <v>563</v>
      </c>
      <c r="B7" s="17" t="s">
        <v>587</v>
      </c>
      <c r="C7" s="14"/>
      <c r="D7" s="14"/>
      <c r="E7" s="63"/>
      <c r="F7" s="63"/>
      <c r="G7" s="63"/>
      <c r="H7" s="63"/>
      <c r="I7" s="63" t="s">
        <v>473</v>
      </c>
      <c r="J7" s="290">
        <f>J5-J6</f>
        <v>2275</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564</v>
      </c>
      <c r="B11" s="17" t="str">
        <f>CONCATENATE("New Improvements for ",J1-1,":")</f>
        <v>New Improvements for 2011:</v>
      </c>
      <c r="C11" s="14"/>
      <c r="D11" s="14"/>
      <c r="E11" s="287"/>
      <c r="F11" s="287" t="s">
        <v>486</v>
      </c>
      <c r="G11" s="288">
        <f>inputOth!E8</f>
        <v>0</v>
      </c>
      <c r="H11" s="61"/>
      <c r="I11" s="63"/>
      <c r="J11" s="63"/>
    </row>
    <row r="12" spans="1:10" ht="15">
      <c r="A12" s="286"/>
      <c r="B12" s="286"/>
      <c r="C12" s="14"/>
      <c r="D12" s="14"/>
      <c r="E12" s="287"/>
      <c r="F12" s="287"/>
      <c r="G12" s="61"/>
      <c r="H12" s="61"/>
      <c r="I12" s="63"/>
      <c r="J12" s="63"/>
    </row>
    <row r="13" spans="1:10" ht="15">
      <c r="A13" s="286" t="s">
        <v>565</v>
      </c>
      <c r="B13" s="17" t="str">
        <f>CONCATENATE("Increase in Personal Property for ",J1-1,":")</f>
        <v>Increase in Personal Property for 2011:</v>
      </c>
      <c r="C13" s="14"/>
      <c r="D13" s="14"/>
      <c r="E13" s="287"/>
      <c r="F13" s="287"/>
      <c r="G13" s="61"/>
      <c r="H13" s="61"/>
      <c r="I13" s="63"/>
      <c r="J13" s="63"/>
    </row>
    <row r="14" spans="1:10" ht="15">
      <c r="A14" s="14"/>
      <c r="B14" s="14" t="s">
        <v>566</v>
      </c>
      <c r="C14" s="14" t="str">
        <f>CONCATENATE("Personal Property ",J1-1,"")</f>
        <v>Personal Property 2011</v>
      </c>
      <c r="D14" s="286" t="s">
        <v>486</v>
      </c>
      <c r="E14" s="288">
        <f>inputOth!E9</f>
        <v>31116</v>
      </c>
      <c r="F14" s="287"/>
      <c r="G14" s="63"/>
      <c r="H14" s="63"/>
      <c r="I14" s="61"/>
      <c r="J14" s="63"/>
    </row>
    <row r="15" spans="1:10" ht="15">
      <c r="A15" s="286"/>
      <c r="B15" s="14" t="s">
        <v>567</v>
      </c>
      <c r="C15" s="14" t="str">
        <f>CONCATENATE("Personal Property ",J1-2,"")</f>
        <v>Personal Property 2010</v>
      </c>
      <c r="D15" s="286" t="s">
        <v>562</v>
      </c>
      <c r="E15" s="290">
        <f>inputOth!E11</f>
        <v>34488</v>
      </c>
      <c r="F15" s="287"/>
      <c r="G15" s="61"/>
      <c r="H15" s="61"/>
      <c r="I15" s="63"/>
      <c r="J15" s="63"/>
    </row>
    <row r="16" spans="1:10" ht="15">
      <c r="A16" s="286"/>
      <c r="B16" s="14" t="s">
        <v>568</v>
      </c>
      <c r="C16" s="14" t="s">
        <v>588</v>
      </c>
      <c r="D16" s="14"/>
      <c r="E16" s="63"/>
      <c r="F16" s="63" t="s">
        <v>486</v>
      </c>
      <c r="G16" s="288">
        <f>IF(E14&gt;E15,E14-E15,0)</f>
        <v>0</v>
      </c>
      <c r="H16" s="61"/>
      <c r="I16" s="63"/>
      <c r="J16" s="63"/>
    </row>
    <row r="17" spans="1:10" ht="15">
      <c r="A17" s="286"/>
      <c r="B17" s="286"/>
      <c r="C17" s="14"/>
      <c r="D17" s="14"/>
      <c r="E17" s="63"/>
      <c r="F17" s="63"/>
      <c r="G17" s="61" t="s">
        <v>576</v>
      </c>
      <c r="H17" s="61"/>
      <c r="I17" s="63"/>
      <c r="J17" s="63"/>
    </row>
    <row r="18" spans="1:10" ht="15">
      <c r="A18" s="286" t="s">
        <v>569</v>
      </c>
      <c r="B18" s="17" t="str">
        <f>CONCATENATE("Valuation of Property that Changed in Use during ",J1-1,":")</f>
        <v>Valuation of Property that Changed in Use during 2011:</v>
      </c>
      <c r="C18" s="14"/>
      <c r="D18" s="14"/>
      <c r="E18" s="63"/>
      <c r="F18" s="287" t="s">
        <v>486</v>
      </c>
      <c r="G18" s="288">
        <f>inputOth!E10</f>
        <v>0</v>
      </c>
      <c r="H18" s="63"/>
      <c r="I18" s="63"/>
      <c r="J18" s="63"/>
    </row>
    <row r="19" spans="1:10" ht="15">
      <c r="A19" s="14" t="s">
        <v>86</v>
      </c>
      <c r="B19" s="14"/>
      <c r="C19" s="14"/>
      <c r="D19" s="286"/>
      <c r="E19" s="61"/>
      <c r="F19" s="61"/>
      <c r="G19" s="61"/>
      <c r="H19" s="63"/>
      <c r="I19" s="63"/>
      <c r="J19" s="63"/>
    </row>
    <row r="20" spans="1:10" ht="15">
      <c r="A20" s="286" t="s">
        <v>570</v>
      </c>
      <c r="B20" s="17" t="s">
        <v>589</v>
      </c>
      <c r="C20" s="14"/>
      <c r="D20" s="14"/>
      <c r="E20" s="63"/>
      <c r="F20" s="63"/>
      <c r="G20" s="288">
        <f>G11+G16+G18</f>
        <v>0</v>
      </c>
      <c r="H20" s="61"/>
      <c r="I20" s="63"/>
      <c r="J20" s="63"/>
    </row>
    <row r="21" spans="1:10" ht="15">
      <c r="A21" s="286"/>
      <c r="B21" s="286"/>
      <c r="C21" s="17"/>
      <c r="D21" s="14"/>
      <c r="E21" s="63"/>
      <c r="F21" s="63"/>
      <c r="G21" s="61"/>
      <c r="H21" s="61"/>
      <c r="I21" s="63"/>
      <c r="J21" s="63"/>
    </row>
    <row r="22" spans="1:10" ht="15">
      <c r="A22" s="286" t="s">
        <v>571</v>
      </c>
      <c r="B22" s="14" t="str">
        <f>CONCATENATE("Total Estimated Valuation July 1,",J1-1,"")</f>
        <v>Total Estimated Valuation July 1,2011</v>
      </c>
      <c r="C22" s="14"/>
      <c r="D22" s="14"/>
      <c r="E22" s="288">
        <f>inputOth!E7</f>
        <v>946760</v>
      </c>
      <c r="F22" s="63"/>
      <c r="G22" s="63"/>
      <c r="H22" s="63"/>
      <c r="I22" s="287"/>
      <c r="J22" s="63"/>
    </row>
    <row r="23" spans="1:10" ht="15">
      <c r="A23" s="286"/>
      <c r="B23" s="286"/>
      <c r="C23" s="14"/>
      <c r="D23" s="14"/>
      <c r="E23" s="61"/>
      <c r="F23" s="63"/>
      <c r="G23" s="63"/>
      <c r="H23" s="63"/>
      <c r="I23" s="287"/>
      <c r="J23" s="63"/>
    </row>
    <row r="24" spans="1:10" ht="15">
      <c r="A24" s="286" t="s">
        <v>572</v>
      </c>
      <c r="B24" s="17" t="s">
        <v>590</v>
      </c>
      <c r="C24" s="14"/>
      <c r="D24" s="14"/>
      <c r="E24" s="63"/>
      <c r="F24" s="63"/>
      <c r="G24" s="288">
        <f>E22-G20</f>
        <v>946760</v>
      </c>
      <c r="H24" s="61"/>
      <c r="I24" s="287"/>
      <c r="J24" s="63"/>
    </row>
    <row r="25" spans="1:10" ht="15">
      <c r="A25" s="286"/>
      <c r="B25" s="286"/>
      <c r="C25" s="17"/>
      <c r="D25" s="14"/>
      <c r="E25" s="14"/>
      <c r="F25" s="14"/>
      <c r="G25" s="291"/>
      <c r="H25" s="19"/>
      <c r="I25" s="286"/>
      <c r="J25" s="14"/>
    </row>
    <row r="26" spans="1:10" ht="15">
      <c r="A26" s="286" t="s">
        <v>573</v>
      </c>
      <c r="B26" s="14" t="s">
        <v>591</v>
      </c>
      <c r="C26" s="14"/>
      <c r="D26" s="14"/>
      <c r="E26" s="14"/>
      <c r="F26" s="14"/>
      <c r="G26" s="292">
        <f>IF(G20&gt;0,G20/G24,0)</f>
        <v>0</v>
      </c>
      <c r="H26" s="19"/>
      <c r="I26" s="14"/>
      <c r="J26" s="14"/>
    </row>
    <row r="27" spans="1:10" ht="15">
      <c r="A27" s="286"/>
      <c r="B27" s="286"/>
      <c r="C27" s="14"/>
      <c r="D27" s="14"/>
      <c r="E27" s="14"/>
      <c r="F27" s="14"/>
      <c r="G27" s="19"/>
      <c r="H27" s="19"/>
      <c r="I27" s="14"/>
      <c r="J27" s="14"/>
    </row>
    <row r="28" spans="1:10" ht="15">
      <c r="A28" s="286" t="s">
        <v>574</v>
      </c>
      <c r="B28" s="14" t="s">
        <v>592</v>
      </c>
      <c r="C28" s="14"/>
      <c r="D28" s="14"/>
      <c r="E28" s="14"/>
      <c r="F28" s="14"/>
      <c r="G28" s="19"/>
      <c r="H28" s="293" t="s">
        <v>486</v>
      </c>
      <c r="I28" s="14" t="s">
        <v>473</v>
      </c>
      <c r="J28" s="288">
        <f>ROUND(G26*J7,0)</f>
        <v>0</v>
      </c>
    </row>
    <row r="29" spans="1:10" ht="15">
      <c r="A29" s="286"/>
      <c r="B29" s="286"/>
      <c r="C29" s="14"/>
      <c r="D29" s="14"/>
      <c r="E29" s="14"/>
      <c r="F29" s="14"/>
      <c r="G29" s="19"/>
      <c r="H29" s="293"/>
      <c r="I29" s="14"/>
      <c r="J29" s="61"/>
    </row>
    <row r="30" spans="1:10" ht="15.75" thickBot="1">
      <c r="A30" s="286" t="s">
        <v>575</v>
      </c>
      <c r="B30" s="17" t="s">
        <v>596</v>
      </c>
      <c r="C30" s="14"/>
      <c r="D30" s="14"/>
      <c r="E30" s="14"/>
      <c r="F30" s="14"/>
      <c r="G30" s="14"/>
      <c r="H30" s="14"/>
      <c r="I30" s="14" t="s">
        <v>473</v>
      </c>
      <c r="J30" s="294">
        <f>J7+J28</f>
        <v>2275</v>
      </c>
    </row>
    <row r="31" spans="1:10" ht="15.75" thickTop="1">
      <c r="A31" s="14"/>
      <c r="B31" s="14"/>
      <c r="C31" s="14"/>
      <c r="D31" s="14"/>
      <c r="E31" s="14"/>
      <c r="F31" s="14"/>
      <c r="G31" s="14"/>
      <c r="H31" s="14"/>
      <c r="I31" s="14"/>
      <c r="J31" s="14"/>
    </row>
    <row r="32" spans="1:10" ht="15">
      <c r="A32" s="286" t="s">
        <v>594</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595</v>
      </c>
      <c r="B34" s="17" t="s">
        <v>597</v>
      </c>
      <c r="C34" s="14"/>
      <c r="D34" s="14"/>
      <c r="E34" s="14"/>
      <c r="F34" s="14"/>
      <c r="G34" s="14"/>
      <c r="H34" s="14"/>
      <c r="I34" s="14"/>
      <c r="J34" s="294">
        <f>J30+J32</f>
        <v>2275</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593</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11" sqref="G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ERVING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30</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557</v>
      </c>
      <c r="H10" s="27"/>
      <c r="I10" s="27" t="s">
        <v>558</v>
      </c>
      <c r="J10" s="183" t="s">
        <v>601</v>
      </c>
      <c r="K10" s="183" t="s">
        <v>644</v>
      </c>
      <c r="L10" s="127"/>
    </row>
    <row r="11" spans="2:12" ht="15">
      <c r="B11" s="110" t="str">
        <f>inputPrYr!B16</f>
        <v>General</v>
      </c>
      <c r="C11" s="269"/>
      <c r="D11" s="110">
        <f>IF(inputPrYr!E16&gt;0,inputPrYr!E16,"  ")</f>
        <v>150</v>
      </c>
      <c r="E11" s="270">
        <f>IF(inputOth!D17&gt;0,inputOth!D17,"  ")</f>
        <v>0.187</v>
      </c>
      <c r="F11" s="271"/>
      <c r="G11" s="110">
        <f>IF(inputPrYr!E16=0,0,G22-SUM(G12:G19))</f>
        <v>9</v>
      </c>
      <c r="H11" s="272"/>
      <c r="I11" s="110">
        <f>IF(inputPrYr!E16=0,0,I24-SUM(I12:I19))</f>
        <v>0</v>
      </c>
      <c r="J11" s="110">
        <f>IF(inputPrYr!E16=0,0,J26-SUM(J12:J19))</f>
        <v>5</v>
      </c>
      <c r="K11" s="110">
        <f>IF(inputPrYr!E16=0,0,K28-SUM(K12:K19))</f>
        <v>0</v>
      </c>
      <c r="L11" s="273" t="e">
        <f>IF(inputOth!D17&gt;0,ROUND(E11*#REF!*-1,0),"")</f>
        <v>#REF!</v>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
      <c r="B14" s="110" t="str">
        <f>IF(inputPrYr!$B19&gt;"  ",inputPrYr!$B19,"  ")</f>
        <v>Fire</v>
      </c>
      <c r="C14" s="269"/>
      <c r="D14" s="110">
        <f>IF(inputPrYr!E19&gt;=0,inputPrYr!E19,"  ")</f>
        <v>1950</v>
      </c>
      <c r="E14" s="270">
        <f>IF(inputOth!D20&gt;0,inputOth!D20,"  ")</f>
        <v>2.085</v>
      </c>
      <c r="F14" s="271"/>
      <c r="G14" s="110">
        <f>IF(inputPrYr!E19=0,0,ROUND(D14*$G$30,0))</f>
        <v>117</v>
      </c>
      <c r="H14" s="272"/>
      <c r="I14" s="110">
        <f>IF(inputPrYr!$E$19=0,0,ROUND($D$14*$I$32,0))</f>
        <v>3</v>
      </c>
      <c r="J14" s="110">
        <f>IF(inputPrYr!E19=0,0,ROUND($D14*$J$34,0))</f>
        <v>63</v>
      </c>
      <c r="K14" s="110">
        <f>IF(inputPrYr!E19=0,0,ROUND($D14*$K$36,0))</f>
        <v>0</v>
      </c>
      <c r="L14" s="273" t="e">
        <f>IF(inputOth!D20&gt;0,ROUND(E14*#REF!*-1,0),"")</f>
        <v>#REF!</v>
      </c>
    </row>
    <row r="15" spans="2:12" ht="15">
      <c r="B15" s="110" t="str">
        <f>IF(inputPrYr!$B20&gt;"  ",inputPrYr!$B20,"  ")</f>
        <v>Cemetery</v>
      </c>
      <c r="C15" s="269"/>
      <c r="D15" s="110">
        <f>IF(inputPrYr!E20&gt;=0,inputPrYr!E20,"  ")</f>
        <v>175</v>
      </c>
      <c r="E15" s="270">
        <f>IF(inputOth!D21&gt;0,inputOth!D21,"  ")</f>
        <v>0.16</v>
      </c>
      <c r="F15" s="271"/>
      <c r="G15" s="110">
        <f>IF(inputPrYr!E20=0,0,ROUND(D15*$G$30,0))</f>
        <v>10</v>
      </c>
      <c r="H15" s="272"/>
      <c r="I15" s="110">
        <f>IF(inputPrYr!$E$20=0,0,ROUND($D$15*$I$32,0))</f>
        <v>0</v>
      </c>
      <c r="J15" s="110">
        <f>IF(inputPrYr!E20=0,0,ROUND($D15*$J$34,0))</f>
        <v>6</v>
      </c>
      <c r="K15" s="110">
        <f>IF(inputPrYr!E20=0,0,ROUND($D15*$K$36,0))</f>
        <v>0</v>
      </c>
      <c r="L15" s="273" t="e">
        <f>IF(inputOth!D21&gt;0,ROUND(E15*#REF!*-1,0),"")</f>
        <v>#REF!</v>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84</v>
      </c>
      <c r="C20" s="274"/>
      <c r="D20" s="275">
        <f>SUM(D11:D19)</f>
        <v>2275</v>
      </c>
      <c r="E20" s="276">
        <f>SUM(E11:E19)</f>
        <v>2.432</v>
      </c>
      <c r="F20" s="277"/>
      <c r="G20" s="275">
        <f>SUM(G11:G19)</f>
        <v>136</v>
      </c>
      <c r="H20" s="275"/>
      <c r="I20" s="275">
        <f>SUM(I11:I19)</f>
        <v>3</v>
      </c>
      <c r="J20" s="275">
        <f>SUM(J11:J19)</f>
        <v>74</v>
      </c>
      <c r="K20" s="275">
        <f>SUM(K11:K19)</f>
        <v>0</v>
      </c>
      <c r="L20" s="278" t="e">
        <f>SUM(L11:L19)</f>
        <v>#REF!</v>
      </c>
    </row>
    <row r="21" spans="2:12" ht="15.75" thickTop="1">
      <c r="B21" s="14"/>
      <c r="C21" s="14"/>
      <c r="D21" s="14"/>
      <c r="E21" s="14"/>
      <c r="F21" s="14"/>
      <c r="G21" s="14"/>
      <c r="H21" s="14"/>
      <c r="I21" s="14"/>
      <c r="J21" s="14"/>
      <c r="K21" s="14"/>
      <c r="L21" s="117"/>
    </row>
    <row r="22" spans="2:12" ht="15">
      <c r="B22" s="22" t="s">
        <v>476</v>
      </c>
      <c r="C22" s="71"/>
      <c r="D22" s="14"/>
      <c r="E22" s="14"/>
      <c r="F22" s="14"/>
      <c r="G22" s="102">
        <f>inputOth!E31</f>
        <v>136</v>
      </c>
      <c r="H22" s="14"/>
      <c r="I22" s="14"/>
      <c r="J22" s="14"/>
      <c r="K22" s="14"/>
      <c r="L22" s="117"/>
    </row>
    <row r="23" spans="2:12" ht="15">
      <c r="B23" s="14"/>
      <c r="C23" s="14"/>
      <c r="D23" s="14"/>
      <c r="E23" s="14"/>
      <c r="F23" s="14"/>
      <c r="G23" s="14"/>
      <c r="H23" s="14"/>
      <c r="I23" s="14"/>
      <c r="J23" s="14"/>
      <c r="K23" s="14"/>
      <c r="L23" s="117"/>
    </row>
    <row r="24" spans="2:12" ht="15">
      <c r="B24" s="22" t="s">
        <v>477</v>
      </c>
      <c r="C24" s="14"/>
      <c r="D24" s="14"/>
      <c r="E24" s="14"/>
      <c r="F24" s="14"/>
      <c r="G24" s="14"/>
      <c r="H24" s="102">
        <f>inputPrYr!E73</f>
        <v>0</v>
      </c>
      <c r="I24" s="102">
        <f>inputOth!E32</f>
        <v>3</v>
      </c>
      <c r="J24" s="14"/>
      <c r="K24" s="14"/>
      <c r="L24" s="117"/>
    </row>
    <row r="25" spans="2:12" ht="15">
      <c r="B25" s="14"/>
      <c r="C25" s="14"/>
      <c r="D25" s="14"/>
      <c r="E25" s="14"/>
      <c r="F25" s="14"/>
      <c r="G25" s="14"/>
      <c r="H25" s="14"/>
      <c r="I25" s="14"/>
      <c r="J25" s="14"/>
      <c r="K25" s="14"/>
      <c r="L25" s="117"/>
    </row>
    <row r="26" spans="2:12" ht="15">
      <c r="B26" s="22" t="s">
        <v>554</v>
      </c>
      <c r="C26" s="14"/>
      <c r="D26" s="14"/>
      <c r="E26" s="14"/>
      <c r="F26" s="14"/>
      <c r="G26" s="14"/>
      <c r="H26" s="14"/>
      <c r="I26" s="14"/>
      <c r="J26" s="102">
        <f>inputOth!E33</f>
        <v>74</v>
      </c>
      <c r="K26" s="24"/>
      <c r="L26" s="117"/>
    </row>
    <row r="27" spans="2:12" ht="15">
      <c r="B27" s="14"/>
      <c r="C27" s="14"/>
      <c r="D27" s="14"/>
      <c r="E27" s="14"/>
      <c r="F27" s="14"/>
      <c r="G27" s="14"/>
      <c r="H27" s="14"/>
      <c r="I27" s="14"/>
      <c r="J27" s="14"/>
      <c r="K27" s="14"/>
      <c r="L27" s="117"/>
    </row>
    <row r="28" spans="2:12" ht="15">
      <c r="B28" s="14" t="s">
        <v>1</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478</v>
      </c>
      <c r="C30" s="14"/>
      <c r="D30" s="14"/>
      <c r="E30" s="14"/>
      <c r="F30" s="14"/>
      <c r="G30" s="279">
        <f>IF(D20=0,0,G22/D20)</f>
        <v>0.05978021978021978</v>
      </c>
      <c r="H30" s="14"/>
      <c r="I30" s="14"/>
      <c r="J30" s="14"/>
      <c r="K30" s="14"/>
      <c r="L30" s="117"/>
    </row>
    <row r="31" spans="2:12" ht="15">
      <c r="B31" s="14"/>
      <c r="C31" s="280"/>
      <c r="D31" s="14"/>
      <c r="E31" s="14"/>
      <c r="F31" s="14"/>
      <c r="G31" s="14"/>
      <c r="H31" s="14"/>
      <c r="I31" s="14"/>
      <c r="J31" s="14"/>
      <c r="K31" s="14"/>
      <c r="L31" s="117"/>
    </row>
    <row r="32" spans="2:12" ht="15">
      <c r="B32" s="22" t="s">
        <v>479</v>
      </c>
      <c r="C32" s="14"/>
      <c r="D32" s="14"/>
      <c r="E32" s="14"/>
      <c r="F32" s="14"/>
      <c r="G32" s="14"/>
      <c r="H32" s="281">
        <f>IF(D20=0,0,H24/D20)</f>
        <v>0</v>
      </c>
      <c r="I32" s="282">
        <f>IF(D20=0,0,I24/D20)</f>
        <v>0.0013186813186813187</v>
      </c>
      <c r="J32" s="14"/>
      <c r="K32" s="14"/>
      <c r="L32" s="117"/>
    </row>
    <row r="33" spans="2:12" ht="15">
      <c r="B33" s="14"/>
      <c r="C33" s="14"/>
      <c r="D33" s="14"/>
      <c r="E33" s="14"/>
      <c r="F33" s="14"/>
      <c r="G33" s="14"/>
      <c r="H33" s="14"/>
      <c r="I33" s="14"/>
      <c r="J33" s="14"/>
      <c r="K33" s="14"/>
      <c r="L33" s="117"/>
    </row>
    <row r="34" spans="2:12" ht="15">
      <c r="B34" s="22" t="s">
        <v>556</v>
      </c>
      <c r="C34" s="14"/>
      <c r="D34" s="14"/>
      <c r="E34" s="14"/>
      <c r="F34" s="14"/>
      <c r="G34" s="14"/>
      <c r="H34" s="14"/>
      <c r="I34" s="14"/>
      <c r="J34" s="279">
        <f>IF(D20=0,0,J26/D20)</f>
        <v>0.032527472527472526</v>
      </c>
      <c r="K34" s="283"/>
      <c r="L34" s="117"/>
    </row>
    <row r="35" spans="2:12" ht="15">
      <c r="B35" s="117"/>
      <c r="C35" s="117"/>
      <c r="D35" s="117"/>
      <c r="E35" s="117"/>
      <c r="F35" s="117"/>
      <c r="G35" s="117"/>
      <c r="H35" s="117"/>
      <c r="I35" s="117"/>
      <c r="J35" s="117"/>
      <c r="K35" s="117"/>
      <c r="L35" s="117"/>
    </row>
    <row r="36" spans="2:12" ht="15">
      <c r="B36" s="117" t="s">
        <v>2</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ERVING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653</v>
      </c>
      <c r="B5" s="446"/>
      <c r="C5" s="446"/>
      <c r="D5" s="446"/>
      <c r="E5" s="446"/>
      <c r="F5" s="446"/>
    </row>
    <row r="6" spans="1:6" ht="14.25" customHeight="1">
      <c r="A6" s="152"/>
      <c r="B6" s="247"/>
      <c r="C6" s="247"/>
      <c r="D6" s="247"/>
      <c r="E6" s="247"/>
      <c r="F6" s="247"/>
    </row>
    <row r="7" spans="1:6" ht="15" customHeight="1">
      <c r="A7" s="248" t="s">
        <v>92</v>
      </c>
      <c r="B7" s="248" t="s">
        <v>451</v>
      </c>
      <c r="C7" s="249" t="s">
        <v>503</v>
      </c>
      <c r="D7" s="249" t="s">
        <v>654</v>
      </c>
      <c r="E7" s="248" t="s">
        <v>655</v>
      </c>
      <c r="F7" s="248" t="s">
        <v>656</v>
      </c>
    </row>
    <row r="8" spans="1:6" ht="15" customHeight="1">
      <c r="A8" s="250" t="s">
        <v>452</v>
      </c>
      <c r="B8" s="250" t="s">
        <v>453</v>
      </c>
      <c r="C8" s="251" t="s">
        <v>657</v>
      </c>
      <c r="D8" s="251" t="s">
        <v>657</v>
      </c>
      <c r="E8" s="251" t="s">
        <v>657</v>
      </c>
      <c r="F8" s="251" t="s">
        <v>658</v>
      </c>
    </row>
    <row r="9" spans="1:6" s="254" customFormat="1" ht="15" customHeight="1" thickBot="1">
      <c r="A9" s="252" t="s">
        <v>659</v>
      </c>
      <c r="B9" s="253" t="s">
        <v>660</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84</v>
      </c>
      <c r="C27" s="262">
        <f>SUM(C10:C26)</f>
        <v>0</v>
      </c>
      <c r="D27" s="262">
        <f>SUM(D10:D26)</f>
        <v>0</v>
      </c>
      <c r="E27" s="262">
        <f>SUM(E10:E26)</f>
        <v>0</v>
      </c>
      <c r="F27" s="156"/>
    </row>
    <row r="28" spans="1:6" ht="15">
      <c r="A28" s="156"/>
      <c r="B28" s="261" t="s">
        <v>450</v>
      </c>
      <c r="C28" s="156"/>
      <c r="D28" s="258"/>
      <c r="E28" s="258"/>
      <c r="F28" s="156"/>
    </row>
    <row r="29" spans="1:6" ht="15">
      <c r="A29" s="156"/>
      <c r="B29" s="209" t="s">
        <v>661</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454</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126</v>
      </c>
    </row>
    <row r="2" ht="15">
      <c r="A2" s="103"/>
    </row>
    <row r="3" ht="15">
      <c r="A3" s="103"/>
    </row>
    <row r="4" ht="52.5" customHeight="1">
      <c r="A4" s="193" t="s">
        <v>168</v>
      </c>
    </row>
    <row r="5" ht="15">
      <c r="A5" s="103"/>
    </row>
    <row r="6" ht="15">
      <c r="A6" s="103"/>
    </row>
    <row r="7" ht="70.5" customHeight="1">
      <c r="A7" s="193" t="s">
        <v>169</v>
      </c>
    </row>
    <row r="8" ht="15">
      <c r="A8" s="194"/>
    </row>
    <row r="9" ht="15">
      <c r="A9" s="103"/>
    </row>
    <row r="10" ht="56.25" customHeight="1">
      <c r="A10" s="193" t="s">
        <v>170</v>
      </c>
    </row>
    <row r="11" ht="15">
      <c r="A11" s="194"/>
    </row>
    <row r="12" ht="15">
      <c r="A12" s="194"/>
    </row>
    <row r="13" ht="57.75" customHeight="1">
      <c r="A13" s="193" t="s">
        <v>171</v>
      </c>
    </row>
    <row r="14" ht="15">
      <c r="A14" s="194"/>
    </row>
    <row r="15" ht="15">
      <c r="A15" s="194"/>
    </row>
    <row r="16" ht="87.75" customHeight="1">
      <c r="A16" s="193" t="s">
        <v>172</v>
      </c>
    </row>
    <row r="17" ht="15">
      <c r="A17" s="194"/>
    </row>
    <row r="18" ht="15">
      <c r="A18" s="103"/>
    </row>
    <row r="19" ht="54.75" customHeight="1">
      <c r="A19" s="193" t="s">
        <v>173</v>
      </c>
    </row>
    <row r="20" ht="15">
      <c r="A20" s="103"/>
    </row>
    <row r="21" ht="15">
      <c r="A21" s="103"/>
    </row>
    <row r="22" ht="69" customHeight="1">
      <c r="A22" s="193" t="s">
        <v>174</v>
      </c>
    </row>
    <row r="23" ht="15">
      <c r="A23" s="103"/>
    </row>
    <row r="24" ht="15">
      <c r="A24" s="243"/>
    </row>
    <row r="25" ht="47.25" customHeight="1">
      <c r="A25" s="244" t="s">
        <v>175</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2011-06-29T14:17:42Z</cp:lastPrinted>
  <dcterms:created xsi:type="dcterms:W3CDTF">1998-08-26T16:30:41Z</dcterms:created>
  <dcterms:modified xsi:type="dcterms:W3CDTF">2011-06-29T14:20:51Z</dcterms:modified>
  <cp:category/>
  <cp:version/>
  <cp:contentType/>
  <cp:contentStatus/>
</cp:coreProperties>
</file>