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19"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<sst xmlns="http://schemas.openxmlformats.org/spreadsheetml/2006/main" count="1379" uniqueCount="826">
  <si>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</si>
  <si>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</si>
  <si>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</si>
  <si>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</si>
  <si>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</si>
  <si>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</si>
  <si>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</si>
  <si>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</si>
  <si>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</si>
  <si>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</si>
  <si>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</si>
  <si>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</si>
  <si>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</si>
  <si>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</si>
  <si>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</si>
  <si>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</si>
  <si>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</si>
  <si>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</si>
  <si>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</si>
  <si>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</si>
  <si>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</si>
  <si>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</si>
  <si>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</si>
  <si>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</si>
  <si>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</si>
  <si>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</si>
  <si>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</si>
  <si>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</si>
  <si>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</si>
  <si>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</si>
  <si>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</si>
  <si>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</si>
  <si>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</si>
  <si>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</si>
  <si>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</si>
  <si>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</si>
  <si>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</si>
  <si>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</si>
  <si>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</si>
  <si>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</si>
  <si>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</si>
  <si>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</si>
  <si>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</si>
  <si>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</si>
  <si>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</si>
  <si>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</si>
  <si>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</si>
  <si>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</si>
  <si>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</si>
  <si>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</si>
  <si>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</si>
  <si>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</si>
  <si>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</si>
  <si>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</si>
  <si>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</si>
  <si>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</si>
  <si>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</si>
  <si>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</si>
  <si>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</si>
  <si>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</si>
  <si>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</si>
  <si>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</si>
  <si>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</si>
  <si>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</si>
  <si>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</si>
  <si>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</si>
  <si>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</si>
  <si>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</si>
  <si>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</si>
  <si>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</si>
  <si>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</si>
  <si>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</si>
  <si>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</si>
  <si>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</si>
  <si>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</si>
  <si>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</si>
  <si>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</si>
  <si>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</si>
  <si>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</si>
  <si>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</si>
  <si>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</si>
  <si>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</si>
  <si>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</si>
  <si>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</si>
  <si>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</si>
  <si>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</si>
  <si>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</si>
  <si>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</si>
  <si>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</si>
  <si>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</si>
  <si>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</si>
  <si>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</si>
  <si>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</si>
  <si>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</si>
  <si>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</si>
  <si>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</si>
  <si>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</si>
  <si>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</si>
  <si>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</si>
  <si>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</si>
  <si>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</si>
  <si>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</si>
  <si>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</si>
  <si>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</si>
  <si>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</si>
  <si>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</si>
  <si>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</si>
  <si>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</si>
  <si>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</si>
  <si>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</si>
  <si>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</si>
  <si>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</si>
  <si>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</si>
  <si>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</si>
  <si>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</si>
  <si>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</si>
  <si>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</si>
  <si>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</si>
  <si>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</si>
  <si>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</si>
  <si>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</si>
  <si>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</si>
  <si>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</si>
  <si>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</si>
  <si>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</si>
  <si>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</si>
  <si>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</si>
  <si>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</si>
  <si>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</si>
  <si>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</si>
  <si>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</si>
  <si>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</si>
  <si>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</si>
  <si>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</si>
  <si>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</si>
  <si>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</si>
  <si>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</si>
  <si>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</si>
  <si>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</si>
  <si>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</si>
  <si>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</si>
  <si>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</si>
  <si>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</si>
  <si>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</si>
  <si>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</si>
  <si>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</si>
  <si>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</si>
  <si>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</si>
  <si>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</si>
  <si>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</si>
  <si>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</si>
  <si>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</si>
  <si>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</si>
  <si>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</si>
  <si>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</si>
  <si>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</si>
  <si>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</si>
  <si>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</si>
  <si>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</si>
  <si>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</si>
  <si>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</si>
  <si>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</si>
  <si>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</si>
  <si>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</si>
  <si>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</si>
  <si>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</si>
  <si>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</si>
  <si>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</si>
  <si>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</si>
  <si>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</si>
  <si>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</si>
  <si>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</si>
  <si>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</si>
  <si>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</si>
  <si>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</si>
  <si>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</si>
  <si>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</si>
  <si>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</si>
  <si>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</si>
  <si>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</si>
  <si>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</si>
  <si>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</si>
  <si>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</si>
  <si>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</si>
  <si>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</si>
  <si>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</si>
  <si>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</si>
  <si>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</si>
  <si>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</si>
  <si>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</si>
  <si>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</si>
  <si>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</si>
  <si>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</si>
  <si>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</si>
  <si>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</si>
  <si>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</si>
  <si>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</si>
  <si>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</si>
  <si>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</si>
  <si>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</si>
  <si>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</si>
  <si>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</si>
  <si>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</si>
  <si>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</si>
  <si>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</si>
  <si>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</si>
  <si>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</si>
  <si>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</si>
  <si>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</si>
  <si>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</si>
  <si>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</si>
  <si>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</si>
  <si>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</si>
  <si>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</si>
  <si>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</si>
  <si>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</si>
  <si>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</si>
  <si>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</si>
  <si>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</si>
  <si>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</si>
  <si>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</si>
  <si>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</si>
  <si>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</si>
  <si>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</si>
  <si>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</si>
  <si>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</si>
  <si>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</si>
  <si>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</si>
  <si>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</si>
  <si>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</si>
  <si>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</si>
  <si>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</si>
  <si>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</si>
  <si>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</si>
  <si>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</si>
  <si>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</si>
  <si>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</si>
  <si>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</si>
  <si>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</si>
  <si>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</si>
  <si>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</si>
  <si>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</si>
  <si>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</si>
  <si>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</si>
  <si>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</si>
  <si>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</si>
  <si>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</si>
  <si>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</si>
  <si>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</si>
  <si>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</si>
  <si>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</si>
  <si>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</si>
  <si>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</si>
  <si>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</si>
  <si>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</si>
  <si>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</si>
  <si>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</si>
  <si>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</si>
  <si>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</si>
  <si>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</si>
  <si>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</si>
  <si>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</si>
  <si>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</si>
  <si>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</si>
  <si>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</si>
  <si>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</si>
  <si>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</si>
  <si>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</si>
  <si>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</si>
  <si>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</si>
  <si>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</si>
  <si>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</si>
  <si>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</si>
  <si>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</si>
  <si>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</si>
  <si>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</si>
  <si>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</si>
  <si>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</si>
  <si>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</si>
  <si>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</si>
  <si>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</si>
  <si>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</si>
  <si>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</si>
  <si>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</si>
  <si>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</si>
  <si>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</si>
  <si>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</si>
  <si>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</si>
  <si>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</si>
  <si>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</si>
  <si>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</si>
  <si>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</si>
  <si>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</si>
  <si>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</si>
  <si>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</si>
  <si>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</si>
  <si>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</si>
  <si>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</si>
  <si>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</si>
  <si>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</si>
  <si>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</si>
  <si>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</si>
  <si>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</si>
  <si>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</si>
  <si>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</si>
  <si>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</si>
  <si>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</si>
  <si>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</si>
  <si>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</si>
  <si>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</si>
  <si>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</si>
  <si>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</si>
  <si>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</si>
  <si>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</si>
  <si>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</si>
  <si>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</si>
  <si>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</si>
  <si>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</si>
  <si>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</si>
  <si>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</si>
  <si>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</si>
  <si>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</si>
  <si>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</si>
  <si>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</si>
  <si>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</si>
  <si>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</si>
  <si>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</si>
  <si>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</si>
  <si>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</si>
  <si>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</si>
  <si>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</si>
  <si>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</si>
  <si>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</si>
  <si>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</si>
  <si>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</si>
  <si>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</si>
  <si>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</si>
  <si>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</si>
  <si>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</si>
  <si>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</si>
  <si>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</si>
  <si>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</si>
  <si>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</si>
  <si>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</si>
  <si>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</si>
  <si>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</si>
  <si>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</si>
  <si>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</si>
  <si>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</si>
  <si>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</si>
  <si>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</si>
  <si>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</si>
  <si>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</si>
  <si>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</si>
  <si>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</si>
  <si>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</si>
  <si>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</si>
  <si>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</si>
  <si>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</si>
  <si>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</si>
  <si>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</si>
  <si>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</si>
  <si>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</si>
  <si>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</si>
  <si>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</si>
  <si>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</si>
  <si>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</si>
  <si>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</si>
  <si>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</si>
  <si>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</si>
  <si>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</si>
  <si>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</si>
  <si>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</si>
  <si>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</si>
  <si>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</si>
  <si>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</si>
  <si>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</si>
  <si>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</si>
  <si>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</si>
  <si>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</si>
  <si>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</si>
  <si>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</si>
  <si>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</si>
  <si>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</si>
  <si>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</si>
  <si>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</si>
  <si>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</si>
  <si>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</si>
  <si>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</si>
  <si>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</si>
  <si>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</si>
  <si>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</si>
  <si>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</si>
  <si>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</si>
  <si>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</si>
  <si>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</si>
  <si>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</si>
  <si>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</si>
  <si>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</si>
  <si>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</si>
  <si>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</si>
  <si>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</si>
  <si>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</si>
  <si>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</si>
  <si>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</si>
  <si>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</si>
  <si>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</si>
  <si>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</si>
  <si>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</si>
  <si>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</si>
  <si>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</si>
  <si>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</si>
  <si>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</si>
  <si>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</si>
  <si>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</si>
  <si>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</si>
  <si>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</si>
  <si>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</si>
  <si>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</si>
  <si>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</si>
  <si>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</si>
  <si>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</si>
  <si>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</si>
  <si>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</si>
  <si>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</si>
  <si>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</si>
  <si>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</si>
  <si>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</si>
  <si>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</si>
  <si>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</si>
  <si>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</si>
  <si>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</si>
  <si>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</si>
  <si>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</si>
  <si>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</si>
  <si>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</si>
  <si>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</si>
  <si>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</si>
  <si>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</si>
  <si>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</si>
  <si>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</si>
  <si>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</si>
  <si>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</si>
  <si>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</si>
  <si>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</si>
  <si>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</si>
  <si>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</si>
  <si>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</si>
  <si>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</si>
  <si>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</si>
  <si>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</si>
  <si>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</si>
  <si>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</si>
  <si>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</si>
  <si>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</si>
  <si>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</si>
  <si>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</si>
  <si>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</si>
  <si>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</si>
  <si>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</si>
  <si>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</si>
  <si>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</si>
  <si>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</si>
  <si>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</si>
  <si>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</si>
  <si>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</si>
  <si>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</si>
  <si>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</si>
  <si>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</si>
  <si>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</si>
  <si>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</si>
  <si>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</si>
  <si>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</si>
  <si>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</si>
  <si>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</si>
  <si>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</si>
  <si>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</si>
  <si>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</si>
  <si>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</si>
  <si>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</si>
  <si>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</si>
  <si>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</si>
  <si>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</si>
  <si>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</si>
  <si>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</si>
  <si>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</si>
  <si>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</si>
  <si>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</si>
  <si>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</si>
  <si>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</si>
  <si>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</si>
  <si>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</si>
  <si>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</si>
  <si>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</si>
  <si>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</si>
  <si>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</si>
  <si>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</si>
  <si>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</si>
  <si>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</si>
  <si>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</si>
  <si>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</si>
  <si>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</si>
  <si>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</si>
  <si>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</si>
  <si>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</si>
  <si>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</si>
  <si>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</si>
  <si>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</si>
  <si>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</si>
  <si>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</si>
  <si>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</si>
  <si>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</si>
  <si>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</si>
  <si>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</si>
  <si>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</si>
  <si>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</si>
  <si>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</si>
  <si>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</si>
  <si>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</si>
  <si>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</si>
  <si>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</si>
  <si>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</si>
  <si>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</si>
  <si>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</si>
  <si>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</si>
  <si>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</si>
  <si>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</si>
  <si>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</si>
  <si>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</si>
  <si>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</si>
  <si>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</si>
  <si>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</si>
  <si>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</si>
  <si>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</si>
  <si>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</si>
  <si>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</si>
  <si>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</si>
  <si>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</si>
  <si>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</si>
  <si>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</si>
  <si>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</si>
  <si>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</si>
  <si>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</si>
  <si>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</si>
  <si>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</si>
  <si>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</si>
  <si>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</si>
  <si>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</si>
  <si>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</si>
  <si>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</si>
  <si>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</si>
  <si>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</si>
  <si>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</si>
  <si>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</si>
  <si>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</si>
  <si>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</si>
  <si>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</si>
  <si>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</si>
  <si>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</si>
  <si>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</si>
  <si>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</si>
  <si>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</si>
  <si>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</si>
  <si>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</si>
  <si>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</si>
  <si>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</si>
  <si>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</si>
  <si>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</si>
  <si>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</si>
  <si>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</si>
  <si>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</si>
  <si>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</si>
  <si>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</si>
  <si>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</si>
  <si>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</si>
  <si>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</si>
  <si>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</si>
  <si>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</si>
  <si>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</si>
  <si>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</si>
  <si>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</si>
  <si>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</si>
  <si>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</si>
  <si>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</si>
  <si>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</si>
  <si>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</si>
  <si>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</si>
  <si>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</si>
  <si>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</si>
  <si>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</si>
  <si>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</si>
  <si>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</si>
  <si>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</si>
  <si>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</si>
  <si>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</si>
  <si>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</si>
  <si>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</si>
  <si>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</si>
  <si>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</si>
  <si>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</si>
  <si>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</si>
  <si>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</si>
  <si>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</si>
  <si>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</si>
  <si>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</si>
  <si>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</si>
  <si>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</si>
  <si>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</si>
  <si>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</si>
  <si>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</si>
  <si>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</si>
  <si>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</si>
  <si>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</si>
  <si>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</si>
  <si>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</si>
  <si>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</si>
  <si>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</si>
  <si>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</si>
  <si>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</si>
  <si>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</si>
  <si>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</si>
  <si>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</si>
  <si>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</si>
  <si>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</si>
  <si>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</si>
  <si>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</si>
  <si>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</si>
  <si>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</si>
  <si>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</si>
  <si>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</si>
  <si>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</si>
  <si>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</si>
  <si>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</si>
  <si>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</si>
  <si>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</si>
  <si>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</si>
  <si>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</si>
  <si>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</si>
  <si>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</si>
  <si>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</si>
  <si>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</si>
  <si>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</si>
  <si>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</si>
  <si>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</si>
  <si>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</si>
  <si>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</si>
  <si>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</si>
  <si>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</si>
  <si>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</si>
  <si>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</si>
  <si>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</si>
  <si>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</si>
  <si>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</si>
  <si>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</si>
  <si>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</si>
  <si>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</si>
  <si>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</si>
  <si>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</si>
  <si>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</si>
  <si>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</si>
  <si>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</si>
  <si>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</si>
  <si>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</si>
  <si>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</si>
  <si>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</si>
  <si>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</si>
  <si>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</si>
  <si>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</si>
  <si>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</si>
  <si>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</si>
  <si>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</si>
  <si>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</si>
  <si>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</si>
  <si>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</si>
  <si>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</si>
  <si>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</si>
  <si>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</si>
  <si>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</si>
  <si>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</si>
  <si>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</si>
  <si>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</si>
  <si>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</si>
  <si>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</si>
  <si>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</si>
  <si>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</si>
  <si>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</si>
  <si>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</si>
  <si>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</si>
  <si>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</si>
  <si>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</si>
  <si>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</si>
  <si>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</si>
  <si>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</si>
  <si>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</si>
  <si>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</si>
  <si>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</si>
  <si>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</si>
  <si>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</si>
  <si>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</si>
  <si>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</si>
  <si>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</si>
  <si>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</si>
  <si>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</si>
  <si>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</si>
  <si>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</si>
  <si>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</si>
  <si>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</si>
  <si>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</si>
  <si>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</si>
  <si>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</si>
  <si>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</si>
  <si>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</si>
  <si>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</si>
  <si>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</si>
  <si>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</si>
  <si>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</si>
  <si>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</si>
  <si>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</si>
  <si>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</si>
  <si>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</si>
  <si>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</si>
  <si>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</si>
  <si>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</si>
  <si>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</si>
  <si>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</si>
  <si>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</si>
  <si>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</si>
  <si>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</si>
  <si>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</si>
  <si>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</si>
  <si>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</si>
  <si>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</si>
  <si>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</si>
  <si>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</si>
  <si>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</si>
  <si>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</si>
  <si>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</si>
  <si>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</si>
  <si>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</si>
  <si>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</si>
  <si>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</si>
  <si>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</si>
  <si>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</si>
  <si>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</si>
  <si>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</si>
  <si>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</si>
  <si>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</si>
  <si>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</si>
  <si>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</si>
  <si>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</si>
  <si>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</si>
  <si>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</si>
  <si>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</si>
  <si>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</si>
  <si>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</si>
  <si>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</si>
  <si>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</si>
  <si>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</si>
  <si>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</si>
  <si>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</si>
  <si>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</si>
  <si>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</si>
  <si>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</si>
  <si>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</si>
  <si>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</si>
  <si>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</si>
  <si>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</si>
  <si>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</si>
  <si>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</si>
  <si>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</si>
  <si>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</si>
  <si>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</si>
  <si>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</si>
  <si>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</si>
  <si>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</si>
  <si>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</si>
  <si>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</si>
  <si>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</si>
  <si>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</si>
  <si>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</si>
  <si>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</si>
  <si>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</si>
  <si>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</si>
  <si>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</si>
  <si>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</si>
  <si>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</si>
  <si>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</si>
  <si>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</si>
  <si>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</si>
  <si>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</si>
  <si>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</si>
  <si>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</si>
  <si>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</si>
  <si>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</si>
  <si>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</si>
  <si>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</si>
  <si>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</si>
  <si>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</si>
  <si>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</si>
  <si>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</si>
  <si>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</si>
  <si>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</si>
  <si>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</si>
  <si>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</si>
  <si>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</si>
  <si>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</si>
  <si>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</si>
  <si>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</si>
  <si>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</si>
  <si>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Publications &amp; Other</t>
  </si>
  <si>
    <t xml:space="preserve">Mowing </t>
  </si>
  <si>
    <t>Cemetery</t>
  </si>
  <si>
    <t>Adjustment</t>
  </si>
  <si>
    <t>Palacky Township</t>
  </si>
  <si>
    <t>Ellsworth County</t>
  </si>
  <si>
    <t>Transfer from Machine Fd</t>
  </si>
  <si>
    <t>Road Fund</t>
  </si>
  <si>
    <t>Insurance Reimbursement</t>
  </si>
  <si>
    <t>Other Expenses</t>
  </si>
  <si>
    <t>Noxious Weed</t>
  </si>
  <si>
    <t>Fire</t>
  </si>
  <si>
    <t>August 1, 2011</t>
  </si>
  <si>
    <t>7:30 p.m.</t>
  </si>
  <si>
    <t>Holyrood Fire Station</t>
  </si>
  <si>
    <t>County Clerk's Office</t>
  </si>
  <si>
    <t>Chad Rogers, Treasurer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</si>
</sst>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
      <c r="A1" s="362" t="s">
        <v>194</v>
      </c>
    </row>
    <row r="3" ht="34.5" customHeight="1">
      <c r="A3" s="361" t="s">
        <v>184</v>
      </c>
    </row>
    <row r="4" ht="15">
      <c r="A4" s="364"/>
    </row>
    <row r="5" ht="52.5" customHeight="1">
      <c r="A5" s="360" t="s">
        <v>336</v>
      </c>
    </row>
    <row r="6" ht="15">
      <c r="A6" s="360"/>
    </row>
    <row r="7" ht="34.5" customHeight="1">
      <c r="A7" s="360" t="s">
        <v>354</v>
      </c>
    </row>
    <row r="8" ht="15">
      <c r="A8" s="360"/>
    </row>
    <row r="9" ht="15">
      <c r="A9" s="360" t="s">
        <v>185</v>
      </c>
    </row>
    <row r="12" ht="15">
      <c r="A12" s="362" t="s">
        <v>232</v>
      </c>
    </row>
    <row r="13" ht="15">
      <c r="A13" s="362"/>
    </row>
    <row r="14" ht="18.75" customHeight="1">
      <c r="A14" s="364" t="s">
        <v>234</v>
      </c>
    </row>
    <row r="16" ht="39" customHeight="1">
      <c r="A16" s="365" t="s">
        <v>368</v>
      </c>
    </row>
    <row r="17" ht="9.75" customHeight="1">
      <c r="A17" s="365"/>
    </row>
    <row r="20" ht="15">
      <c r="A20" s="362" t="s">
        <v>186</v>
      </c>
    </row>
    <row r="22" ht="34.5" customHeight="1">
      <c r="A22" s="360" t="s">
        <v>235</v>
      </c>
    </row>
    <row r="23" ht="9.75" customHeight="1">
      <c r="A23" s="360"/>
    </row>
    <row r="24" ht="15">
      <c r="A24" s="366" t="s">
        <v>187</v>
      </c>
    </row>
    <row r="25" ht="15">
      <c r="A25" s="360"/>
    </row>
    <row r="26" ht="17.25" customHeight="1">
      <c r="A26" s="367" t="s">
        <v>188</v>
      </c>
    </row>
    <row r="27" ht="17.25" customHeight="1">
      <c r="A27" s="368"/>
    </row>
    <row r="28" ht="87.75" customHeight="1">
      <c r="A28" s="369" t="s">
        <v>210</v>
      </c>
    </row>
    <row r="30" ht="15">
      <c r="A30" s="370" t="s">
        <v>189</v>
      </c>
    </row>
    <row r="32" ht="15">
      <c r="A32" s="132" t="s">
        <v>233</v>
      </c>
    </row>
    <row r="34" ht="15">
      <c r="A34" s="360" t="s">
        <v>190</v>
      </c>
    </row>
    <row r="37" ht="15">
      <c r="A37" s="362" t="s">
        <v>191</v>
      </c>
    </row>
    <row r="39" ht="68.25" customHeight="1">
      <c r="A39" s="360" t="s">
        <v>751</v>
      </c>
    </row>
    <row r="40" ht="57.75" customHeight="1">
      <c r="A40" s="371" t="s">
        <v>192</v>
      </c>
    </row>
    <row r="41" ht="10.5" customHeight="1">
      <c r="A41" s="360"/>
    </row>
    <row r="42" ht="65.25" customHeight="1">
      <c r="A42" s="360" t="s">
        <v>752</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
      <c r="A56" s="360"/>
    </row>
    <row r="57" ht="68.25" customHeight="1">
      <c r="A57" s="360" t="s">
        <v>614</v>
      </c>
    </row>
    <row r="58" ht="1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623</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
      <c r="A1" s="178" t="str">
        <f>inputPrYr!$D$2</f>
        <v>Palacky Township</v>
      </c>
      <c r="B1" s="179"/>
      <c r="C1" s="179"/>
      <c r="D1" s="179"/>
      <c r="E1" s="179"/>
      <c r="F1" s="179"/>
      <c r="G1" s="179"/>
      <c r="H1" s="179"/>
      <c r="I1" s="14"/>
      <c r="J1" s="14"/>
      <c r="K1" s="15">
        <f>inputPrYr!D5</f>
        <v>2012</v>
      </c>
    </row>
    <row r="2" spans="1:11" ht="15">
      <c r="A2" s="178" t="str">
        <f>inputPrYr!$D$3</f>
        <v>Ellsworth County</v>
      </c>
      <c r="B2" s="179"/>
      <c r="C2" s="179"/>
      <c r="D2" s="179"/>
      <c r="E2" s="179"/>
      <c r="F2" s="179"/>
      <c r="G2" s="179"/>
      <c r="H2" s="179"/>
      <c r="I2" s="14"/>
      <c r="J2" s="14"/>
      <c r="K2" s="52"/>
    </row>
    <row r="3" spans="1:11" ht="15">
      <c r="A3" s="181" t="s">
        <v>76</v>
      </c>
      <c r="B3" s="182"/>
      <c r="C3" s="182"/>
      <c r="D3" s="156"/>
      <c r="E3" s="182"/>
      <c r="F3" s="182"/>
      <c r="G3" s="182"/>
      <c r="H3" s="182"/>
      <c r="I3" s="182"/>
      <c r="J3" s="182"/>
      <c r="K3" s="182"/>
    </row>
    <row r="4" spans="1:11" ht="15">
      <c r="A4" s="179"/>
      <c r="B4" s="179"/>
      <c r="C4" s="179"/>
      <c r="D4" s="179"/>
      <c r="E4" s="179"/>
      <c r="F4" s="179"/>
      <c r="G4" s="179"/>
      <c r="H4" s="179"/>
      <c r="I4" s="179"/>
      <c r="J4" s="179"/>
      <c r="K4" s="179"/>
    </row>
    <row r="5" spans="1:11" ht="15">
      <c r="A5" s="14"/>
      <c r="B5" s="183" t="s">
        <v>54</v>
      </c>
      <c r="C5" s="183" t="s">
        <v>62</v>
      </c>
      <c r="D5" s="183"/>
      <c r="E5" s="183" t="s">
        <v>4</v>
      </c>
      <c r="F5" s="184"/>
      <c r="G5" s="185"/>
      <c r="H5" s="184" t="s">
        <v>55</v>
      </c>
      <c r="I5" s="185"/>
      <c r="J5" s="184" t="s">
        <v>55</v>
      </c>
      <c r="K5" s="185"/>
    </row>
    <row r="6" spans="1:11" ht="15">
      <c r="A6" s="14"/>
      <c r="B6" s="186" t="s">
        <v>56</v>
      </c>
      <c r="C6" s="186" t="s">
        <v>3</v>
      </c>
      <c r="D6" s="186" t="s">
        <v>4</v>
      </c>
      <c r="E6" s="186" t="s">
        <v>125</v>
      </c>
      <c r="F6" s="187" t="s">
        <v>57</v>
      </c>
      <c r="G6" s="188"/>
      <c r="H6" s="187">
        <f>K1-1</f>
        <v>2011</v>
      </c>
      <c r="I6" s="188"/>
      <c r="J6" s="187">
        <f>K1</f>
        <v>2012</v>
      </c>
      <c r="K6" s="188"/>
    </row>
    <row r="7" spans="1:11" ht="1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
      <c r="A8" s="193" t="s">
        <v>51</v>
      </c>
      <c r="B8" s="194"/>
      <c r="C8" s="193"/>
      <c r="D8" s="193"/>
      <c r="E8" s="193"/>
      <c r="F8" s="195"/>
      <c r="G8" s="195"/>
      <c r="H8" s="193"/>
      <c r="I8" s="193"/>
      <c r="J8" s="193"/>
      <c r="K8" s="196"/>
    </row>
    <row r="9" spans="1:11" ht="15">
      <c r="A9" s="197"/>
      <c r="B9" s="407"/>
      <c r="C9" s="199"/>
      <c r="D9" s="34"/>
      <c r="E9" s="200"/>
      <c r="F9" s="201"/>
      <c r="G9" s="201"/>
      <c r="H9" s="200"/>
      <c r="I9" s="200"/>
      <c r="J9" s="200"/>
      <c r="K9" s="200"/>
    </row>
    <row r="10" spans="1:11" ht="15">
      <c r="A10" s="197"/>
      <c r="B10" s="407"/>
      <c r="C10" s="199"/>
      <c r="D10" s="34"/>
      <c r="E10" s="200"/>
      <c r="F10" s="201"/>
      <c r="G10" s="201"/>
      <c r="H10" s="200"/>
      <c r="I10" s="200"/>
      <c r="J10" s="200"/>
      <c r="K10" s="200"/>
    </row>
    <row r="11" spans="1:11" ht="15">
      <c r="A11" s="84" t="s">
        <v>158</v>
      </c>
      <c r="B11" s="202"/>
      <c r="C11" s="203"/>
      <c r="D11" s="32"/>
      <c r="E11" s="169">
        <f>SUM(E9:E10)</f>
        <v>0</v>
      </c>
      <c r="F11" s="204"/>
      <c r="G11" s="204"/>
      <c r="H11" s="169">
        <f>SUM(H9:H10)</f>
        <v>0</v>
      </c>
      <c r="I11" s="169">
        <f>SUM(I9:I10)</f>
        <v>0</v>
      </c>
      <c r="J11" s="169">
        <f>SUM(J9:J10)</f>
        <v>0</v>
      </c>
      <c r="K11" s="169">
        <f>SUM(K9:K10)</f>
        <v>0</v>
      </c>
    </row>
    <row r="12" spans="1:11" ht="15">
      <c r="A12" s="84" t="s">
        <v>21</v>
      </c>
      <c r="B12" s="202"/>
      <c r="C12" s="203"/>
      <c r="D12" s="32"/>
      <c r="E12" s="96"/>
      <c r="F12" s="204"/>
      <c r="G12" s="204"/>
      <c r="H12" s="96"/>
      <c r="I12" s="96"/>
      <c r="J12" s="96"/>
      <c r="K12" s="96"/>
    </row>
    <row r="13" spans="1:11" ht="15">
      <c r="A13" s="197"/>
      <c r="B13" s="407"/>
      <c r="C13" s="199"/>
      <c r="D13" s="34"/>
      <c r="E13" s="200"/>
      <c r="F13" s="201"/>
      <c r="G13" s="201"/>
      <c r="H13" s="200"/>
      <c r="I13" s="200"/>
      <c r="J13" s="200"/>
      <c r="K13" s="200"/>
    </row>
    <row r="14" spans="1:11" ht="15">
      <c r="A14" s="197"/>
      <c r="B14" s="407"/>
      <c r="C14" s="199"/>
      <c r="D14" s="34"/>
      <c r="E14" s="200"/>
      <c r="F14" s="201"/>
      <c r="G14" s="201"/>
      <c r="H14" s="200"/>
      <c r="I14" s="200"/>
      <c r="J14" s="200"/>
      <c r="K14" s="200"/>
    </row>
    <row r="15" spans="1:11" ht="15">
      <c r="A15" s="84" t="s">
        <v>159</v>
      </c>
      <c r="B15" s="202"/>
      <c r="C15" s="203"/>
      <c r="D15" s="32"/>
      <c r="E15" s="169">
        <f>SUM(E13:E14)</f>
        <v>0</v>
      </c>
      <c r="F15" s="204"/>
      <c r="G15" s="204"/>
      <c r="H15" s="169">
        <f>SUM(H13:H14)</f>
        <v>0</v>
      </c>
      <c r="I15" s="169">
        <f>SUM(I13:I14)</f>
        <v>0</v>
      </c>
      <c r="J15" s="169">
        <f>SUM(J13:J14)</f>
        <v>0</v>
      </c>
      <c r="K15" s="169">
        <f>SUM(K13:K14)</f>
        <v>0</v>
      </c>
    </row>
    <row r="16" spans="1:11" ht="15">
      <c r="A16" s="205" t="s">
        <v>78</v>
      </c>
      <c r="B16" s="206"/>
      <c r="C16" s="207"/>
      <c r="D16" s="208"/>
      <c r="E16" s="209">
        <f>SUM(E11+E15)</f>
        <v>0</v>
      </c>
      <c r="F16" s="206"/>
      <c r="G16" s="210"/>
      <c r="H16" s="209">
        <f>SUM(H11+H15)</f>
        <v>0</v>
      </c>
      <c r="I16" s="209">
        <f>SUM(I11+I15)</f>
        <v>0</v>
      </c>
      <c r="J16" s="209">
        <f>SUM(J11+J15)</f>
        <v>0</v>
      </c>
      <c r="K16" s="209">
        <f>SUM(K11+K15)</f>
        <v>0</v>
      </c>
    </row>
    <row r="17" spans="1:24" ht="1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
      <c r="A18" s="181" t="s">
        <v>75</v>
      </c>
      <c r="B18" s="211"/>
      <c r="C18" s="211"/>
      <c r="D18" s="211"/>
      <c r="E18" s="156"/>
      <c r="F18" s="211"/>
      <c r="G18" s="211"/>
      <c r="H18" s="211"/>
      <c r="I18" s="211"/>
      <c r="J18" s="211"/>
      <c r="K18" s="212"/>
    </row>
    <row r="19" spans="1:11" s="213" customFormat="1" ht="15">
      <c r="A19" s="19"/>
      <c r="B19" s="214"/>
      <c r="C19" s="214"/>
      <c r="D19" s="214"/>
      <c r="E19" s="214"/>
      <c r="F19" s="214"/>
      <c r="G19" s="214"/>
      <c r="H19" s="214"/>
      <c r="I19" s="215"/>
      <c r="J19" s="215"/>
      <c r="K19" s="212"/>
    </row>
    <row r="20" spans="1:11" s="213" customFormat="1" ht="15">
      <c r="A20" s="166"/>
      <c r="B20" s="166"/>
      <c r="C20" s="183" t="s">
        <v>61</v>
      </c>
      <c r="D20" s="166"/>
      <c r="E20" s="183" t="s">
        <v>287</v>
      </c>
      <c r="F20" s="166"/>
      <c r="G20" s="166"/>
      <c r="H20" s="166"/>
      <c r="I20" s="216"/>
      <c r="J20" s="217"/>
      <c r="K20" s="212"/>
    </row>
    <row r="21" spans="1:11" s="213" customFormat="1" ht="15">
      <c r="A21" s="218"/>
      <c r="B21" s="186"/>
      <c r="C21" s="186" t="s">
        <v>56</v>
      </c>
      <c r="D21" s="186" t="s">
        <v>62</v>
      </c>
      <c r="E21" s="186" t="s">
        <v>4</v>
      </c>
      <c r="F21" s="186" t="s">
        <v>63</v>
      </c>
      <c r="G21" s="186" t="s">
        <v>64</v>
      </c>
      <c r="H21" s="186" t="s">
        <v>64</v>
      </c>
      <c r="I21" s="212"/>
      <c r="J21" s="212"/>
      <c r="K21" s="212"/>
    </row>
    <row r="22" spans="1:11" s="213" customFormat="1" ht="15">
      <c r="A22" s="218"/>
      <c r="B22" s="186" t="s">
        <v>65</v>
      </c>
      <c r="C22" s="186" t="s">
        <v>66</v>
      </c>
      <c r="D22" s="186" t="s">
        <v>3</v>
      </c>
      <c r="E22" s="186" t="s">
        <v>67</v>
      </c>
      <c r="F22" s="186" t="s">
        <v>109</v>
      </c>
      <c r="G22" s="186" t="s">
        <v>68</v>
      </c>
      <c r="H22" s="186" t="s">
        <v>68</v>
      </c>
      <c r="I22" s="212"/>
      <c r="J22" s="212"/>
      <c r="K22" s="212"/>
    </row>
    <row r="23" spans="1:11" s="213" customFormat="1" ht="15">
      <c r="A23" s="219" t="s">
        <v>69</v>
      </c>
      <c r="B23" s="190" t="s">
        <v>54</v>
      </c>
      <c r="C23" s="220" t="s">
        <v>70</v>
      </c>
      <c r="D23" s="190" t="s">
        <v>29</v>
      </c>
      <c r="E23" s="220" t="s">
        <v>126</v>
      </c>
      <c r="F23" s="191" t="str">
        <f>CONCATENATE("Jan 1,",K1-1,"")</f>
        <v>Jan 1,2011</v>
      </c>
      <c r="G23" s="190">
        <f>K1-1</f>
        <v>2011</v>
      </c>
      <c r="H23" s="190">
        <f>K1</f>
        <v>2012</v>
      </c>
      <c r="I23" s="212"/>
      <c r="J23" s="212"/>
      <c r="K23" s="212"/>
    </row>
    <row r="24" spans="1:11" s="213" customFormat="1" ht="15">
      <c r="A24" s="197"/>
      <c r="B24" s="198"/>
      <c r="C24" s="221"/>
      <c r="D24" s="199"/>
      <c r="E24" s="34"/>
      <c r="F24" s="34"/>
      <c r="G24" s="34"/>
      <c r="H24" s="34"/>
      <c r="I24" s="212"/>
      <c r="J24" s="212"/>
      <c r="K24" s="212"/>
    </row>
    <row r="25" spans="1:11" s="213" customFormat="1" ht="15">
      <c r="A25" s="197"/>
      <c r="B25" s="198"/>
      <c r="C25" s="221"/>
      <c r="D25" s="199"/>
      <c r="E25" s="34"/>
      <c r="F25" s="34"/>
      <c r="G25" s="34"/>
      <c r="H25" s="34"/>
      <c r="I25" s="212"/>
      <c r="J25" s="212"/>
      <c r="K25" s="212"/>
    </row>
    <row r="26" spans="1:11" s="213" customFormat="1" ht="15">
      <c r="A26" s="197"/>
      <c r="B26" s="198"/>
      <c r="C26" s="221"/>
      <c r="D26" s="199"/>
      <c r="E26" s="34"/>
      <c r="F26" s="34"/>
      <c r="G26" s="34"/>
      <c r="H26" s="34"/>
      <c r="I26" s="212"/>
      <c r="J26" s="212"/>
      <c r="K26" s="212"/>
    </row>
    <row r="27" spans="1:11" s="213" customFormat="1" ht="15">
      <c r="A27" s="197"/>
      <c r="B27" s="198"/>
      <c r="C27" s="221"/>
      <c r="D27" s="199"/>
      <c r="E27" s="34"/>
      <c r="F27" s="34"/>
      <c r="G27" s="34"/>
      <c r="H27" s="34"/>
      <c r="I27" s="212"/>
      <c r="J27" s="212"/>
      <c r="K27" s="212"/>
    </row>
    <row r="28" spans="1:11" s="213" customFormat="1" ht="15">
      <c r="A28" s="197"/>
      <c r="B28" s="198"/>
      <c r="C28" s="221"/>
      <c r="D28" s="199"/>
      <c r="E28" s="34"/>
      <c r="F28" s="34"/>
      <c r="G28" s="34"/>
      <c r="H28" s="34"/>
      <c r="I28" s="212"/>
      <c r="J28" s="212"/>
      <c r="K28" s="212"/>
    </row>
    <row r="29" spans="1:11" s="213" customFormat="1" ht="15">
      <c r="A29" s="197"/>
      <c r="B29" s="198"/>
      <c r="C29" s="221"/>
      <c r="D29" s="199"/>
      <c r="E29" s="34"/>
      <c r="F29" s="34"/>
      <c r="G29" s="34"/>
      <c r="H29" s="34"/>
      <c r="I29" s="212"/>
      <c r="J29" s="212"/>
      <c r="K29" s="212"/>
    </row>
    <row r="30" spans="1:11" s="213" customFormat="1" ht="15">
      <c r="A30" s="197"/>
      <c r="B30" s="198"/>
      <c r="C30" s="221"/>
      <c r="D30" s="199"/>
      <c r="E30" s="34"/>
      <c r="F30" s="34"/>
      <c r="G30" s="34"/>
      <c r="H30" s="34"/>
      <c r="I30" s="212"/>
      <c r="J30" s="212"/>
      <c r="K30" s="212"/>
    </row>
    <row r="31" spans="1:11" s="213" customFormat="1" ht="15">
      <c r="A31" s="197"/>
      <c r="B31" s="198"/>
      <c r="C31" s="221"/>
      <c r="D31" s="199"/>
      <c r="E31" s="34"/>
      <c r="F31" s="34"/>
      <c r="G31" s="34"/>
      <c r="H31" s="34"/>
      <c r="I31" s="212"/>
      <c r="J31" s="212"/>
      <c r="K31" s="212"/>
    </row>
    <row r="32" spans="1:11" s="213" customFormat="1" ht="15">
      <c r="A32" s="197"/>
      <c r="B32" s="198"/>
      <c r="C32" s="221"/>
      <c r="D32" s="199"/>
      <c r="E32" s="34"/>
      <c r="F32" s="34"/>
      <c r="G32" s="34"/>
      <c r="H32" s="34"/>
      <c r="I32" s="212"/>
      <c r="J32" s="212"/>
      <c r="K32" s="212"/>
    </row>
    <row r="33" spans="1:11" s="213" customFormat="1" ht="15">
      <c r="A33" s="197"/>
      <c r="B33" s="198"/>
      <c r="C33" s="221"/>
      <c r="D33" s="199"/>
      <c r="E33" s="34"/>
      <c r="F33" s="34"/>
      <c r="G33" s="34"/>
      <c r="H33" s="34"/>
      <c r="I33" s="212"/>
      <c r="J33" s="212"/>
      <c r="K33" s="212"/>
    </row>
    <row r="34" spans="1:11" s="213" customFormat="1" ht="15">
      <c r="A34" s="197"/>
      <c r="B34" s="198"/>
      <c r="C34" s="221"/>
      <c r="D34" s="199"/>
      <c r="E34" s="34"/>
      <c r="F34" s="34"/>
      <c r="G34" s="34"/>
      <c r="H34" s="34"/>
      <c r="I34" s="212"/>
      <c r="J34" s="212"/>
      <c r="K34" s="212"/>
    </row>
    <row r="35" spans="1:11" s="213" customFormat="1" ht="15">
      <c r="A35" s="197"/>
      <c r="B35" s="198"/>
      <c r="C35" s="221"/>
      <c r="D35" s="199"/>
      <c r="E35" s="34"/>
      <c r="F35" s="34"/>
      <c r="G35" s="34"/>
      <c r="H35" s="34"/>
      <c r="I35" s="212"/>
      <c r="J35" s="212"/>
      <c r="K35" s="212"/>
    </row>
    <row r="36" spans="1:11" ht="15">
      <c r="A36" s="205" t="s">
        <v>78</v>
      </c>
      <c r="B36" s="206"/>
      <c r="C36" s="207"/>
      <c r="D36" s="222"/>
      <c r="E36" s="210"/>
      <c r="F36" s="209">
        <f>SUM(F24:F35)</f>
        <v>0</v>
      </c>
      <c r="G36" s="209">
        <f>SUM(G24:G35)</f>
        <v>0</v>
      </c>
      <c r="H36" s="209">
        <f>SUM(H24:H35)</f>
        <v>0</v>
      </c>
      <c r="I36" s="179"/>
      <c r="J36" s="179"/>
      <c r="K36" s="223"/>
    </row>
    <row r="37" spans="1:11" ht="15">
      <c r="A37" s="179"/>
      <c r="B37" s="179"/>
      <c r="C37" s="179"/>
      <c r="D37" s="179"/>
      <c r="E37" s="179"/>
      <c r="F37" s="179"/>
      <c r="G37" s="179"/>
      <c r="H37" s="179"/>
      <c r="I37" s="179"/>
      <c r="J37" s="179"/>
      <c r="K37" s="179"/>
    </row>
    <row r="38" spans="1:11" ht="15">
      <c r="A38" s="224" t="s">
        <v>257</v>
      </c>
      <c r="B38" s="224"/>
      <c r="C38" s="224"/>
      <c r="D38" s="224"/>
      <c r="E38" s="224"/>
      <c r="F38" s="224"/>
      <c r="G38" s="224"/>
      <c r="H38" s="179"/>
      <c r="I38" s="179"/>
      <c r="J38" s="179"/>
      <c r="K38" s="179"/>
    </row>
    <row r="39" ht="1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8">
      <selection activeCell="E40" sqref="E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Palacky Township</v>
      </c>
      <c r="C1" s="14"/>
      <c r="D1" s="14"/>
      <c r="E1" s="15">
        <f>inputPrYr!D5</f>
        <v>2012</v>
      </c>
    </row>
    <row r="2" spans="2:5" ht="15">
      <c r="B2" s="17"/>
      <c r="C2" s="14"/>
      <c r="D2" s="14"/>
      <c r="E2" s="18"/>
    </row>
    <row r="3" spans="2:5" ht="15">
      <c r="B3" s="603" t="s">
        <v>750</v>
      </c>
      <c r="C3" s="20"/>
      <c r="D3" s="20"/>
      <c r="E3" s="21"/>
    </row>
    <row r="4" spans="2:5" ht="15">
      <c r="B4" s="22" t="s">
        <v>10</v>
      </c>
      <c r="C4" s="416" t="s">
        <v>11</v>
      </c>
      <c r="D4" s="419" t="s">
        <v>12</v>
      </c>
      <c r="E4" s="23" t="s">
        <v>13</v>
      </c>
    </row>
    <row r="5" spans="2:5" ht="15">
      <c r="B5" s="437" t="str">
        <f>inputPrYr!B16</f>
        <v>General</v>
      </c>
      <c r="C5" s="417" t="str">
        <f>CONCATENATE("Actual ",$E$1-2,"")</f>
        <v>Actual 2010</v>
      </c>
      <c r="D5" s="417" t="str">
        <f>CONCATENATE("Estimate ",$E$1-1,"")</f>
        <v>Estimate 2011</v>
      </c>
      <c r="E5" s="26" t="str">
        <f>CONCATENATE("Year ",$E$1,"")</f>
        <v>Year 2012</v>
      </c>
    </row>
    <row r="6" spans="2:5" ht="15">
      <c r="B6" s="27" t="s">
        <v>121</v>
      </c>
      <c r="C6" s="29"/>
      <c r="D6" s="418"/>
      <c r="E6" s="32"/>
    </row>
    <row r="7" spans="2:5" ht="15">
      <c r="B7" s="27" t="s">
        <v>123</v>
      </c>
      <c r="C7" s="418"/>
      <c r="D7" s="418"/>
      <c r="E7" s="33"/>
    </row>
    <row r="8" spans="2:5" ht="15">
      <c r="B8" s="27" t="s">
        <v>16</v>
      </c>
      <c r="C8" s="29"/>
      <c r="D8" s="418">
        <f>inputPrYr!E16</f>
        <v>0</v>
      </c>
      <c r="E8" s="33" t="s">
        <v>301</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71</v>
      </c>
      <c r="C12" s="29"/>
      <c r="D12" s="29"/>
      <c r="E12" s="32">
        <f>mvalloc!J11</f>
        <v>0</v>
      </c>
    </row>
    <row r="13" spans="2:5" ht="15">
      <c r="B13" s="35" t="s">
        <v>165</v>
      </c>
      <c r="C13" s="29"/>
      <c r="D13" s="29"/>
      <c r="E13" s="32">
        <f>inputOth!E34</f>
        <v>0</v>
      </c>
    </row>
    <row r="14" spans="2:5" ht="15">
      <c r="B14" s="35" t="s">
        <v>166</v>
      </c>
      <c r="C14" s="29"/>
      <c r="D14" s="29"/>
      <c r="E14" s="32">
        <f>mvalloc!K11</f>
        <v>0</v>
      </c>
    </row>
    <row r="15" spans="2:5" ht="15">
      <c r="B15" s="35"/>
      <c r="C15" s="29"/>
      <c r="D15" s="29"/>
      <c r="E15" s="36"/>
    </row>
    <row r="16" spans="2:5" ht="15">
      <c r="B16" s="27" t="s">
        <v>20</v>
      </c>
      <c r="C16" s="29"/>
      <c r="D16" s="29"/>
      <c r="E16" s="32">
        <f>inputOth!E12</f>
        <v>0</v>
      </c>
    </row>
    <row r="17" spans="2:5" ht="15">
      <c r="B17" s="37"/>
      <c r="C17" s="29"/>
      <c r="D17" s="29"/>
      <c r="E17" s="34"/>
    </row>
    <row r="18" spans="2:5" ht="15">
      <c r="B18" s="37" t="s">
        <v>812</v>
      </c>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223</v>
      </c>
      <c r="C24" s="29"/>
      <c r="D24" s="29"/>
      <c r="E24" s="34"/>
    </row>
    <row r="25" spans="2:5" ht="15">
      <c r="B25" s="39" t="s">
        <v>224</v>
      </c>
      <c r="C25" s="415">
        <f>IF(C26*0.1&lt;C24,"Exceed 10% Rule","")</f>
      </c>
      <c r="D25" s="415">
        <f>IF(D26*0.1&lt;D24,"Exceed 10% Rule","")</f>
      </c>
      <c r="E25" s="45">
        <f>IF(E26*0.1+E57&lt;E24,"Exceed 10% Rule","")</f>
      </c>
    </row>
    <row r="26" spans="2:5" ht="15">
      <c r="B26" s="41" t="s">
        <v>23</v>
      </c>
      <c r="C26" s="420">
        <f>SUM(C8:C24)</f>
        <v>0</v>
      </c>
      <c r="D26" s="420">
        <f>SUM(D8:D24)</f>
        <v>0</v>
      </c>
      <c r="E26" s="42">
        <f>SUM(E8:E24)</f>
        <v>0</v>
      </c>
    </row>
    <row r="27" spans="2:5" ht="15">
      <c r="B27" s="43" t="s">
        <v>24</v>
      </c>
      <c r="C27" s="420">
        <f>C26+C6</f>
        <v>0</v>
      </c>
      <c r="D27" s="420">
        <f>D26+D6</f>
        <v>0</v>
      </c>
      <c r="E27" s="42">
        <f>E26+E6</f>
        <v>0</v>
      </c>
    </row>
    <row r="28" spans="2:5" ht="15">
      <c r="B28" s="27" t="s">
        <v>25</v>
      </c>
      <c r="C28" s="418"/>
      <c r="D28" s="418"/>
      <c r="E28" s="32"/>
    </row>
    <row r="29" spans="2:5" ht="15">
      <c r="B29" s="37"/>
      <c r="C29" s="29"/>
      <c r="D29" s="29"/>
      <c r="E29" s="34"/>
    </row>
    <row r="30" spans="2:5" ht="15">
      <c r="B30" s="38" t="s">
        <v>104</v>
      </c>
      <c r="C30" s="29"/>
      <c r="D30" s="29"/>
      <c r="E30" s="34"/>
    </row>
    <row r="31" spans="2:5" ht="15">
      <c r="B31" s="38" t="s">
        <v>128</v>
      </c>
      <c r="C31" s="29"/>
      <c r="D31" s="29"/>
      <c r="E31" s="34"/>
    </row>
    <row r="32" spans="2:5" ht="15">
      <c r="B32" s="38" t="s">
        <v>105</v>
      </c>
      <c r="C32" s="29"/>
      <c r="D32" s="29"/>
      <c r="E32" s="34"/>
    </row>
    <row r="33" spans="2:5" ht="15">
      <c r="B33" s="38" t="s">
        <v>36</v>
      </c>
      <c r="C33" s="29"/>
      <c r="D33" s="29"/>
      <c r="E33" s="34"/>
    </row>
    <row r="34" spans="2:5" ht="15">
      <c r="B34" s="37" t="s">
        <v>106</v>
      </c>
      <c r="C34" s="29"/>
      <c r="D34" s="29"/>
      <c r="E34" s="34"/>
    </row>
    <row r="35" spans="2:5" ht="15">
      <c r="B35" s="37" t="s">
        <v>129</v>
      </c>
      <c r="C35" s="29"/>
      <c r="D35" s="29"/>
      <c r="E35" s="34"/>
    </row>
    <row r="36" spans="2:5" ht="15">
      <c r="B36" s="38" t="s">
        <v>131</v>
      </c>
      <c r="C36" s="29"/>
      <c r="D36" s="29"/>
      <c r="E36" s="34"/>
    </row>
    <row r="37" spans="2:5" ht="15">
      <c r="B37" s="38" t="s">
        <v>809</v>
      </c>
      <c r="C37" s="29"/>
      <c r="D37" s="29"/>
      <c r="E37" s="34"/>
    </row>
    <row r="38" spans="2:5" ht="15">
      <c r="B38" s="37" t="s">
        <v>810</v>
      </c>
      <c r="C38" s="29"/>
      <c r="D38" s="29"/>
      <c r="E38" s="34"/>
    </row>
    <row r="39" spans="2:5" ht="15">
      <c r="B39" s="38" t="s">
        <v>811</v>
      </c>
      <c r="C39" s="29"/>
      <c r="D39" s="29"/>
      <c r="E39" s="34"/>
    </row>
    <row r="40" spans="2:5" ht="15">
      <c r="B40" s="38"/>
      <c r="C40" s="29"/>
      <c r="D40" s="29"/>
      <c r="E40" s="34"/>
    </row>
    <row r="41" spans="2:5" ht="15">
      <c r="B41" s="37"/>
      <c r="C41" s="29"/>
      <c r="D41" s="29"/>
      <c r="E41" s="34"/>
    </row>
    <row r="42" spans="2:5" ht="15">
      <c r="B42" s="38"/>
      <c r="C42" s="29"/>
      <c r="D42" s="29"/>
      <c r="E42" s="34"/>
    </row>
    <row r="43" spans="2:5" ht="15">
      <c r="B43" s="35" t="s">
        <v>279</v>
      </c>
      <c r="C43" s="29"/>
      <c r="D43" s="29"/>
      <c r="E43" s="34"/>
    </row>
    <row r="44" spans="2:5" ht="15">
      <c r="B44" s="35" t="s">
        <v>276</v>
      </c>
      <c r="C44" s="414">
        <f>IF(AND($C$43&gt;0,$C$8&gt;0),"Not Authorized","")</f>
      </c>
      <c r="D44" s="414">
        <f>IF(AND($D$43&gt;0,$D$8&gt;0),"Not Authorized","")</f>
      </c>
      <c r="E44" s="44">
        <f>IF(AND(cert!F20&gt;0,$E$43&gt;0),"Not Authorized","")</f>
      </c>
    </row>
    <row r="45" spans="2:5" ht="15">
      <c r="B45" s="27" t="s">
        <v>280</v>
      </c>
      <c r="C45" s="29"/>
      <c r="D45" s="29"/>
      <c r="E45" s="34"/>
    </row>
    <row r="46" spans="2:6" ht="15">
      <c r="B46" s="27" t="s">
        <v>645</v>
      </c>
      <c r="C46" s="415">
        <f>IF(C27*0.25&lt;C45,"Exceeds 25%","")</f>
      </c>
      <c r="D46" s="415">
        <f>IF(D27*0.25&lt;D45,"Exceeds 25%","")</f>
      </c>
      <c r="E46" s="45">
        <f>IF(E27*0.25+E57&lt;E45,"Exceeds 25%","")</f>
      </c>
      <c r="F46" s="16">
        <f>IF(G28*0.25&lt;G46,"Exceeds 25%","")</f>
      </c>
    </row>
    <row r="47" spans="2:5" ht="15">
      <c r="B47" s="35" t="s">
        <v>225</v>
      </c>
      <c r="C47" s="29"/>
      <c r="D47" s="29"/>
      <c r="E47" s="46">
        <f>nhood!E6</f>
      </c>
    </row>
    <row r="48" spans="2:5" ht="15">
      <c r="B48" s="35" t="s">
        <v>223</v>
      </c>
      <c r="C48" s="29"/>
      <c r="D48" s="29"/>
      <c r="E48" s="34"/>
    </row>
    <row r="49" spans="2:10" ht="1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
      <c r="B50" s="43" t="s">
        <v>26</v>
      </c>
      <c r="C50" s="412">
        <f>SUM(C29:C48)</f>
        <v>0</v>
      </c>
      <c r="D50" s="412">
        <f>SUM(D29:D48)</f>
        <v>0</v>
      </c>
      <c r="E50" s="47">
        <f>SUM(E29:E43,E45,E47:E48)</f>
        <v>0</v>
      </c>
      <c r="G50" s="534"/>
      <c r="H50" s="535"/>
      <c r="I50" s="535"/>
      <c r="J50" s="536"/>
    </row>
    <row r="51" spans="2:10" ht="15">
      <c r="B51" s="27" t="s">
        <v>122</v>
      </c>
      <c r="C51" s="413">
        <f>C27-C50</f>
        <v>0</v>
      </c>
      <c r="D51" s="413">
        <f>SUM(D27-D50)</f>
        <v>0</v>
      </c>
      <c r="E51" s="33" t="s">
        <v>301</v>
      </c>
      <c r="G51" s="537">
        <f>D51</f>
        <v>0</v>
      </c>
      <c r="H51" s="538" t="str">
        <f>CONCATENATE("",E1-1," Ending Cash Balance (est.)")</f>
        <v>2011 Ending Cash Balance (est.)</v>
      </c>
      <c r="I51" s="539"/>
      <c r="J51" s="536"/>
    </row>
    <row r="52" spans="2:10" ht="15">
      <c r="B52" s="48" t="str">
        <f>CONCATENATE("",E1-2,"/",E1-1," Budget Authority Amount:")</f>
        <v>2010/2011 Budget Authority Amount:</v>
      </c>
      <c r="C52" s="143">
        <f>inputOth!B46</f>
        <v>50611</v>
      </c>
      <c r="D52" s="172">
        <f>inputPrYr!D16</f>
        <v>0</v>
      </c>
      <c r="E52" s="33" t="s">
        <v>301</v>
      </c>
      <c r="F52" s="50"/>
      <c r="G52" s="537">
        <f>E26</f>
        <v>0</v>
      </c>
      <c r="H52" s="540" t="str">
        <f>CONCATENATE("",E1," Non-AV Receipts (est.)")</f>
        <v>2012 Non-AV Receipts (est.)</v>
      </c>
      <c r="I52" s="540"/>
      <c r="J52" s="536"/>
    </row>
    <row r="53" spans="2:10" ht="15">
      <c r="B53" s="48"/>
      <c r="C53" s="652" t="s">
        <v>646</v>
      </c>
      <c r="D53" s="653"/>
      <c r="E53" s="34"/>
      <c r="F53" s="533">
        <f>IF(E50/0.95-E50&lt;E53,"Exceeds 5%","")</f>
      </c>
      <c r="G53" s="541">
        <f>E57</f>
        <v>0</v>
      </c>
      <c r="H53" s="540" t="str">
        <f>CONCATENATE("",E1," Ad Valorem Tax (est.)")</f>
        <v>2012 Ad Valorem Tax (est.)</v>
      </c>
      <c r="I53" s="540"/>
      <c r="J53" s="536"/>
    </row>
    <row r="54" spans="2:10" ht="15">
      <c r="B54" s="436" t="str">
        <f>CONCATENATE(C72,"     ",D72)</f>
        <v>     </v>
      </c>
      <c r="C54" s="654" t="s">
        <v>647</v>
      </c>
      <c r="D54" s="655"/>
      <c r="E54" s="32">
        <f>E50+E53</f>
        <v>0</v>
      </c>
      <c r="G54" s="537">
        <f>SUM(G51:G53)</f>
        <v>0</v>
      </c>
      <c r="H54" s="540" t="str">
        <f>CONCATENATE("Total ",E1," Resources Available")</f>
        <v>Total 2012 Resources Available</v>
      </c>
      <c r="I54" s="539"/>
      <c r="J54" s="536"/>
    </row>
    <row r="55" spans="2:10" ht="15">
      <c r="B55" s="436" t="str">
        <f>CONCATENATE(C73,"     ",D73)</f>
        <v>     </v>
      </c>
      <c r="C55" s="60"/>
      <c r="D55" s="52" t="s">
        <v>28</v>
      </c>
      <c r="E55" s="46">
        <f>IF(E54-E27&gt;0,E54-E27,0)</f>
        <v>0</v>
      </c>
      <c r="G55" s="542"/>
      <c r="H55" s="540"/>
      <c r="I55" s="540"/>
      <c r="J55" s="536"/>
    </row>
    <row r="56" spans="2:10" ht="15">
      <c r="B56" s="52"/>
      <c r="C56" s="440" t="s">
        <v>648</v>
      </c>
      <c r="D56" s="432">
        <f>inputOth!$E$40</f>
        <v>0</v>
      </c>
      <c r="E56" s="32">
        <f>ROUND(IF(D56&gt;0,(E55*D56),0),0)</f>
        <v>0</v>
      </c>
      <c r="G56" s="541">
        <f>C50*0.05+C50</f>
        <v>0</v>
      </c>
      <c r="H56" s="540" t="str">
        <f>CONCATENATE("Less ",E1-2," Expenditures + 5%")</f>
        <v>Less 2010 Expenditures + 5%</v>
      </c>
      <c r="I56" s="539"/>
      <c r="J56" s="536"/>
    </row>
    <row r="57" spans="2:10" ht="15">
      <c r="B57" s="14"/>
      <c r="C57" s="650" t="str">
        <f>CONCATENATE("Amount of  ",$E$1-1," Ad Valorem Tax")</f>
        <v>Amount of  2011 Ad Valorem Tax</v>
      </c>
      <c r="D57" s="651"/>
      <c r="E57" s="46">
        <f>E55+E56</f>
        <v>0</v>
      </c>
      <c r="G57" s="543">
        <f>G54-G56</f>
        <v>0</v>
      </c>
      <c r="H57" s="544" t="str">
        <f>CONCATENATE("Projected ",E1+1," Carryover (est.)")</f>
        <v>Projected 2013 Carryover (est.)</v>
      </c>
      <c r="I57" s="545"/>
      <c r="J57" s="546"/>
    </row>
    <row r="58" spans="2:5" ht="15">
      <c r="B58" s="14"/>
      <c r="C58" s="14"/>
      <c r="D58" s="14"/>
      <c r="E58" s="14"/>
    </row>
    <row r="59" spans="2:10" s="54" customFormat="1" ht="15">
      <c r="B59" s="19"/>
      <c r="C59" s="19"/>
      <c r="D59" s="53"/>
      <c r="E59" s="19"/>
      <c r="G59" s="560">
        <f>IF(inputOth!E7=0,"",ROUND(gen!E57/inputOth!E7*1000,3))</f>
        <v>0</v>
      </c>
      <c r="H59" s="547" t="str">
        <f>CONCATENATE("Projected ",E1-1," Mill Rate (est.)")</f>
        <v>Projected 2011 Mill Rate (est.)</v>
      </c>
      <c r="I59" s="548"/>
      <c r="J59" s="549"/>
    </row>
    <row r="60" spans="2:10" s="56" customFormat="1" ht="15">
      <c r="B60" s="14"/>
      <c r="C60" s="14"/>
      <c r="D60" s="55"/>
      <c r="E60" s="14"/>
      <c r="G60" s="550"/>
      <c r="H60" s="550"/>
      <c r="I60" s="550"/>
      <c r="J60" s="550"/>
    </row>
    <row r="61" spans="2:10" ht="15">
      <c r="B61" s="52" t="s">
        <v>9</v>
      </c>
      <c r="C61" s="442">
        <v>6</v>
      </c>
      <c r="D61" s="14"/>
      <c r="E61" s="55"/>
      <c r="G61" s="656" t="str">
        <f>CONCATENATE("Desired Carryover Into ",E1+1,"")</f>
        <v>Desired Carryover Into 2013</v>
      </c>
      <c r="H61" s="658"/>
      <c r="I61" s="658"/>
      <c r="J61" s="638"/>
    </row>
    <row r="62" spans="7:10" ht="15">
      <c r="G62" s="551"/>
      <c r="H62" s="535"/>
      <c r="I62" s="540"/>
      <c r="J62" s="552"/>
    </row>
    <row r="63" spans="2:10" ht="15">
      <c r="B63" s="12"/>
      <c r="G63" s="553" t="s">
        <v>744</v>
      </c>
      <c r="H63" s="540"/>
      <c r="I63" s="540"/>
      <c r="J63" s="554">
        <v>0</v>
      </c>
    </row>
    <row r="64" spans="7:10" ht="15">
      <c r="G64" s="551" t="s">
        <v>745</v>
      </c>
      <c r="H64" s="535"/>
      <c r="I64" s="535"/>
      <c r="J64" s="555">
        <f>IF(gen!J63=0,"",ROUND((J63+E57-G57)/inputOth!E7*1000,3)-G59)</f>
      </c>
    </row>
    <row r="65" spans="7:10" ht="15">
      <c r="G65" s="556" t="str">
        <f>CONCATENATE("",E1," Total Expenditures Must Be:")</f>
        <v>2012 Total Expenditures Must Be:</v>
      </c>
      <c r="H65" s="557"/>
      <c r="I65" s="558"/>
      <c r="J65" s="559">
        <f>IF((J63&gt;0),(E50+J63-G57),0)</f>
        <v>0</v>
      </c>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
      <c r="B1" s="13" t="str">
        <f>inputPrYr!D2</f>
        <v>Palacky Township</v>
      </c>
      <c r="C1" s="14"/>
      <c r="D1" s="14"/>
      <c r="E1" s="61">
        <f>inputPrYr!$D$5</f>
        <v>2012</v>
      </c>
    </row>
    <row r="2" spans="2:5" ht="15">
      <c r="B2" s="14"/>
      <c r="C2" s="14"/>
      <c r="D2" s="14"/>
      <c r="E2" s="52"/>
    </row>
    <row r="3" spans="2:5" ht="15">
      <c r="B3" s="17"/>
      <c r="C3" s="62"/>
      <c r="D3" s="62"/>
      <c r="E3" s="63"/>
    </row>
    <row r="4" spans="2:5" ht="15">
      <c r="B4" s="603" t="s">
        <v>750</v>
      </c>
      <c r="C4" s="64"/>
      <c r="D4" s="64"/>
      <c r="E4" s="64"/>
    </row>
    <row r="5" spans="2:5" ht="15">
      <c r="B5" s="22" t="s">
        <v>10</v>
      </c>
      <c r="C5" s="416" t="s">
        <v>11</v>
      </c>
      <c r="D5" s="419" t="s">
        <v>12</v>
      </c>
      <c r="E5" s="23" t="s">
        <v>13</v>
      </c>
    </row>
    <row r="6" spans="2:5" ht="15">
      <c r="B6" s="24" t="s">
        <v>311</v>
      </c>
      <c r="C6" s="417" t="str">
        <f>CONCATENATE("Actual ",$E$1-2,"")</f>
        <v>Actual 2010</v>
      </c>
      <c r="D6" s="417" t="str">
        <f>CONCATENATE("Estimate ",$E$1-1,"")</f>
        <v>Estimate 2011</v>
      </c>
      <c r="E6" s="26" t="str">
        <f>CONCATENATE("Year ",$E$1,"")</f>
        <v>Year 2012</v>
      </c>
    </row>
    <row r="7" spans="2:5" ht="15">
      <c r="B7" s="27" t="s">
        <v>147</v>
      </c>
      <c r="C7" s="423"/>
      <c r="D7" s="421">
        <f>C54</f>
        <v>0</v>
      </c>
      <c r="E7" s="65">
        <f>D54</f>
        <v>0</v>
      </c>
    </row>
    <row r="8" spans="2:5" ht="15">
      <c r="B8" s="27" t="s">
        <v>123</v>
      </c>
      <c r="C8" s="422"/>
      <c r="D8" s="421"/>
      <c r="E8" s="65"/>
    </row>
    <row r="9" spans="2:5" ht="15">
      <c r="B9" s="27" t="s">
        <v>16</v>
      </c>
      <c r="C9" s="29"/>
      <c r="D9" s="422">
        <f>inputPrYr!E17</f>
        <v>0</v>
      </c>
      <c r="E9" s="33" t="s">
        <v>301</v>
      </c>
    </row>
    <row r="10" spans="2:5" ht="15">
      <c r="B10" s="27" t="s">
        <v>17</v>
      </c>
      <c r="C10" s="29"/>
      <c r="D10" s="29"/>
      <c r="E10" s="66"/>
    </row>
    <row r="11" spans="2:5" ht="15">
      <c r="B11" s="27" t="s">
        <v>18</v>
      </c>
      <c r="C11" s="29"/>
      <c r="D11" s="29"/>
      <c r="E11" s="67">
        <f>mvalloc!G12</f>
        <v>0</v>
      </c>
    </row>
    <row r="12" spans="2:5" ht="15">
      <c r="B12" s="27" t="s">
        <v>19</v>
      </c>
      <c r="C12" s="29"/>
      <c r="D12" s="29"/>
      <c r="E12" s="67">
        <f>mvalloc!I12</f>
        <v>0</v>
      </c>
    </row>
    <row r="13" spans="2:5" ht="15">
      <c r="B13" s="68" t="s">
        <v>102</v>
      </c>
      <c r="C13" s="29"/>
      <c r="D13" s="29"/>
      <c r="E13" s="67">
        <f>mvalloc!J12</f>
        <v>0</v>
      </c>
    </row>
    <row r="14" spans="2:5" ht="15">
      <c r="B14" s="68" t="s">
        <v>166</v>
      </c>
      <c r="C14" s="29"/>
      <c r="D14" s="29"/>
      <c r="E14" s="67">
        <f>mvalloc!K12</f>
        <v>0</v>
      </c>
    </row>
    <row r="15" spans="2:5" ht="15">
      <c r="B15" s="68"/>
      <c r="C15" s="29"/>
      <c r="D15" s="29"/>
      <c r="E15" s="67"/>
    </row>
    <row r="16" spans="2:5" ht="15">
      <c r="B16" s="69"/>
      <c r="C16" s="29"/>
      <c r="D16" s="29"/>
      <c r="E16" s="66"/>
    </row>
    <row r="17" spans="2:5" ht="15">
      <c r="B17" s="69"/>
      <c r="C17" s="29"/>
      <c r="D17" s="29"/>
      <c r="E17" s="70"/>
    </row>
    <row r="18" spans="2:5" ht="15">
      <c r="B18" s="69"/>
      <c r="C18" s="29"/>
      <c r="D18" s="29"/>
      <c r="E18" s="66"/>
    </row>
    <row r="19" spans="2:5" ht="15">
      <c r="B19" s="69"/>
      <c r="C19" s="29"/>
      <c r="D19" s="29"/>
      <c r="E19" s="66"/>
    </row>
    <row r="20" spans="2:5" ht="15">
      <c r="B20" s="69"/>
      <c r="C20" s="29"/>
      <c r="D20" s="29"/>
      <c r="E20" s="66"/>
    </row>
    <row r="21" spans="2:5" ht="15">
      <c r="B21" s="69"/>
      <c r="C21" s="29"/>
      <c r="D21" s="29"/>
      <c r="E21" s="66"/>
    </row>
    <row r="22" spans="2:5" ht="15">
      <c r="B22" s="69"/>
      <c r="C22" s="29"/>
      <c r="D22" s="29"/>
      <c r="E22" s="66"/>
    </row>
    <row r="23" spans="2:5" ht="15">
      <c r="B23" s="69"/>
      <c r="C23" s="29"/>
      <c r="D23" s="29"/>
      <c r="E23" s="66"/>
    </row>
    <row r="24" spans="2:5" ht="15">
      <c r="B24" s="69"/>
      <c r="C24" s="29"/>
      <c r="D24" s="29"/>
      <c r="E24" s="66"/>
    </row>
    <row r="25" spans="2:5" ht="15">
      <c r="B25" s="69" t="s">
        <v>157</v>
      </c>
      <c r="C25" s="29"/>
      <c r="D25" s="29"/>
      <c r="E25" s="66"/>
    </row>
    <row r="26" spans="2:5" ht="15">
      <c r="B26" s="71" t="s">
        <v>22</v>
      </c>
      <c r="C26" s="29"/>
      <c r="D26" s="29"/>
      <c r="E26" s="66"/>
    </row>
    <row r="27" spans="2:5" ht="15">
      <c r="B27" s="39" t="s">
        <v>223</v>
      </c>
      <c r="C27" s="423"/>
      <c r="D27" s="423"/>
      <c r="E27" s="66"/>
    </row>
    <row r="28" spans="2:5" ht="15">
      <c r="B28" s="39" t="s">
        <v>224</v>
      </c>
      <c r="C28" s="415">
        <f>IF(C29*0.1&lt;C27,"Exceed 10% Rule","")</f>
      </c>
      <c r="D28" s="415">
        <f>IF(D29*0.1&lt;D27,"Exceed 10% Rule","")</f>
      </c>
      <c r="E28" s="45">
        <f>IF(E29*0.1+E60&lt;E27,"Exceed 10% Rule","")</f>
      </c>
    </row>
    <row r="29" spans="2:5" ht="15">
      <c r="B29" s="43" t="s">
        <v>23</v>
      </c>
      <c r="C29" s="424">
        <f>SUM(C9:C27)</f>
        <v>0</v>
      </c>
      <c r="D29" s="424">
        <f>SUM(D9:D27)</f>
        <v>0</v>
      </c>
      <c r="E29" s="72">
        <f>SUM(E9:E27)</f>
        <v>0</v>
      </c>
    </row>
    <row r="30" spans="2:5" ht="15">
      <c r="B30" s="43" t="s">
        <v>24</v>
      </c>
      <c r="C30" s="424">
        <f>C7+C29</f>
        <v>0</v>
      </c>
      <c r="D30" s="424">
        <f>D7+D29</f>
        <v>0</v>
      </c>
      <c r="E30" s="73">
        <f>E7+E29</f>
        <v>0</v>
      </c>
    </row>
    <row r="31" spans="2:5" ht="15">
      <c r="B31" s="74" t="s">
        <v>25</v>
      </c>
      <c r="C31" s="422"/>
      <c r="D31" s="422"/>
      <c r="E31" s="67"/>
    </row>
    <row r="32" spans="2:5" ht="15">
      <c r="B32" s="37"/>
      <c r="C32" s="29"/>
      <c r="D32" s="29"/>
      <c r="E32" s="66"/>
    </row>
    <row r="33" spans="2:5" ht="15">
      <c r="B33" s="37"/>
      <c r="C33" s="29"/>
      <c r="D33" s="29"/>
      <c r="E33" s="66"/>
    </row>
    <row r="34" spans="2:5" ht="15">
      <c r="B34" s="37"/>
      <c r="C34" s="29"/>
      <c r="D34" s="29"/>
      <c r="E34" s="66"/>
    </row>
    <row r="35" spans="2:5" ht="15">
      <c r="B35" s="37"/>
      <c r="C35" s="29"/>
      <c r="D35" s="29"/>
      <c r="E35" s="66"/>
    </row>
    <row r="36" spans="2:5" ht="15">
      <c r="B36" s="37"/>
      <c r="C36" s="29"/>
      <c r="D36" s="29"/>
      <c r="E36" s="66"/>
    </row>
    <row r="37" spans="2:5" ht="15">
      <c r="B37" s="37"/>
      <c r="C37" s="29"/>
      <c r="D37" s="29"/>
      <c r="E37" s="66"/>
    </row>
    <row r="38" spans="2:5" ht="15">
      <c r="B38" s="37"/>
      <c r="C38" s="29"/>
      <c r="D38" s="29"/>
      <c r="E38" s="66"/>
    </row>
    <row r="39" spans="2:5" ht="15">
      <c r="B39" s="37"/>
      <c r="C39" s="29"/>
      <c r="D39" s="29"/>
      <c r="E39" s="66"/>
    </row>
    <row r="40" spans="2:5" ht="15">
      <c r="B40" s="37"/>
      <c r="C40" s="29"/>
      <c r="D40" s="29"/>
      <c r="E40" s="66"/>
    </row>
    <row r="41" spans="2:5" ht="15">
      <c r="B41" s="37"/>
      <c r="C41" s="29"/>
      <c r="D41" s="29"/>
      <c r="E41" s="66"/>
    </row>
    <row r="42" spans="2:5" ht="15">
      <c r="B42" s="37"/>
      <c r="C42" s="29"/>
      <c r="D42" s="29"/>
      <c r="E42" s="66"/>
    </row>
    <row r="43" spans="2:5" ht="15">
      <c r="B43" s="37"/>
      <c r="C43" s="29"/>
      <c r="D43" s="29"/>
      <c r="E43" s="66"/>
    </row>
    <row r="44" spans="2:5" ht="15">
      <c r="B44" s="37"/>
      <c r="C44" s="29"/>
      <c r="D44" s="29"/>
      <c r="E44" s="66"/>
    </row>
    <row r="45" spans="2:5" ht="15">
      <c r="B45" s="37"/>
      <c r="C45" s="29"/>
      <c r="D45" s="29"/>
      <c r="E45" s="66"/>
    </row>
    <row r="46" spans="2:5" ht="15">
      <c r="B46" s="37"/>
      <c r="C46" s="29"/>
      <c r="D46" s="29"/>
      <c r="E46" s="66"/>
    </row>
    <row r="47" spans="2:5" ht="15">
      <c r="B47" s="37"/>
      <c r="C47" s="29"/>
      <c r="D47" s="29"/>
      <c r="E47" s="66"/>
    </row>
    <row r="48" spans="2:5" ht="15">
      <c r="B48" s="37"/>
      <c r="C48" s="29"/>
      <c r="D48" s="29"/>
      <c r="E48" s="66"/>
    </row>
    <row r="49" spans="2:5" ht="15">
      <c r="B49" s="37"/>
      <c r="C49" s="29"/>
      <c r="D49" s="29"/>
      <c r="E49" s="66"/>
    </row>
    <row r="50" spans="2:5" ht="15">
      <c r="B50" s="35" t="s">
        <v>225</v>
      </c>
      <c r="C50" s="29"/>
      <c r="D50" s="29"/>
      <c r="E50" s="75">
        <f>nhood!E7</f>
      </c>
    </row>
    <row r="51" spans="2:5" ht="15">
      <c r="B51" s="35" t="s">
        <v>223</v>
      </c>
      <c r="C51" s="423"/>
      <c r="D51" s="423"/>
      <c r="E51" s="66"/>
    </row>
    <row r="52" spans="2:9" ht="1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
      <c r="B53" s="43" t="s">
        <v>26</v>
      </c>
      <c r="C53" s="424">
        <f>SUM(C32:C51)</f>
        <v>0</v>
      </c>
      <c r="D53" s="424">
        <f>SUM(D32:D51)</f>
        <v>0</v>
      </c>
      <c r="E53" s="72">
        <f>SUM(E32:E51)</f>
        <v>0</v>
      </c>
      <c r="G53" s="534"/>
      <c r="H53" s="535"/>
      <c r="I53" s="536"/>
    </row>
    <row r="54" spans="2:9" ht="15">
      <c r="B54" s="27" t="s">
        <v>122</v>
      </c>
      <c r="C54" s="425">
        <f>C30-C53</f>
        <v>0</v>
      </c>
      <c r="D54" s="425">
        <f>D30-D53</f>
        <v>0</v>
      </c>
      <c r="E54" s="33" t="s">
        <v>301</v>
      </c>
      <c r="G54" s="561">
        <f>D54</f>
        <v>0</v>
      </c>
      <c r="H54" s="562" t="str">
        <f>CONCATENATE("",E1-1," Ending Cash Balance (est.)")</f>
        <v>2011 Ending Cash Balance (est.)</v>
      </c>
      <c r="I54" s="536"/>
    </row>
    <row r="55" spans="2:9" ht="1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
      <c r="B56" s="48"/>
      <c r="C56" s="652" t="s">
        <v>646</v>
      </c>
      <c r="D56" s="653"/>
      <c r="E56" s="34"/>
      <c r="F56" s="533">
        <f>IF(E53/0.95-E53&lt;E56,"Exceeds 5%","")</f>
      </c>
      <c r="G56" s="564">
        <f>E60</f>
        <v>0</v>
      </c>
      <c r="H56" s="563" t="str">
        <f>CONCATENATE("",E1," Ad Valorem Tax (est.)")</f>
        <v>2012 Ad Valorem Tax (est.)</v>
      </c>
      <c r="I56" s="536"/>
    </row>
    <row r="57" spans="2:9" ht="15">
      <c r="B57" s="436" t="str">
        <f>CONCATENATE(C72,"     ",D72)</f>
        <v>     </v>
      </c>
      <c r="C57" s="654" t="s">
        <v>647</v>
      </c>
      <c r="D57" s="655"/>
      <c r="E57" s="32">
        <f>E53+E56</f>
        <v>0</v>
      </c>
      <c r="G57" s="561">
        <f>SUM(G54:G56)</f>
        <v>0</v>
      </c>
      <c r="H57" s="563" t="str">
        <f>CONCATENATE("Total ",E1," Resources Available")</f>
        <v>Total 2012 Resources Available</v>
      </c>
      <c r="I57" s="536"/>
    </row>
    <row r="58" spans="2:9" ht="15">
      <c r="B58" s="436" t="str">
        <f>CONCATENATE(C73,"     ",D73)</f>
        <v>     </v>
      </c>
      <c r="C58" s="60"/>
      <c r="D58" s="52" t="s">
        <v>28</v>
      </c>
      <c r="E58" s="46">
        <f>IF(E57-E30&gt;0,E57-E30,0)</f>
        <v>0</v>
      </c>
      <c r="G58" s="565"/>
      <c r="H58" s="563"/>
      <c r="I58" s="536"/>
    </row>
    <row r="59" spans="2:9" ht="15">
      <c r="B59" s="52"/>
      <c r="C59" s="440" t="s">
        <v>648</v>
      </c>
      <c r="D59" s="432">
        <f>inputOth!$E$40</f>
        <v>0</v>
      </c>
      <c r="E59" s="32">
        <f>ROUND(IF(D59&gt;0,(E58*D59),0),0)</f>
        <v>0</v>
      </c>
      <c r="G59" s="564">
        <f>C53</f>
        <v>0</v>
      </c>
      <c r="H59" s="563" t="str">
        <f>CONCATENATE("Less ",E1-2," Expenditures")</f>
        <v>Less 2010 Expenditures</v>
      </c>
      <c r="I59" s="536"/>
    </row>
    <row r="60" spans="2:9" ht="1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
      <c r="B61" s="52"/>
      <c r="C61" s="14"/>
      <c r="D61" s="14"/>
      <c r="E61" s="14"/>
    </row>
    <row r="62" spans="2:5" ht="15">
      <c r="B62" s="48" t="s">
        <v>9</v>
      </c>
      <c r="C62" s="76"/>
      <c r="D62" s="14"/>
      <c r="E62" s="14"/>
    </row>
    <row r="72" spans="3:4" ht="15" hidden="1">
      <c r="C72" s="16">
        <f>IF(C53&gt;C55,"See Tab A","")</f>
      </c>
      <c r="D72" s="16">
        <f>IF(D53&gt;D55,"See Tab C","")</f>
      </c>
    </row>
    <row r="73" spans="3:4" ht="1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2">
      <selection activeCell="E55" sqref="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Palacky Township</v>
      </c>
      <c r="C1" s="14"/>
      <c r="D1" s="14"/>
      <c r="E1" s="15">
        <f>inputPrYr!D5</f>
        <v>2012</v>
      </c>
    </row>
    <row r="2" spans="2:5" ht="15">
      <c r="B2" s="17"/>
      <c r="C2" s="14"/>
      <c r="D2" s="62"/>
      <c r="E2" s="63"/>
    </row>
    <row r="3" spans="2:5" ht="15">
      <c r="B3" s="603" t="s">
        <v>750</v>
      </c>
      <c r="C3" s="77"/>
      <c r="D3" s="77"/>
      <c r="E3" s="77"/>
    </row>
    <row r="4" spans="2:5" ht="15">
      <c r="B4" s="22" t="s">
        <v>10</v>
      </c>
      <c r="C4" s="416" t="s">
        <v>11</v>
      </c>
      <c r="D4" s="419" t="s">
        <v>12</v>
      </c>
      <c r="E4" s="23" t="s">
        <v>13</v>
      </c>
    </row>
    <row r="5" spans="2:5" ht="15">
      <c r="B5" s="437" t="str">
        <f>inputPrYr!B18</f>
        <v>Road</v>
      </c>
      <c r="C5" s="417" t="str">
        <f>gen!C5</f>
        <v>Actual 2010</v>
      </c>
      <c r="D5" s="417" t="str">
        <f>gen!D5</f>
        <v>Estimate 2011</v>
      </c>
      <c r="E5" s="26" t="str">
        <f>gen!E5</f>
        <v>Year 2012</v>
      </c>
    </row>
    <row r="6" spans="2:5" ht="15">
      <c r="B6" s="27" t="s">
        <v>121</v>
      </c>
      <c r="C6" s="29"/>
      <c r="D6" s="418">
        <f>C44</f>
        <v>2573</v>
      </c>
      <c r="E6" s="32">
        <f>D44</f>
        <v>2573</v>
      </c>
    </row>
    <row r="7" spans="2:5" ht="15">
      <c r="B7" s="27" t="s">
        <v>123</v>
      </c>
      <c r="C7" s="418"/>
      <c r="D7" s="418"/>
      <c r="E7" s="33"/>
    </row>
    <row r="8" spans="2:5" ht="15">
      <c r="B8" s="27" t="s">
        <v>16</v>
      </c>
      <c r="C8" s="29">
        <v>45086</v>
      </c>
      <c r="D8" s="418">
        <f>inputPrYr!E18</f>
        <v>53717</v>
      </c>
      <c r="E8" s="33" t="s">
        <v>301</v>
      </c>
    </row>
    <row r="9" spans="2:5" ht="15">
      <c r="B9" s="27" t="s">
        <v>17</v>
      </c>
      <c r="C9" s="29">
        <v>668</v>
      </c>
      <c r="D9" s="29"/>
      <c r="E9" s="34"/>
    </row>
    <row r="10" spans="2:5" ht="15">
      <c r="B10" s="27" t="s">
        <v>18</v>
      </c>
      <c r="C10" s="29">
        <v>1764</v>
      </c>
      <c r="D10" s="29">
        <v>2164</v>
      </c>
      <c r="E10" s="32">
        <f>mvalloc!G13</f>
        <v>2259</v>
      </c>
    </row>
    <row r="11" spans="2:5" ht="15">
      <c r="B11" s="27" t="s">
        <v>19</v>
      </c>
      <c r="C11" s="29">
        <v>12</v>
      </c>
      <c r="D11" s="29">
        <v>15</v>
      </c>
      <c r="E11" s="32">
        <f>mvalloc!I13</f>
        <v>16</v>
      </c>
    </row>
    <row r="12" spans="2:5" ht="15">
      <c r="B12" s="27" t="s">
        <v>102</v>
      </c>
      <c r="C12" s="29">
        <v>6</v>
      </c>
      <c r="D12" s="29">
        <v>314</v>
      </c>
      <c r="E12" s="32">
        <f>mvalloc!J13</f>
        <v>377</v>
      </c>
    </row>
    <row r="13" spans="2:5" ht="15">
      <c r="B13" s="27" t="s">
        <v>166</v>
      </c>
      <c r="C13" s="29"/>
      <c r="D13" s="29"/>
      <c r="E13" s="32">
        <f>mvalloc!K13</f>
        <v>0</v>
      </c>
    </row>
    <row r="14" spans="2:5" ht="15">
      <c r="B14" s="27" t="s">
        <v>103</v>
      </c>
      <c r="C14" s="29">
        <v>2511</v>
      </c>
      <c r="D14" s="29">
        <v>2424</v>
      </c>
      <c r="E14" s="32">
        <f>inputOth!E36</f>
        <v>2405</v>
      </c>
    </row>
    <row r="15" spans="2:5" ht="15">
      <c r="B15" s="38" t="s">
        <v>815</v>
      </c>
      <c r="C15" s="29">
        <v>5738</v>
      </c>
      <c r="D15" s="29"/>
      <c r="E15" s="34"/>
    </row>
    <row r="16" spans="2:5" ht="15">
      <c r="B16" s="38" t="s">
        <v>817</v>
      </c>
      <c r="C16" s="29">
        <v>2345</v>
      </c>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v>15</v>
      </c>
      <c r="D20" s="29"/>
      <c r="E20" s="34"/>
    </row>
    <row r="21" spans="2:5" ht="15">
      <c r="B21" s="39" t="s">
        <v>223</v>
      </c>
      <c r="C21" s="29"/>
      <c r="D21" s="29"/>
      <c r="E21" s="34"/>
    </row>
    <row r="22" spans="2:5" ht="15">
      <c r="B22" s="39" t="s">
        <v>224</v>
      </c>
      <c r="C22" s="415">
        <f>IF(C23*0.1&lt;C21,"Exceed 10% Rule","")</f>
      </c>
      <c r="D22" s="415">
        <f>IF(D23*0.1&lt;D21,"Exceed 10% Rule","")</f>
      </c>
      <c r="E22" s="45">
        <f>IF(E23*0.1+E50&lt;E21,"Exceed 10% Rule","")</f>
      </c>
    </row>
    <row r="23" spans="2:5" ht="15">
      <c r="B23" s="41" t="s">
        <v>23</v>
      </c>
      <c r="C23" s="420">
        <f>SUM(C8:C21)</f>
        <v>58145</v>
      </c>
      <c r="D23" s="420">
        <f>SUM(D8:D21)</f>
        <v>58634</v>
      </c>
      <c r="E23" s="42">
        <f>SUM(E8:E21)</f>
        <v>5057</v>
      </c>
    </row>
    <row r="24" spans="2:5" ht="15">
      <c r="B24" s="43" t="s">
        <v>24</v>
      </c>
      <c r="C24" s="420">
        <f>C23+C6</f>
        <v>58145</v>
      </c>
      <c r="D24" s="420">
        <f>D23+D6</f>
        <v>61207</v>
      </c>
      <c r="E24" s="42">
        <f>E23+E6</f>
        <v>7630</v>
      </c>
    </row>
    <row r="25" spans="2:5" ht="15">
      <c r="B25" s="27" t="s">
        <v>25</v>
      </c>
      <c r="C25" s="418"/>
      <c r="D25" s="418"/>
      <c r="E25" s="32"/>
    </row>
    <row r="26" spans="2:5" ht="15">
      <c r="B26" s="38" t="s">
        <v>128</v>
      </c>
      <c r="C26" s="29">
        <v>12227</v>
      </c>
      <c r="D26" s="29">
        <v>3000</v>
      </c>
      <c r="E26" s="34">
        <v>15000</v>
      </c>
    </row>
    <row r="27" spans="2:5" ht="15">
      <c r="B27" s="37" t="s">
        <v>105</v>
      </c>
      <c r="C27" s="29">
        <v>359</v>
      </c>
      <c r="D27" s="29">
        <v>700</v>
      </c>
      <c r="E27" s="34">
        <v>700</v>
      </c>
    </row>
    <row r="28" spans="2:5" ht="15">
      <c r="B28" s="38" t="s">
        <v>130</v>
      </c>
      <c r="C28" s="29">
        <v>9068</v>
      </c>
      <c r="D28" s="29">
        <v>23464</v>
      </c>
      <c r="E28" s="34">
        <v>9000</v>
      </c>
    </row>
    <row r="29" spans="2:5" ht="15">
      <c r="B29" s="38" t="s">
        <v>108</v>
      </c>
      <c r="C29" s="29">
        <v>9583</v>
      </c>
      <c r="D29" s="29">
        <v>18400</v>
      </c>
      <c r="E29" s="34">
        <v>10731</v>
      </c>
    </row>
    <row r="30" spans="2:5" ht="15">
      <c r="B30" s="38" t="s">
        <v>106</v>
      </c>
      <c r="C30" s="29">
        <v>12731</v>
      </c>
      <c r="D30" s="29">
        <v>2000</v>
      </c>
      <c r="E30" s="34">
        <v>13000</v>
      </c>
    </row>
    <row r="31" spans="2:5" ht="15">
      <c r="B31" s="38" t="s">
        <v>131</v>
      </c>
      <c r="C31" s="29">
        <v>6261</v>
      </c>
      <c r="D31" s="29">
        <v>5000</v>
      </c>
      <c r="E31" s="34">
        <v>7000</v>
      </c>
    </row>
    <row r="32" spans="2:5" ht="15">
      <c r="B32" s="38"/>
      <c r="C32" s="29"/>
      <c r="D32" s="29"/>
      <c r="E32" s="34"/>
    </row>
    <row r="33" spans="2:5" ht="15">
      <c r="B33" s="38" t="s">
        <v>104</v>
      </c>
      <c r="C33" s="29">
        <v>1770</v>
      </c>
      <c r="D33" s="29">
        <v>1770</v>
      </c>
      <c r="E33" s="34">
        <v>1770</v>
      </c>
    </row>
    <row r="34" spans="2:5" ht="15">
      <c r="B34" s="37" t="s">
        <v>818</v>
      </c>
      <c r="C34" s="29">
        <v>146</v>
      </c>
      <c r="D34" s="29"/>
      <c r="E34" s="34"/>
    </row>
    <row r="35" spans="2:5" ht="15">
      <c r="B35" s="37" t="s">
        <v>819</v>
      </c>
      <c r="C35" s="29">
        <v>354</v>
      </c>
      <c r="D35" s="29">
        <v>800</v>
      </c>
      <c r="E35" s="34">
        <v>800</v>
      </c>
    </row>
    <row r="36" spans="2:5" ht="15">
      <c r="B36" s="38" t="s">
        <v>820</v>
      </c>
      <c r="C36" s="29">
        <v>3073</v>
      </c>
      <c r="D36" s="29">
        <v>3500</v>
      </c>
      <c r="E36" s="34">
        <v>3500</v>
      </c>
    </row>
    <row r="37" spans="2:5" ht="15">
      <c r="B37" s="38"/>
      <c r="C37" s="29"/>
      <c r="D37" s="29"/>
      <c r="E37" s="34"/>
    </row>
    <row r="38" spans="2:5" ht="15">
      <c r="B38" s="27" t="s">
        <v>107</v>
      </c>
      <c r="C38" s="29"/>
      <c r="D38" s="29"/>
      <c r="E38" s="34"/>
    </row>
    <row r="39" spans="2:10" ht="1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
      <c r="B40" s="35" t="s">
        <v>225</v>
      </c>
      <c r="C40" s="29"/>
      <c r="D40" s="29"/>
      <c r="E40" s="46">
        <f>nhood!E8</f>
      </c>
      <c r="G40" s="534"/>
      <c r="H40" s="535"/>
      <c r="I40" s="535"/>
      <c r="J40" s="536"/>
    </row>
    <row r="41" spans="2:10" ht="15">
      <c r="B41" s="35" t="s">
        <v>223</v>
      </c>
      <c r="C41" s="29"/>
      <c r="D41" s="29"/>
      <c r="E41" s="34"/>
      <c r="G41" s="537">
        <f>D44</f>
        <v>2573</v>
      </c>
      <c r="H41" s="538" t="str">
        <f>CONCATENATE("",E1-1," Ending Cash Balance (est.)")</f>
        <v>2011 Ending Cash Balance (est.)</v>
      </c>
      <c r="I41" s="539"/>
      <c r="J41" s="536"/>
    </row>
    <row r="42" spans="2:10" ht="15">
      <c r="B42" s="35" t="s">
        <v>644</v>
      </c>
      <c r="C42" s="415">
        <f>IF(C43*0.1&lt;C41,"Exceed 10% Rule","")</f>
      </c>
      <c r="D42" s="415">
        <f>IF(D43*0.1&lt;D41,"Exceed 10% Rule","")</f>
      </c>
      <c r="E42" s="45">
        <f>IF(E43*0.1&lt;E41,"Exceed 10% Rule","")</f>
      </c>
      <c r="G42" s="537">
        <f>E23</f>
        <v>5057</v>
      </c>
      <c r="H42" s="540" t="str">
        <f>CONCATENATE("",E1," Non-AV Receipts (est.)")</f>
        <v>2012 Non-AV Receipts (est.)</v>
      </c>
      <c r="I42" s="540"/>
      <c r="J42" s="536"/>
    </row>
    <row r="43" spans="2:10" ht="15">
      <c r="B43" s="43" t="s">
        <v>26</v>
      </c>
      <c r="C43" s="420">
        <f>SUM(C26:C38,C40:C41)</f>
        <v>55572</v>
      </c>
      <c r="D43" s="420">
        <f>SUM(D26:D38,D40:D41)</f>
        <v>58634</v>
      </c>
      <c r="E43" s="42">
        <f>SUM(E26:E38,E40:E41)</f>
        <v>61501</v>
      </c>
      <c r="G43" s="541">
        <f>E50</f>
        <v>53871</v>
      </c>
      <c r="H43" s="540" t="str">
        <f>CONCATENATE("",E1," Ad Valorem Tax (est.)")</f>
        <v>2012 Ad Valorem Tax (est.)</v>
      </c>
      <c r="I43" s="540"/>
      <c r="J43" s="536"/>
    </row>
    <row r="44" spans="2:10" ht="15">
      <c r="B44" s="27" t="s">
        <v>122</v>
      </c>
      <c r="C44" s="413">
        <f>C24-C43</f>
        <v>2573</v>
      </c>
      <c r="D44" s="413">
        <f>D24-D43</f>
        <v>2573</v>
      </c>
      <c r="E44" s="33" t="s">
        <v>301</v>
      </c>
      <c r="G44" s="537">
        <f>SUM(G41:G43)</f>
        <v>61501</v>
      </c>
      <c r="H44" s="540" t="str">
        <f>CONCATENATE("Total ",E1," Resources Available")</f>
        <v>Total 2012 Resources Available</v>
      </c>
      <c r="I44" s="539"/>
      <c r="J44" s="536"/>
    </row>
    <row r="45" spans="2:10" ht="15">
      <c r="B45" s="48" t="str">
        <f>CONCATENATE("",E1-2,"/",E1-1," Budget Authority Amount:")</f>
        <v>2010/2011 Budget Authority Amount:</v>
      </c>
      <c r="C45" s="143">
        <f>inputOth!B48</f>
        <v>0</v>
      </c>
      <c r="D45" s="172">
        <f>inputPrYr!D18</f>
        <v>58634</v>
      </c>
      <c r="E45" s="33" t="s">
        <v>301</v>
      </c>
      <c r="F45" s="50"/>
      <c r="G45" s="542"/>
      <c r="H45" s="540"/>
      <c r="I45" s="540"/>
      <c r="J45" s="536"/>
    </row>
    <row r="46" spans="2:10" ht="15">
      <c r="B46" s="48"/>
      <c r="C46" s="652" t="s">
        <v>646</v>
      </c>
      <c r="D46" s="653"/>
      <c r="E46" s="34"/>
      <c r="F46" s="533">
        <f>IF(E43/0.95-E43&lt;E46,"Exceeds 5%","")</f>
      </c>
      <c r="G46" s="541">
        <f>C43*0.05+C43</f>
        <v>58350.6</v>
      </c>
      <c r="H46" s="540" t="str">
        <f>CONCATENATE("Less ",E1-2," Expenditures + 5%")</f>
        <v>Less 2010 Expenditures + 5%</v>
      </c>
      <c r="I46" s="539"/>
      <c r="J46" s="536"/>
    </row>
    <row r="47" spans="2:10" ht="15">
      <c r="B47" s="436" t="str">
        <f>CONCATENATE(C74,"     ",D74)</f>
        <v>See Tab A     </v>
      </c>
      <c r="C47" s="654" t="s">
        <v>647</v>
      </c>
      <c r="D47" s="655"/>
      <c r="E47" s="32">
        <f>E43+E46</f>
        <v>61501</v>
      </c>
      <c r="G47" s="543">
        <f>G44-G46</f>
        <v>3150.4000000000015</v>
      </c>
      <c r="H47" s="544" t="str">
        <f>CONCATENATE("Projected ",E1+1," Carryover (est.)")</f>
        <v>Projected 2013 Carryover (est.)</v>
      </c>
      <c r="I47" s="545"/>
      <c r="J47" s="546"/>
    </row>
    <row r="48" spans="2:5" ht="15">
      <c r="B48" s="436" t="str">
        <f>CONCATENATE(C75,"     ",D75)</f>
        <v>     </v>
      </c>
      <c r="C48" s="60"/>
      <c r="D48" s="52" t="s">
        <v>28</v>
      </c>
      <c r="E48" s="46">
        <f>IF(E47-E24&gt;0,E47-E24,0)</f>
        <v>53871</v>
      </c>
    </row>
    <row r="49" spans="2:10" ht="15">
      <c r="B49" s="52"/>
      <c r="C49" s="440" t="s">
        <v>648</v>
      </c>
      <c r="D49" s="432">
        <f>inputOth!$E$40</f>
        <v>0</v>
      </c>
      <c r="E49" s="32">
        <f>ROUND(IF(D49&gt;0,(E48*D49),0),0)</f>
        <v>0</v>
      </c>
      <c r="G49" s="560">
        <f>IF(inputOth!E7=0,"",ROUND(E50/inputOth!E7*1000,3))</f>
        <v>21.622</v>
      </c>
      <c r="H49" s="547" t="str">
        <f>CONCATENATE("Projected ",E1-1," Mill Rate (est.)")</f>
        <v>Projected 2011 Mill Rate (est.)</v>
      </c>
      <c r="I49" s="548"/>
      <c r="J49" s="549"/>
    </row>
    <row r="50" spans="2:10" ht="15">
      <c r="B50" s="14"/>
      <c r="C50" s="650" t="str">
        <f>CONCATENATE("Amount of  ",$E$1-1," Ad Valorem Tax")</f>
        <v>Amount of  2011 Ad Valorem Tax</v>
      </c>
      <c r="D50" s="651"/>
      <c r="E50" s="46">
        <f>E48+E49</f>
        <v>53871</v>
      </c>
      <c r="G50" s="550"/>
      <c r="H50" s="550"/>
      <c r="I50" s="550"/>
      <c r="J50" s="550"/>
    </row>
    <row r="51" spans="2:10" ht="15">
      <c r="B51" s="14"/>
      <c r="C51" s="14"/>
      <c r="D51" s="14"/>
      <c r="E51" s="14"/>
      <c r="G51" s="656" t="str">
        <f>CONCATENATE("Desired Carryover Into ",E1+1,"")</f>
        <v>Desired Carryover Into 2013</v>
      </c>
      <c r="H51" s="658"/>
      <c r="I51" s="658"/>
      <c r="J51" s="638"/>
    </row>
    <row r="52" spans="2:10" ht="15">
      <c r="B52" s="14"/>
      <c r="C52" s="14"/>
      <c r="D52" s="14"/>
      <c r="E52" s="14"/>
      <c r="G52" s="551"/>
      <c r="H52" s="535"/>
      <c r="I52" s="540"/>
      <c r="J52" s="552"/>
    </row>
    <row r="53" spans="2:10" ht="15">
      <c r="B53" s="79" t="s">
        <v>30</v>
      </c>
      <c r="C53" s="81"/>
      <c r="D53" s="14"/>
      <c r="E53" s="14"/>
      <c r="G53" s="553" t="s">
        <v>744</v>
      </c>
      <c r="H53" s="540"/>
      <c r="I53" s="540"/>
      <c r="J53" s="554">
        <v>0</v>
      </c>
    </row>
    <row r="54" spans="2:10" ht="15">
      <c r="B54" s="82" t="s">
        <v>31</v>
      </c>
      <c r="C54" s="441" t="str">
        <f>CONCATENATE("",H1-2," Actual Year")</f>
        <v>-2 Actual Year</v>
      </c>
      <c r="D54" s="14"/>
      <c r="E54" s="14"/>
      <c r="G54" s="551" t="s">
        <v>745</v>
      </c>
      <c r="H54" s="535"/>
      <c r="I54" s="535"/>
      <c r="J54" s="555">
        <f>IF(J53=0,"",ROUND((J53+E50-G47)/inputOth!E7*1000,3)-G49)</f>
      </c>
    </row>
    <row r="55" spans="2:10" ht="15">
      <c r="B55" s="83" t="s">
        <v>14</v>
      </c>
      <c r="C55" s="600">
        <v>34861</v>
      </c>
      <c r="D55" s="14"/>
      <c r="E55" s="14"/>
      <c r="G55" s="556" t="str">
        <f>CONCATENATE("",E1," Total Expenditures Must Be:")</f>
        <v>2012 Total Expenditures Must Be:</v>
      </c>
      <c r="H55" s="557"/>
      <c r="I55" s="558"/>
      <c r="J55" s="559">
        <f>IF((J53&gt;0),(E43+J53-G47),0)</f>
        <v>0</v>
      </c>
    </row>
    <row r="56" spans="2:5" ht="15">
      <c r="B56" s="83" t="s">
        <v>33</v>
      </c>
      <c r="C56" s="143"/>
      <c r="D56" s="14"/>
      <c r="E56" s="14"/>
    </row>
    <row r="57" spans="2:5" ht="15">
      <c r="B57" s="83" t="s">
        <v>34</v>
      </c>
      <c r="C57" s="439">
        <f>C38</f>
        <v>0</v>
      </c>
      <c r="D57" s="85"/>
      <c r="E57" s="14"/>
    </row>
    <row r="58" spans="2:5" ht="15">
      <c r="B58" s="83" t="s">
        <v>258</v>
      </c>
      <c r="C58" s="439">
        <f>gen!C43</f>
        <v>0</v>
      </c>
      <c r="D58" s="662">
        <f>IF(AND(C58&gt;0,C59&gt;0),"Not Auth. Two General Transfers - Only One","")</f>
      </c>
      <c r="E58" s="663"/>
    </row>
    <row r="59" spans="2:5" ht="15">
      <c r="B59" s="86" t="s">
        <v>259</v>
      </c>
      <c r="C59" s="439">
        <f>gen!C45</f>
        <v>0</v>
      </c>
      <c r="D59" s="664"/>
      <c r="E59" s="663"/>
    </row>
    <row r="60" spans="2:5" ht="15">
      <c r="B60" s="87"/>
      <c r="C60" s="600"/>
      <c r="D60" s="14"/>
      <c r="E60" s="14"/>
    </row>
    <row r="61" spans="2:5" ht="15">
      <c r="B61" s="87" t="s">
        <v>22</v>
      </c>
      <c r="C61" s="600">
        <v>710</v>
      </c>
      <c r="D61" s="14"/>
      <c r="E61" s="14"/>
    </row>
    <row r="62" spans="2:5" ht="15">
      <c r="B62" s="87" t="s">
        <v>21</v>
      </c>
      <c r="C62" s="600"/>
      <c r="D62" s="14"/>
      <c r="E62" s="14"/>
    </row>
    <row r="63" spans="2:5" ht="15">
      <c r="B63" s="88" t="s">
        <v>24</v>
      </c>
      <c r="C63" s="143">
        <f>SUM(C55:C62)</f>
        <v>35571</v>
      </c>
      <c r="D63" s="14"/>
      <c r="E63" s="14"/>
    </row>
    <row r="64" spans="2:5" ht="15">
      <c r="B64" s="88" t="s">
        <v>26</v>
      </c>
      <c r="C64" s="600">
        <v>5738</v>
      </c>
      <c r="D64" s="14"/>
      <c r="E64" s="14"/>
    </row>
    <row r="65" spans="2:5" ht="15">
      <c r="B65" s="88" t="s">
        <v>27</v>
      </c>
      <c r="C65" s="438">
        <f>SUM(C63-C64)</f>
        <v>29833</v>
      </c>
      <c r="D65" s="14"/>
      <c r="E65" s="14"/>
    </row>
    <row r="66" spans="2:5" ht="15">
      <c r="B66" s="14"/>
      <c r="C66" s="14"/>
      <c r="D66" s="14"/>
      <c r="E66" s="14"/>
    </row>
    <row r="67" spans="2:5" ht="15">
      <c r="B67" s="52" t="s">
        <v>9</v>
      </c>
      <c r="C67" s="601"/>
      <c r="D67" s="14"/>
      <c r="E67" s="14"/>
    </row>
    <row r="69" ht="15">
      <c r="B69" s="12"/>
    </row>
    <row r="74" spans="3:4" ht="15" hidden="1">
      <c r="C74" s="16" t="str">
        <f>IF(C43&gt;C45,"See Tab A","")</f>
        <v>See Tab A</v>
      </c>
      <c r="D74" s="16">
        <f>IF(D43&gt;D45,"See Tab C","")</f>
      </c>
    </row>
    <row r="75" spans="3:4" ht="1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Palacky Township</v>
      </c>
      <c r="C1" s="22" t="s">
        <v>35</v>
      </c>
      <c r="D1" s="14"/>
      <c r="E1" s="15">
        <f>inputPrYr!D5</f>
        <v>2012</v>
      </c>
    </row>
    <row r="2" spans="2:5" ht="15">
      <c r="B2" s="17"/>
      <c r="C2" s="14"/>
      <c r="D2" s="14"/>
      <c r="E2" s="89"/>
    </row>
    <row r="3" spans="2:5" ht="15">
      <c r="B3" s="603" t="s">
        <v>750</v>
      </c>
      <c r="C3" s="77"/>
      <c r="D3" s="77"/>
      <c r="E3" s="14"/>
    </row>
    <row r="4" spans="2:5" ht="15">
      <c r="B4" s="22" t="s">
        <v>10</v>
      </c>
      <c r="C4" s="416" t="s">
        <v>11</v>
      </c>
      <c r="D4" s="419" t="s">
        <v>12</v>
      </c>
      <c r="E4" s="23" t="s">
        <v>13</v>
      </c>
    </row>
    <row r="5" spans="2:5" ht="15">
      <c r="B5" s="437">
        <f>inputPrYr!B19</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inputPrYr!E19</f>
        <v>0</v>
      </c>
      <c r="E8" s="33" t="s">
        <v>301</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35" t="s">
        <v>71</v>
      </c>
      <c r="C12" s="29"/>
      <c r="D12" s="29"/>
      <c r="E12" s="32">
        <f>mvalloc!J14</f>
        <v>0</v>
      </c>
    </row>
    <row r="13" spans="2:5" ht="15">
      <c r="B13" s="35" t="s">
        <v>166</v>
      </c>
      <c r="C13" s="29"/>
      <c r="D13" s="29"/>
      <c r="E13" s="32">
        <f>mvalloc!K14</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225</v>
      </c>
      <c r="C29" s="29"/>
      <c r="D29" s="29"/>
      <c r="E29" s="46">
        <f>nhood!E9</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301</v>
      </c>
    </row>
    <row r="34" spans="2:6" ht="15">
      <c r="B34" s="48" t="str">
        <f>CONCATENATE("",E1-2,"/",E1-1," Budget Authority Amount:")</f>
        <v>2010/2011 Budget Authority Amount:</v>
      </c>
      <c r="C34" s="143">
        <f>inputOth!B49</f>
        <v>0</v>
      </c>
      <c r="D34" s="172">
        <f>inputPrYr!D19</f>
        <v>0</v>
      </c>
      <c r="E34" s="33" t="s">
        <v>301</v>
      </c>
      <c r="F34" s="50"/>
    </row>
    <row r="35" spans="2:6" ht="15">
      <c r="B35" s="48"/>
      <c r="C35" s="652" t="s">
        <v>646</v>
      </c>
      <c r="D35" s="653"/>
      <c r="E35" s="34"/>
      <c r="F35" s="50">
        <f>IF(E32/0.95-E32&lt;E35,"Exceeds 5%","")</f>
      </c>
    </row>
    <row r="36" spans="2:5" ht="15">
      <c r="B36" s="436" t="str">
        <f>CONCATENATE(C88,"     ",D88)</f>
        <v>     </v>
      </c>
      <c r="C36" s="654" t="s">
        <v>647</v>
      </c>
      <c r="D36" s="655"/>
      <c r="E36" s="32">
        <f>E32+E35</f>
        <v>0</v>
      </c>
    </row>
    <row r="37" spans="2:5" ht="15">
      <c r="B37" s="436" t="str">
        <f>CONCATENATE(C89,"     ",D89)</f>
        <v>     </v>
      </c>
      <c r="C37" s="60"/>
      <c r="D37" s="52" t="s">
        <v>28</v>
      </c>
      <c r="E37" s="46">
        <f>IF(E36-E21&gt;0,E36-E21,0)</f>
        <v>0</v>
      </c>
    </row>
    <row r="38" spans="2:5" ht="15">
      <c r="B38" s="52"/>
      <c r="C38" s="440" t="s">
        <v>648</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inputPrYr!B20</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inputPrYr!E20</f>
        <v>0</v>
      </c>
      <c r="E45" s="33" t="s">
        <v>301</v>
      </c>
    </row>
    <row r="46" spans="2:5" ht="15">
      <c r="B46" s="27" t="s">
        <v>17</v>
      </c>
      <c r="C46" s="29"/>
      <c r="D46" s="29"/>
      <c r="E46" s="34"/>
    </row>
    <row r="47" spans="2:5" ht="15">
      <c r="B47" s="27" t="s">
        <v>18</v>
      </c>
      <c r="C47" s="29"/>
      <c r="D47" s="29"/>
      <c r="E47" s="32">
        <f>mvalloc!G15</f>
        <v>0</v>
      </c>
    </row>
    <row r="48" spans="2:5" ht="15">
      <c r="B48" s="27" t="s">
        <v>19</v>
      </c>
      <c r="C48" s="29"/>
      <c r="D48" s="29"/>
      <c r="E48" s="32">
        <f>mvalloc!I15</f>
        <v>0</v>
      </c>
    </row>
    <row r="49" spans="2:5" ht="15">
      <c r="B49" s="27" t="s">
        <v>102</v>
      </c>
      <c r="C49" s="29"/>
      <c r="D49" s="29"/>
      <c r="E49" s="32">
        <f>mvalloc!J15</f>
        <v>0</v>
      </c>
    </row>
    <row r="50" spans="2:5" ht="15">
      <c r="B50" s="27" t="s">
        <v>166</v>
      </c>
      <c r="C50" s="29"/>
      <c r="D50" s="29"/>
      <c r="E50" s="32">
        <f>mvalloc!K15</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nhood!E10</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301</v>
      </c>
    </row>
    <row r="71" spans="2:6" ht="15">
      <c r="B71" s="48" t="str">
        <f>CONCATENATE("",E1-2,"/",E1-1," Budget Authority Amount:")</f>
        <v>2010/2011 Budget Authority Amount:</v>
      </c>
      <c r="C71" s="143">
        <f>inputOth!B50</f>
        <v>0</v>
      </c>
      <c r="D71" s="172">
        <f>inputPrYr!D20</f>
        <v>0</v>
      </c>
      <c r="E71" s="33" t="s">
        <v>301</v>
      </c>
      <c r="F71" s="50"/>
    </row>
    <row r="72" spans="2:6" ht="15">
      <c r="B72" s="48"/>
      <c r="C72" s="652" t="s">
        <v>646</v>
      </c>
      <c r="D72" s="653"/>
      <c r="E72" s="34"/>
      <c r="F72" s="50">
        <f>IF(E69/0.95-E69&lt;E72,"Exceeds 5%","")</f>
      </c>
    </row>
    <row r="73" spans="2:5" ht="15">
      <c r="B73" s="436" t="str">
        <f>CONCATENATE(C90,"     ",D90)</f>
        <v>     </v>
      </c>
      <c r="C73" s="654" t="s">
        <v>647</v>
      </c>
      <c r="D73" s="655"/>
      <c r="E73" s="32">
        <f>E69+E72</f>
        <v>0</v>
      </c>
    </row>
    <row r="74" spans="2:5" ht="15">
      <c r="B74" s="436" t="str">
        <f>CONCATENATE(C91,"     ",D91)</f>
        <v>     </v>
      </c>
      <c r="C74" s="60"/>
      <c r="D74" s="52" t="s">
        <v>28</v>
      </c>
      <c r="E74" s="46">
        <f>IF(E73-E58&gt;0,E73-E58,0)</f>
        <v>0</v>
      </c>
    </row>
    <row r="75" spans="2:5" ht="15">
      <c r="B75" s="52"/>
      <c r="C75" s="440" t="s">
        <v>648</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Palacky Township</v>
      </c>
      <c r="C1" s="14"/>
      <c r="D1" s="14"/>
      <c r="E1" s="15">
        <f>inputPrYr!D5</f>
        <v>2012</v>
      </c>
    </row>
    <row r="2" spans="2:5" ht="15">
      <c r="B2" s="17"/>
      <c r="C2" s="14"/>
      <c r="D2" s="62"/>
      <c r="E2" s="93"/>
    </row>
    <row r="3" spans="2:5" ht="15">
      <c r="B3" s="603" t="s">
        <v>750</v>
      </c>
      <c r="C3" s="77"/>
      <c r="D3" s="77"/>
      <c r="E3" s="77"/>
    </row>
    <row r="4" spans="2:5" ht="15">
      <c r="B4" s="22" t="s">
        <v>10</v>
      </c>
      <c r="C4" s="416" t="s">
        <v>11</v>
      </c>
      <c r="D4" s="419" t="s">
        <v>12</v>
      </c>
      <c r="E4" s="23" t="s">
        <v>13</v>
      </c>
    </row>
    <row r="5" spans="2:5" ht="15">
      <c r="B5" s="437">
        <f>inputPrYr!B21</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inputPrYr!E21</f>
        <v>0</v>
      </c>
      <c r="E8" s="33" t="s">
        <v>301</v>
      </c>
    </row>
    <row r="9" spans="2:5" ht="15">
      <c r="B9" s="27" t="s">
        <v>17</v>
      </c>
      <c r="C9" s="29"/>
      <c r="D9" s="29"/>
      <c r="E9" s="34"/>
    </row>
    <row r="10" spans="2:5" ht="15">
      <c r="B10" s="27" t="s">
        <v>18</v>
      </c>
      <c r="C10" s="29"/>
      <c r="D10" s="29"/>
      <c r="E10" s="32">
        <f>mvalloc!G16</f>
        <v>0</v>
      </c>
    </row>
    <row r="11" spans="2:5" ht="15">
      <c r="B11" s="27" t="s">
        <v>19</v>
      </c>
      <c r="C11" s="29"/>
      <c r="D11" s="29"/>
      <c r="E11" s="32">
        <f>mvalloc!I16</f>
        <v>0</v>
      </c>
    </row>
    <row r="12" spans="2:5" ht="15">
      <c r="B12" s="27" t="s">
        <v>102</v>
      </c>
      <c r="C12" s="29"/>
      <c r="D12" s="29"/>
      <c r="E12" s="32">
        <f>mvalloc!J16</f>
        <v>0</v>
      </c>
    </row>
    <row r="13" spans="2:5" ht="15">
      <c r="B13" s="27" t="s">
        <v>166</v>
      </c>
      <c r="C13" s="29"/>
      <c r="D13" s="29"/>
      <c r="E13" s="32">
        <f>mvalloc!K16</f>
        <v>0</v>
      </c>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225</v>
      </c>
      <c r="C29" s="29"/>
      <c r="D29" s="29"/>
      <c r="E29" s="46">
        <f>nhood!E11</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301</v>
      </c>
    </row>
    <row r="34" spans="2:6" ht="15">
      <c r="B34" s="48" t="str">
        <f>CONCATENATE("",E1-2,"/",E1-1," Budget Authority Amount:")</f>
        <v>2010/2011 Budget Authority Amount:</v>
      </c>
      <c r="C34" s="143">
        <f>inputOth!B51</f>
        <v>0</v>
      </c>
      <c r="D34" s="172">
        <f>inputPrYr!D21</f>
        <v>0</v>
      </c>
      <c r="E34" s="33" t="s">
        <v>301</v>
      </c>
      <c r="F34" s="50"/>
    </row>
    <row r="35" spans="2:6" ht="15">
      <c r="B35" s="48"/>
      <c r="C35" s="652" t="s">
        <v>646</v>
      </c>
      <c r="D35" s="653"/>
      <c r="E35" s="34"/>
      <c r="F35" s="50">
        <f>IF(E32/0.95-E32&lt;E35,"Exceeds 5%","")</f>
      </c>
    </row>
    <row r="36" spans="2:5" ht="15">
      <c r="B36" s="436" t="str">
        <f>CONCATENATE(C88,"     ",D88)</f>
        <v>     </v>
      </c>
      <c r="C36" s="654" t="s">
        <v>647</v>
      </c>
      <c r="D36" s="655"/>
      <c r="E36" s="32">
        <f>E32+E35</f>
        <v>0</v>
      </c>
    </row>
    <row r="37" spans="2:5" ht="15">
      <c r="B37" s="436" t="str">
        <f>CONCATENATE(C89,"     ",D89)</f>
        <v>     </v>
      </c>
      <c r="C37" s="60"/>
      <c r="D37" s="52" t="s">
        <v>28</v>
      </c>
      <c r="E37" s="46">
        <f>IF(E36-E21&gt;0,E36-E21,0)</f>
        <v>0</v>
      </c>
    </row>
    <row r="38" spans="2:5" ht="15">
      <c r="B38" s="52"/>
      <c r="C38" s="440" t="s">
        <v>648</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inputPrYr!B22</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inputPrYr!E22</f>
        <v>0</v>
      </c>
      <c r="E45" s="33" t="s">
        <v>301</v>
      </c>
    </row>
    <row r="46" spans="2:5" ht="15">
      <c r="B46" s="27" t="s">
        <v>17</v>
      </c>
      <c r="C46" s="29"/>
      <c r="D46" s="29"/>
      <c r="E46" s="34"/>
    </row>
    <row r="47" spans="2:5" ht="15">
      <c r="B47" s="27" t="s">
        <v>18</v>
      </c>
      <c r="C47" s="29"/>
      <c r="D47" s="29"/>
      <c r="E47" s="32">
        <f>mvalloc!G17</f>
        <v>0</v>
      </c>
    </row>
    <row r="48" spans="2:5" ht="15">
      <c r="B48" s="27" t="s">
        <v>19</v>
      </c>
      <c r="C48" s="29"/>
      <c r="D48" s="29"/>
      <c r="E48" s="32">
        <f>mvalloc!I17</f>
        <v>0</v>
      </c>
    </row>
    <row r="49" spans="2:5" ht="15">
      <c r="B49" s="27" t="s">
        <v>102</v>
      </c>
      <c r="C49" s="29"/>
      <c r="D49" s="29"/>
      <c r="E49" s="32">
        <f>mvalloc!J17</f>
        <v>0</v>
      </c>
    </row>
    <row r="50" spans="2:5" ht="15">
      <c r="B50" s="27" t="s">
        <v>166</v>
      </c>
      <c r="C50" s="29"/>
      <c r="D50" s="29"/>
      <c r="E50" s="32">
        <f>mvalloc!K17</f>
        <v>0</v>
      </c>
    </row>
    <row r="51" spans="2:5" ht="15">
      <c r="B51" s="38"/>
      <c r="C51" s="29"/>
      <c r="D51" s="29"/>
      <c r="E51" s="34"/>
    </row>
    <row r="52" spans="2:5" ht="15">
      <c r="B52" s="38"/>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nhood!E12</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301</v>
      </c>
    </row>
    <row r="71" spans="2:6" ht="15">
      <c r="B71" s="48" t="str">
        <f>CONCATENATE("",E1-2,"/",E1-1," Budget Authority Amount:")</f>
        <v>2010/2011 Budget Authority Amount:</v>
      </c>
      <c r="C71" s="143">
        <f>inputOth!B52</f>
        <v>0</v>
      </c>
      <c r="D71" s="172">
        <f>inputPrYr!D22</f>
        <v>0</v>
      </c>
      <c r="E71" s="33" t="s">
        <v>301</v>
      </c>
      <c r="F71" s="50"/>
    </row>
    <row r="72" spans="2:6" ht="15">
      <c r="B72" s="48"/>
      <c r="C72" s="652" t="s">
        <v>646</v>
      </c>
      <c r="D72" s="653"/>
      <c r="E72" s="602"/>
      <c r="F72" s="50">
        <f>IF(E69/0.95-E69&lt;E72,"Exceeds 5%","")</f>
      </c>
    </row>
    <row r="73" spans="2:6" ht="15">
      <c r="B73" s="436" t="str">
        <f>CONCATENATE(C90,"     ",D90)</f>
        <v>     </v>
      </c>
      <c r="C73" s="654" t="s">
        <v>647</v>
      </c>
      <c r="D73" s="655"/>
      <c r="E73" s="32">
        <f>E69+E72</f>
        <v>0</v>
      </c>
      <c r="F73" s="50"/>
    </row>
    <row r="74" spans="2:5" ht="15">
      <c r="B74" s="436" t="str">
        <f>CONCATENATE(C91,"     ",D91)</f>
        <v>     </v>
      </c>
      <c r="C74" s="60"/>
      <c r="D74" s="52" t="s">
        <v>28</v>
      </c>
      <c r="E74" s="46">
        <f>IF(E73-E58&gt;0,E73-E58,0)</f>
        <v>0</v>
      </c>
    </row>
    <row r="75" spans="2:5" ht="15">
      <c r="B75" s="52"/>
      <c r="C75" s="440" t="s">
        <v>648</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Palacky Township</v>
      </c>
      <c r="C1" s="14"/>
      <c r="D1" s="14"/>
      <c r="E1" s="15">
        <f>inputPrYr!D5</f>
        <v>2012</v>
      </c>
    </row>
    <row r="2" spans="2:5" ht="15">
      <c r="B2" s="17"/>
      <c r="C2" s="14"/>
      <c r="D2" s="62"/>
      <c r="E2" s="63"/>
    </row>
    <row r="3" spans="2:5" ht="15">
      <c r="B3" s="603" t="s">
        <v>750</v>
      </c>
      <c r="C3" s="77"/>
      <c r="D3" s="77"/>
      <c r="E3" s="77"/>
    </row>
    <row r="4" spans="2:5" ht="15">
      <c r="B4" s="22" t="s">
        <v>10</v>
      </c>
      <c r="C4" s="416" t="s">
        <v>11</v>
      </c>
      <c r="D4" s="419" t="s">
        <v>12</v>
      </c>
      <c r="E4" s="23" t="s">
        <v>13</v>
      </c>
    </row>
    <row r="5" spans="2:5" ht="15">
      <c r="B5" s="437">
        <f>inputPrYr!B23</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inputPrYr!E23</f>
        <v>0</v>
      </c>
      <c r="E8" s="33" t="s">
        <v>301</v>
      </c>
    </row>
    <row r="9" spans="2:5" ht="15">
      <c r="B9" s="27" t="s">
        <v>17</v>
      </c>
      <c r="C9" s="29"/>
      <c r="D9" s="29"/>
      <c r="E9" s="34"/>
    </row>
    <row r="10" spans="2:5" ht="15">
      <c r="B10" s="27" t="s">
        <v>18</v>
      </c>
      <c r="C10" s="29"/>
      <c r="D10" s="29"/>
      <c r="E10" s="32">
        <f>mvalloc!G18</f>
        <v>0</v>
      </c>
    </row>
    <row r="11" spans="2:5" ht="15">
      <c r="B11" s="27" t="s">
        <v>19</v>
      </c>
      <c r="C11" s="29"/>
      <c r="D11" s="29"/>
      <c r="E11" s="32">
        <f>mvalloc!I18</f>
        <v>0</v>
      </c>
    </row>
    <row r="12" spans="2:5" ht="15">
      <c r="B12" s="27" t="s">
        <v>102</v>
      </c>
      <c r="C12" s="29"/>
      <c r="D12" s="29"/>
      <c r="E12" s="32">
        <f>mvalloc!J18</f>
        <v>0</v>
      </c>
    </row>
    <row r="13" spans="2:5" ht="15">
      <c r="B13" s="27" t="s">
        <v>166</v>
      </c>
      <c r="C13" s="29"/>
      <c r="D13" s="29"/>
      <c r="E13" s="32">
        <f>mvalloc!K18</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29"/>
      <c r="C25" s="29"/>
      <c r="D25" s="29"/>
      <c r="E25" s="34"/>
    </row>
    <row r="26" spans="2:5" ht="15">
      <c r="B26" s="29"/>
      <c r="C26" s="29"/>
      <c r="D26" s="29"/>
      <c r="E26" s="34"/>
    </row>
    <row r="27" spans="2:5" ht="15">
      <c r="B27" s="38"/>
      <c r="C27" s="29"/>
      <c r="D27" s="29"/>
      <c r="E27" s="34"/>
    </row>
    <row r="28" spans="2:5" ht="15">
      <c r="B28" s="38"/>
      <c r="C28" s="29"/>
      <c r="D28" s="29"/>
      <c r="E28" s="34"/>
    </row>
    <row r="29" spans="2:5" ht="15">
      <c r="B29" s="35" t="s">
        <v>225</v>
      </c>
      <c r="C29" s="29"/>
      <c r="D29" s="29"/>
      <c r="E29" s="46">
        <f>nhood!E13</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301</v>
      </c>
    </row>
    <row r="34" spans="2:6" ht="15">
      <c r="B34" s="48" t="str">
        <f>CONCATENATE("",E1-2,"/",E1-1," Budget Authority Amount:")</f>
        <v>2010/2011 Budget Authority Amount:</v>
      </c>
      <c r="C34" s="143">
        <f>inputOth!B53</f>
        <v>0</v>
      </c>
      <c r="D34" s="172">
        <f>inputPrYr!D23</f>
        <v>0</v>
      </c>
      <c r="E34" s="33" t="s">
        <v>301</v>
      </c>
      <c r="F34" s="50"/>
    </row>
    <row r="35" spans="2:6" ht="15">
      <c r="B35" s="48"/>
      <c r="C35" s="652" t="s">
        <v>646</v>
      </c>
      <c r="D35" s="653"/>
      <c r="E35" s="34"/>
      <c r="F35" s="50">
        <f>IF(E32/0.95-E32&lt;E35,"Exceeds 5%","")</f>
      </c>
    </row>
    <row r="36" spans="2:5" ht="15">
      <c r="B36" s="436" t="str">
        <f>CONCATENATE(C88,"     ",D88)</f>
        <v>     </v>
      </c>
      <c r="C36" s="654" t="s">
        <v>647</v>
      </c>
      <c r="D36" s="655"/>
      <c r="E36" s="32">
        <f>E32+E35</f>
        <v>0</v>
      </c>
    </row>
    <row r="37" spans="2:5" ht="15">
      <c r="B37" s="436" t="str">
        <f>CONCATENATE(C89,"     ",D89)</f>
        <v>     </v>
      </c>
      <c r="C37" s="60"/>
      <c r="D37" s="52" t="s">
        <v>28</v>
      </c>
      <c r="E37" s="46">
        <f>IF(E36-E21&gt;0,E36-E21,0)</f>
        <v>0</v>
      </c>
    </row>
    <row r="38" spans="2:5" ht="15">
      <c r="B38" s="52"/>
      <c r="C38" s="440" t="s">
        <v>648</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inputPrYr!B24</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inputPrYr!E24</f>
        <v>0</v>
      </c>
      <c r="E45" s="33" t="s">
        <v>301</v>
      </c>
    </row>
    <row r="46" spans="2:5" ht="15">
      <c r="B46" s="27" t="s">
        <v>17</v>
      </c>
      <c r="C46" s="29"/>
      <c r="D46" s="29"/>
      <c r="E46" s="34"/>
    </row>
    <row r="47" spans="2:5" ht="15">
      <c r="B47" s="27" t="s">
        <v>18</v>
      </c>
      <c r="C47" s="29"/>
      <c r="D47" s="29"/>
      <c r="E47" s="32">
        <f>mvalloc!G19</f>
        <v>0</v>
      </c>
    </row>
    <row r="48" spans="2:5" ht="15">
      <c r="B48" s="27" t="s">
        <v>19</v>
      </c>
      <c r="C48" s="29"/>
      <c r="D48" s="29"/>
      <c r="E48" s="32">
        <f>mvalloc!I19</f>
        <v>0</v>
      </c>
    </row>
    <row r="49" spans="2:5" ht="15">
      <c r="B49" s="27" t="s">
        <v>102</v>
      </c>
      <c r="C49" s="29"/>
      <c r="D49" s="29"/>
      <c r="E49" s="32">
        <f>mvalloc!J19</f>
        <v>0</v>
      </c>
    </row>
    <row r="50" spans="2:5" ht="15">
      <c r="B50" s="27" t="s">
        <v>166</v>
      </c>
      <c r="C50" s="29"/>
      <c r="D50" s="29"/>
      <c r="E50" s="32">
        <f>mvalloc!K19</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nhood!E14</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301</v>
      </c>
    </row>
    <row r="71" spans="2:6" ht="15">
      <c r="B71" s="48" t="str">
        <f>CONCATENATE("",E1-2,"/",E1-1," Budget Authority Amount:")</f>
        <v>2010/2011 Budget Authority Amount:</v>
      </c>
      <c r="C71" s="143">
        <f>inputOth!B54</f>
        <v>0</v>
      </c>
      <c r="D71" s="172">
        <f>inputPrYr!D24</f>
        <v>0</v>
      </c>
      <c r="E71" s="33" t="s">
        <v>301</v>
      </c>
      <c r="F71" s="50"/>
    </row>
    <row r="72" spans="2:6" ht="15">
      <c r="B72" s="48"/>
      <c r="C72" s="652" t="s">
        <v>646</v>
      </c>
      <c r="D72" s="653"/>
      <c r="E72" s="34"/>
      <c r="F72" s="50">
        <f>IF(E69/0.95-E69&lt;E72,"Exceeds 5%","")</f>
      </c>
    </row>
    <row r="73" spans="2:5" ht="15">
      <c r="B73" s="48"/>
      <c r="C73" s="654" t="s">
        <v>647</v>
      </c>
      <c r="D73" s="655"/>
      <c r="E73" s="32">
        <f>E69+E72</f>
        <v>0</v>
      </c>
    </row>
    <row r="74" spans="2:5" ht="15">
      <c r="B74" s="48"/>
      <c r="C74" s="60"/>
      <c r="D74" s="52" t="s">
        <v>28</v>
      </c>
      <c r="E74" s="46">
        <f>IF(E73-E58&gt;0,E73-E58,0)</f>
        <v>0</v>
      </c>
    </row>
    <row r="75" spans="2:5" ht="15">
      <c r="B75" s="52"/>
      <c r="C75" s="440" t="s">
        <v>648</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
      <c r="B1" s="13" t="str">
        <f>inputPrYr!D2</f>
        <v>Palacky Township</v>
      </c>
      <c r="C1" s="14"/>
      <c r="D1" s="14"/>
      <c r="E1" s="15">
        <f>inputPrYr!D5</f>
        <v>2012</v>
      </c>
    </row>
    <row r="2" spans="2:5" ht="15">
      <c r="B2" s="14"/>
      <c r="C2" s="14"/>
      <c r="D2" s="14"/>
      <c r="E2" s="52"/>
    </row>
    <row r="3" spans="2:5" ht="15">
      <c r="B3" s="17" t="s">
        <v>146</v>
      </c>
      <c r="C3" s="77"/>
      <c r="D3" s="77"/>
      <c r="E3" s="77"/>
    </row>
    <row r="4" spans="2:5" ht="15">
      <c r="B4" s="22" t="s">
        <v>10</v>
      </c>
      <c r="C4" s="80" t="s">
        <v>11</v>
      </c>
      <c r="D4" s="23" t="s">
        <v>12</v>
      </c>
      <c r="E4" s="23" t="s">
        <v>13</v>
      </c>
    </row>
    <row r="5" spans="2:5" ht="15">
      <c r="B5" s="437">
        <f>inputPrYr!B28</f>
        <v>0</v>
      </c>
      <c r="C5" s="26" t="str">
        <f>gen!C5</f>
        <v>Actual 2010</v>
      </c>
      <c r="D5" s="26" t="str">
        <f>gen!D5</f>
        <v>Estimate 2011</v>
      </c>
      <c r="E5" s="26" t="str">
        <f>gen!E5</f>
        <v>Year 2012</v>
      </c>
    </row>
    <row r="6" spans="2:5" ht="15">
      <c r="B6" s="94" t="s">
        <v>147</v>
      </c>
      <c r="C6" s="34"/>
      <c r="D6" s="32">
        <f>C29</f>
        <v>0</v>
      </c>
      <c r="E6" s="32">
        <f>D29</f>
        <v>0</v>
      </c>
    </row>
    <row r="7" spans="2:5" s="16" customFormat="1" ht="15">
      <c r="B7" s="95" t="s">
        <v>123</v>
      </c>
      <c r="C7" s="96"/>
      <c r="D7" s="96"/>
      <c r="E7" s="96"/>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97" t="s">
        <v>22</v>
      </c>
      <c r="C12" s="34"/>
      <c r="D12" s="34"/>
      <c r="E12" s="34"/>
    </row>
    <row r="13" spans="2:5" ht="15">
      <c r="B13" s="39" t="s">
        <v>223</v>
      </c>
      <c r="C13" s="34"/>
      <c r="D13" s="30"/>
      <c r="E13" s="30"/>
    </row>
    <row r="14" spans="2:5" ht="15">
      <c r="B14" s="39" t="s">
        <v>224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223</v>
      </c>
      <c r="C26" s="34"/>
      <c r="D26" s="30"/>
      <c r="E26" s="30"/>
    </row>
    <row r="27" spans="2:5" ht="15">
      <c r="B27" s="35" t="s">
        <v>644</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122</v>
      </c>
      <c r="C29" s="46">
        <f>C16-C28</f>
        <v>0</v>
      </c>
      <c r="D29" s="46">
        <f>D16-D28</f>
        <v>0</v>
      </c>
      <c r="E29" s="46">
        <f>E16-E28</f>
        <v>0</v>
      </c>
    </row>
    <row r="30" spans="2:5" ht="15">
      <c r="B30" s="48" t="str">
        <f>CONCATENATE("",E1-2,"/",E1-1," Budget Authority Amount:")</f>
        <v>2010/2011 Budget Authority Amount:</v>
      </c>
      <c r="C30" s="143">
        <f>inputOth!B55</f>
        <v>0</v>
      </c>
      <c r="D30" s="143">
        <f>inputPrYr!D28</f>
        <v>0</v>
      </c>
      <c r="E30" s="435">
        <f>IF(E29&lt;0,"See Tab E","")</f>
      </c>
    </row>
    <row r="31" spans="2:5" ht="15">
      <c r="B31" s="48"/>
      <c r="C31" s="51">
        <f>IF(C28&gt;C30,"See Tab A","")</f>
      </c>
      <c r="D31" s="51">
        <f>IF(D28&gt;D30,"See Tab C","")</f>
      </c>
      <c r="E31" s="55"/>
    </row>
    <row r="32" spans="2:5" ht="15">
      <c r="B32" s="48"/>
      <c r="C32" s="51">
        <f>IF(C29&lt;0,"See Tab B","")</f>
      </c>
      <c r="D32" s="98">
        <f>IF(D29&lt;0,"See Tab D","")</f>
      </c>
      <c r="E32" s="55"/>
    </row>
    <row r="33" spans="2:5" ht="15">
      <c r="B33" s="14"/>
      <c r="C33" s="55"/>
      <c r="D33" s="55"/>
      <c r="E33" s="55"/>
    </row>
    <row r="34" spans="2:5" ht="15">
      <c r="B34" s="22" t="s">
        <v>10</v>
      </c>
      <c r="C34" s="77"/>
      <c r="D34" s="77"/>
      <c r="E34" s="77"/>
    </row>
    <row r="35" spans="2:5" ht="15">
      <c r="B35" s="14"/>
      <c r="C35" s="80" t="s">
        <v>11</v>
      </c>
      <c r="D35" s="23" t="s">
        <v>12</v>
      </c>
      <c r="E35" s="23" t="s">
        <v>13</v>
      </c>
    </row>
    <row r="36" spans="2:5" ht="15">
      <c r="B36" s="528">
        <f>inputPrYr!B29</f>
        <v>0</v>
      </c>
      <c r="C36" s="26" t="str">
        <f>C5</f>
        <v>Actual 2010</v>
      </c>
      <c r="D36" s="26" t="str">
        <f>D5</f>
        <v>Estimate 2011</v>
      </c>
      <c r="E36" s="26" t="str">
        <f>E5</f>
        <v>Year 2012</v>
      </c>
    </row>
    <row r="37" spans="2:5" ht="15">
      <c r="B37" s="94" t="s">
        <v>147</v>
      </c>
      <c r="C37" s="34"/>
      <c r="D37" s="32">
        <f>C60</f>
        <v>0</v>
      </c>
      <c r="E37" s="32">
        <f>D60</f>
        <v>0</v>
      </c>
    </row>
    <row r="38" spans="2:5" s="16" customFormat="1" ht="15">
      <c r="B38" s="94" t="s">
        <v>123</v>
      </c>
      <c r="C38" s="96"/>
      <c r="D38" s="96"/>
      <c r="E38" s="96"/>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97" t="s">
        <v>22</v>
      </c>
      <c r="C43" s="34"/>
      <c r="D43" s="34"/>
      <c r="E43" s="34"/>
    </row>
    <row r="44" spans="2:5" ht="15">
      <c r="B44" s="39" t="s">
        <v>223</v>
      </c>
      <c r="C44" s="34"/>
      <c r="D44" s="30"/>
      <c r="E44" s="30"/>
    </row>
    <row r="45" spans="2:5" ht="15">
      <c r="B45" s="39" t="s">
        <v>224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223</v>
      </c>
      <c r="C57" s="34"/>
      <c r="D57" s="30"/>
      <c r="E57" s="30"/>
    </row>
    <row r="58" spans="2:5" ht="15">
      <c r="B58" s="35" t="s">
        <v>644</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122</v>
      </c>
      <c r="C60" s="46">
        <f>C47-C59</f>
        <v>0</v>
      </c>
      <c r="D60" s="46">
        <f>D47-D59</f>
        <v>0</v>
      </c>
      <c r="E60" s="46">
        <f>E47-E59</f>
        <v>0</v>
      </c>
    </row>
    <row r="61" spans="2:5" ht="15">
      <c r="B61" s="48" t="str">
        <f>CONCATENATE("",E1-2,"/",E1-1," Budget Authority Amount:")</f>
        <v>2010/2011 Budget Authority Amount:</v>
      </c>
      <c r="C61" s="143">
        <f>inputOth!B56</f>
        <v>0</v>
      </c>
      <c r="D61" s="143">
        <f>inputPrYr!D29</f>
        <v>0</v>
      </c>
      <c r="E61" s="434">
        <f>IF(E60&lt;0,"See Tab E","")</f>
      </c>
    </row>
    <row r="62" spans="2:5" ht="15">
      <c r="B62" s="48"/>
      <c r="C62" s="51">
        <f>IF(C59&gt;C61,"See Tab A","")</f>
      </c>
      <c r="D62" s="51">
        <f>IF(D59&gt;D61,"See Tab C","")</f>
      </c>
      <c r="E62" s="14"/>
    </row>
    <row r="63" spans="2:5" ht="15">
      <c r="B63" s="48"/>
      <c r="C63" s="51">
        <f>IF(C60&lt;0,"See Tab B","")</f>
      </c>
      <c r="D63" s="98">
        <f>IF(D60&lt;0,"See Tab D","")</f>
      </c>
      <c r="E63" s="14"/>
    </row>
    <row r="64" spans="2:5" ht="15">
      <c r="B64" s="14"/>
      <c r="C64" s="14"/>
      <c r="D64" s="14"/>
      <c r="E64" s="14"/>
    </row>
    <row r="65" spans="2:5" ht="1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
      <c r="A1" s="99" t="str">
        <f>inputPrYr!$D$2</f>
        <v>Palacky Township</v>
      </c>
      <c r="B1" s="100"/>
      <c r="C1" s="101"/>
      <c r="D1" s="101"/>
      <c r="E1" s="101"/>
      <c r="F1" s="102" t="s">
        <v>337</v>
      </c>
      <c r="G1" s="101"/>
      <c r="H1" s="101"/>
      <c r="I1" s="101"/>
      <c r="J1" s="101"/>
      <c r="K1" s="101">
        <f>inputPrYr!$D$5</f>
        <v>2012</v>
      </c>
    </row>
    <row r="2" spans="1:11" ht="15">
      <c r="A2" s="101"/>
      <c r="B2" s="101"/>
      <c r="C2" s="101"/>
      <c r="D2" s="101"/>
      <c r="E2" s="101"/>
      <c r="F2" s="103" t="str">
        <f>CONCATENATE("(Only the actual budget year for ",K1-2," is to be shown)")</f>
        <v>(Only the actual budget year for 2010 is to be shown)</v>
      </c>
      <c r="G2" s="101"/>
      <c r="H2" s="101"/>
      <c r="I2" s="101"/>
      <c r="J2" s="101"/>
      <c r="K2" s="101"/>
    </row>
    <row r="3" spans="1:11" ht="15">
      <c r="A3" s="101" t="s">
        <v>338</v>
      </c>
      <c r="B3" s="101"/>
      <c r="C3" s="101"/>
      <c r="D3" s="101"/>
      <c r="E3" s="101"/>
      <c r="F3" s="100"/>
      <c r="G3" s="101"/>
      <c r="H3" s="101"/>
      <c r="I3" s="101"/>
      <c r="J3" s="101"/>
      <c r="K3" s="101"/>
    </row>
    <row r="4" spans="1:11" ht="15">
      <c r="A4" s="101" t="s">
        <v>339</v>
      </c>
      <c r="B4" s="101"/>
      <c r="C4" s="101" t="s">
        <v>340</v>
      </c>
      <c r="D4" s="101"/>
      <c r="E4" s="101" t="s">
        <v>341</v>
      </c>
      <c r="F4" s="100"/>
      <c r="G4" s="101" t="s">
        <v>342</v>
      </c>
      <c r="H4" s="101"/>
      <c r="I4" s="101" t="s">
        <v>343</v>
      </c>
      <c r="J4" s="101"/>
      <c r="K4" s="101"/>
    </row>
    <row r="5" spans="1:11" ht="15">
      <c r="A5" s="665">
        <f>inputPrYr!B33</f>
        <v>0</v>
      </c>
      <c r="B5" s="666"/>
      <c r="C5" s="665">
        <f>inputPrYr!B34</f>
        <v>0</v>
      </c>
      <c r="D5" s="666"/>
      <c r="E5" s="665">
        <f>inputPrYr!B35</f>
        <v>0</v>
      </c>
      <c r="F5" s="666"/>
      <c r="G5" s="667">
        <f>inputPrYr!B36</f>
        <v>0</v>
      </c>
      <c r="H5" s="666"/>
      <c r="I5" s="667">
        <f>inputPrYr!B37</f>
        <v>0</v>
      </c>
      <c r="J5" s="666"/>
      <c r="K5" s="105"/>
    </row>
    <row r="6" spans="1:11" ht="15">
      <c r="A6" s="106" t="s">
        <v>344</v>
      </c>
      <c r="B6" s="107"/>
      <c r="C6" s="108" t="s">
        <v>344</v>
      </c>
      <c r="D6" s="109"/>
      <c r="E6" s="108" t="s">
        <v>344</v>
      </c>
      <c r="F6" s="110"/>
      <c r="G6" s="108" t="s">
        <v>344</v>
      </c>
      <c r="H6" s="104"/>
      <c r="I6" s="108" t="s">
        <v>344</v>
      </c>
      <c r="J6" s="101"/>
      <c r="K6" s="111" t="s">
        <v>287</v>
      </c>
    </row>
    <row r="7" spans="1:11" ht="15">
      <c r="A7" s="112" t="s">
        <v>345</v>
      </c>
      <c r="B7" s="113"/>
      <c r="C7" s="114" t="s">
        <v>345</v>
      </c>
      <c r="D7" s="113"/>
      <c r="E7" s="114" t="s">
        <v>345</v>
      </c>
      <c r="F7" s="113"/>
      <c r="G7" s="114" t="s">
        <v>345</v>
      </c>
      <c r="H7" s="113"/>
      <c r="I7" s="114" t="s">
        <v>345</v>
      </c>
      <c r="J7" s="113"/>
      <c r="K7" s="115">
        <f>SUM(B7+D7+F7+H7+J7)</f>
        <v>0</v>
      </c>
    </row>
    <row r="8" spans="1:11" ht="15">
      <c r="A8" s="116" t="s">
        <v>123</v>
      </c>
      <c r="B8" s="117"/>
      <c r="C8" s="116" t="s">
        <v>123</v>
      </c>
      <c r="D8" s="118"/>
      <c r="E8" s="116" t="s">
        <v>123</v>
      </c>
      <c r="F8" s="100"/>
      <c r="G8" s="116" t="s">
        <v>123</v>
      </c>
      <c r="H8" s="101"/>
      <c r="I8" s="116" t="s">
        <v>123</v>
      </c>
      <c r="J8" s="101"/>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
      <c r="A19" s="116" t="s">
        <v>25</v>
      </c>
      <c r="B19" s="117"/>
      <c r="C19" s="116" t="s">
        <v>25</v>
      </c>
      <c r="D19" s="118"/>
      <c r="E19" s="116" t="s">
        <v>25</v>
      </c>
      <c r="F19" s="100"/>
      <c r="G19" s="116" t="s">
        <v>25</v>
      </c>
      <c r="H19" s="101"/>
      <c r="I19" s="116" t="s">
        <v>25</v>
      </c>
      <c r="J19" s="101"/>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
      <c r="A31" s="101"/>
      <c r="B31" s="131"/>
      <c r="C31" s="101"/>
      <c r="D31" s="100"/>
      <c r="E31" s="101"/>
      <c r="F31" s="101"/>
      <c r="G31" s="132" t="s">
        <v>348</v>
      </c>
      <c r="H31" s="132"/>
      <c r="I31" s="132"/>
      <c r="J31" s="132"/>
      <c r="K31" s="101"/>
    </row>
    <row r="32" spans="1:11" ht="15">
      <c r="A32" s="101"/>
      <c r="B32" s="131"/>
      <c r="C32" s="101"/>
      <c r="D32" s="101"/>
      <c r="E32" s="101"/>
      <c r="F32" s="101"/>
      <c r="G32" s="101"/>
      <c r="H32" s="101"/>
      <c r="I32" s="101"/>
      <c r="J32" s="101"/>
      <c r="K32" s="101"/>
    </row>
    <row r="33" spans="1:11" ht="15">
      <c r="A33" s="101"/>
      <c r="B33" s="131"/>
      <c r="C33" s="101"/>
      <c r="D33" s="101"/>
      <c r="E33" s="133" t="s">
        <v>9</v>
      </c>
      <c r="F33" s="76"/>
      <c r="G33" s="101"/>
      <c r="H33" s="101"/>
      <c r="I33" s="101"/>
      <c r="J33" s="101"/>
      <c r="K33" s="101"/>
    </row>
    <row r="34" ht="15">
      <c r="B34" s="134"/>
    </row>
    <row r="35" ht="15">
      <c r="B35" s="134"/>
    </row>
    <row r="36" ht="15">
      <c r="B36" s="134"/>
    </row>
    <row r="37" ht="15">
      <c r="B37" s="134"/>
    </row>
    <row r="38" ht="15">
      <c r="B38" s="134"/>
    </row>
    <row r="39" ht="15">
      <c r="B39" s="134"/>
    </row>
    <row r="40" ht="15">
      <c r="B40" s="134"/>
    </row>
    <row r="41" ht="1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
      <c r="A3" s="177"/>
    </row>
    <row r="4" ht="56.25" customHeight="1">
      <c r="A4" s="176" t="s">
        <v>358</v>
      </c>
    </row>
    <row r="5" ht="15">
      <c r="A5" s="91"/>
    </row>
    <row r="6" ht="50.25" customHeight="1">
      <c r="A6" s="176" t="s">
        <v>359</v>
      </c>
    </row>
    <row r="7" ht="16.5" customHeight="1">
      <c r="A7" s="176"/>
    </row>
    <row r="8" ht="50.25" customHeight="1">
      <c r="A8" s="532" t="s">
        <v>743</v>
      </c>
    </row>
    <row r="9" ht="15">
      <c r="A9" s="177"/>
    </row>
    <row r="10" ht="40.5" customHeight="1">
      <c r="A10" s="176" t="s">
        <v>360</v>
      </c>
    </row>
    <row r="11" ht="15">
      <c r="A11" s="91"/>
    </row>
    <row r="12" ht="40.5" customHeight="1">
      <c r="A12" s="176" t="s">
        <v>361</v>
      </c>
    </row>
    <row r="13" ht="15">
      <c r="A13" s="177"/>
    </row>
    <row r="14" ht="71.25" customHeight="1">
      <c r="A14" s="176" t="s">
        <v>362</v>
      </c>
    </row>
    <row r="15" ht="15">
      <c r="A15" s="177"/>
    </row>
    <row r="16" ht="40.5" customHeight="1">
      <c r="A16" s="176" t="s">
        <v>363</v>
      </c>
    </row>
    <row r="17" ht="15">
      <c r="A17" s="91"/>
    </row>
    <row r="18" ht="49.5" customHeight="1">
      <c r="A18" s="176" t="s">
        <v>364</v>
      </c>
    </row>
    <row r="19" ht="15">
      <c r="A19" s="177"/>
    </row>
    <row r="20" ht="52.5" customHeight="1">
      <c r="A20" s="176" t="s">
        <v>365</v>
      </c>
    </row>
    <row r="21" ht="15">
      <c r="A21" s="177"/>
    </row>
    <row r="22" ht="48.75" customHeight="1">
      <c r="A22" s="176" t="s">
        <v>366</v>
      </c>
    </row>
    <row r="23" ht="15">
      <c r="A23" s="177"/>
    </row>
    <row r="24" ht="1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6">
      <selection activeCell="E69" sqref="E6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31" t="s">
        <v>281</v>
      </c>
      <c r="B1" s="14"/>
      <c r="C1" s="14"/>
      <c r="D1" s="14"/>
      <c r="E1" s="14"/>
    </row>
    <row r="2" spans="1:5" ht="15">
      <c r="A2" s="79" t="s">
        <v>237</v>
      </c>
      <c r="B2" s="14"/>
      <c r="C2" s="14"/>
      <c r="D2" s="408" t="s">
        <v>813</v>
      </c>
      <c r="E2" s="19"/>
    </row>
    <row r="3" spans="1:5" ht="15">
      <c r="A3" s="79" t="s">
        <v>236</v>
      </c>
      <c r="B3" s="14"/>
      <c r="C3" s="14"/>
      <c r="D3" s="409" t="s">
        <v>814</v>
      </c>
      <c r="E3" s="19"/>
    </row>
    <row r="4" spans="1:5" ht="15">
      <c r="A4" s="14"/>
      <c r="B4" s="14"/>
      <c r="C4" s="14"/>
      <c r="D4" s="14"/>
      <c r="E4" s="14"/>
    </row>
    <row r="5" spans="1:5" ht="15">
      <c r="A5" s="17" t="s">
        <v>149</v>
      </c>
      <c r="B5" s="14"/>
      <c r="C5" s="14"/>
      <c r="D5" s="332">
        <v>2012</v>
      </c>
      <c r="E5" s="14"/>
    </row>
    <row r="6" spans="1:5" ht="15">
      <c r="A6" s="14"/>
      <c r="B6" s="14"/>
      <c r="C6" s="14"/>
      <c r="D6" s="14"/>
      <c r="E6" s="14"/>
    </row>
    <row r="7" spans="1:5" ht="15">
      <c r="A7" s="155" t="s">
        <v>151</v>
      </c>
      <c r="B7" s="159"/>
      <c r="C7" s="159"/>
      <c r="D7" s="159"/>
      <c r="E7" s="159"/>
    </row>
    <row r="8" spans="1:5" ht="15">
      <c r="A8" s="155" t="s">
        <v>208</v>
      </c>
      <c r="B8" s="159"/>
      <c r="C8" s="159"/>
      <c r="D8" s="159"/>
      <c r="E8" s="159"/>
    </row>
    <row r="9" spans="1:5" ht="15">
      <c r="A9" s="14"/>
      <c r="B9" s="14"/>
      <c r="C9" s="14"/>
      <c r="D9" s="14"/>
      <c r="E9" s="14"/>
    </row>
    <row r="10" spans="1:5" ht="15">
      <c r="A10" s="613" t="s">
        <v>162</v>
      </c>
      <c r="B10" s="614"/>
      <c r="C10" s="614"/>
      <c r="D10" s="614"/>
      <c r="E10" s="614"/>
    </row>
    <row r="11" spans="1:5" ht="15">
      <c r="A11" s="79"/>
      <c r="B11" s="14"/>
      <c r="C11" s="14"/>
      <c r="D11" s="14"/>
      <c r="E11" s="14"/>
    </row>
    <row r="12" spans="1:5" ht="15">
      <c r="A12" s="333" t="s">
        <v>150</v>
      </c>
      <c r="B12" s="319"/>
      <c r="C12" s="14"/>
      <c r="D12" s="49"/>
      <c r="E12" s="334"/>
    </row>
    <row r="13" spans="1:5" ht="15">
      <c r="A13" s="335" t="str">
        <f>CONCATENATE("the ",D5-1," Budget, Certificate Page:")</f>
        <v>the 2011 Budget, Certificate Page:</v>
      </c>
      <c r="B13" s="336"/>
      <c r="C13" s="49"/>
      <c r="D13" s="14"/>
      <c r="E13" s="14"/>
    </row>
    <row r="14" spans="1:5" ht="15">
      <c r="A14" s="335" t="s">
        <v>327</v>
      </c>
      <c r="B14" s="336"/>
      <c r="C14" s="49"/>
      <c r="D14" s="337">
        <f>$D$5-1</f>
        <v>2011</v>
      </c>
      <c r="E14" s="338">
        <f>$D$5-2</f>
        <v>2010</v>
      </c>
    </row>
    <row r="15" spans="1:5" ht="15">
      <c r="A15" s="22" t="s">
        <v>283</v>
      </c>
      <c r="B15" s="14"/>
      <c r="C15" s="339" t="s">
        <v>282</v>
      </c>
      <c r="D15" s="340" t="s">
        <v>355</v>
      </c>
      <c r="E15" s="341" t="s">
        <v>16</v>
      </c>
    </row>
    <row r="16" spans="1:5" ht="15">
      <c r="A16" s="14"/>
      <c r="B16" s="83" t="s">
        <v>284</v>
      </c>
      <c r="C16" s="172" t="s">
        <v>285</v>
      </c>
      <c r="D16" s="200"/>
      <c r="E16" s="200"/>
    </row>
    <row r="17" spans="1:5" ht="15">
      <c r="A17" s="14"/>
      <c r="B17" s="83" t="s">
        <v>311</v>
      </c>
      <c r="C17" s="172" t="s">
        <v>156</v>
      </c>
      <c r="D17" s="200"/>
      <c r="E17" s="200"/>
    </row>
    <row r="18" spans="1:5" ht="15">
      <c r="A18" s="14"/>
      <c r="B18" s="83" t="s">
        <v>286</v>
      </c>
      <c r="C18" s="192" t="s">
        <v>326</v>
      </c>
      <c r="D18" s="200">
        <v>58634</v>
      </c>
      <c r="E18" s="200">
        <v>53717</v>
      </c>
    </row>
    <row r="19" spans="1:5" ht="15">
      <c r="A19" s="14"/>
      <c r="B19" s="410"/>
      <c r="C19" s="411"/>
      <c r="D19" s="200"/>
      <c r="E19" s="200"/>
    </row>
    <row r="20" spans="1:5" ht="15">
      <c r="A20" s="14"/>
      <c r="B20" s="200"/>
      <c r="C20" s="429"/>
      <c r="D20" s="200"/>
      <c r="E20" s="200"/>
    </row>
    <row r="21" spans="1:5" ht="15">
      <c r="A21" s="14"/>
      <c r="B21" s="87"/>
      <c r="C21" s="429"/>
      <c r="D21" s="200"/>
      <c r="E21" s="200"/>
    </row>
    <row r="22" spans="1:5" ht="15">
      <c r="A22" s="14"/>
      <c r="B22" s="87"/>
      <c r="C22" s="429"/>
      <c r="D22" s="200"/>
      <c r="E22" s="200"/>
    </row>
    <row r="23" spans="1:5" ht="15">
      <c r="A23" s="14"/>
      <c r="B23" s="87"/>
      <c r="C23" s="429"/>
      <c r="D23" s="200"/>
      <c r="E23" s="200"/>
    </row>
    <row r="24" spans="1:5" ht="15">
      <c r="A24" s="14"/>
      <c r="B24" s="87"/>
      <c r="C24" s="429"/>
      <c r="D24" s="200"/>
      <c r="E24" s="200"/>
    </row>
    <row r="25" spans="1:5" ht="15">
      <c r="A25" s="342" t="str">
        <f>CONCATENATE("Total Ad Valorem Tax for ",D5-1," Budgeted Year")</f>
        <v>Total Ad Valorem Tax for 2011 Budgeted Year</v>
      </c>
      <c r="B25" s="20"/>
      <c r="C25" s="291"/>
      <c r="D25" s="343"/>
      <c r="E25" s="344">
        <f>SUM(E16:E24)</f>
        <v>53717</v>
      </c>
    </row>
    <row r="26" spans="1:5" ht="15">
      <c r="A26" s="19"/>
      <c r="B26" s="19"/>
      <c r="C26" s="19"/>
      <c r="D26" s="24"/>
      <c r="E26" s="151"/>
    </row>
    <row r="27" spans="1:5" ht="15">
      <c r="A27" s="14" t="s">
        <v>145</v>
      </c>
      <c r="B27" s="14"/>
      <c r="C27" s="14"/>
      <c r="D27" s="14"/>
      <c r="E27" s="14"/>
    </row>
    <row r="28" spans="1:5" ht="15">
      <c r="A28" s="14"/>
      <c r="B28" s="241"/>
      <c r="C28" s="14"/>
      <c r="D28" s="36"/>
      <c r="E28" s="19"/>
    </row>
    <row r="29" spans="1:5" ht="15">
      <c r="A29" s="14"/>
      <c r="B29" s="241"/>
      <c r="C29" s="14"/>
      <c r="D29" s="36"/>
      <c r="E29" s="19"/>
    </row>
    <row r="30" spans="1:5" ht="15">
      <c r="A30" s="342" t="str">
        <f>CONCATENATE("Total Expenditures for ",D5-1,"")</f>
        <v>Total Expenditures for 2011</v>
      </c>
      <c r="B30" s="345"/>
      <c r="C30" s="283"/>
      <c r="D30" s="169">
        <f>SUM(D16:D24,D28:D29)</f>
        <v>58634</v>
      </c>
      <c r="E30" s="14"/>
    </row>
    <row r="31" spans="1:5" ht="15">
      <c r="A31" s="14"/>
      <c r="B31" s="14"/>
      <c r="C31" s="14"/>
      <c r="D31" s="14"/>
      <c r="E31" s="14"/>
    </row>
    <row r="32" spans="1:5" ht="15">
      <c r="A32" s="300" t="s">
        <v>349</v>
      </c>
      <c r="B32" s="19"/>
      <c r="C32" s="14"/>
      <c r="D32" s="14"/>
      <c r="E32" s="14"/>
    </row>
    <row r="33" spans="1:5" ht="15">
      <c r="A33" s="346">
        <v>1</v>
      </c>
      <c r="B33" s="241"/>
      <c r="C33" s="14"/>
      <c r="D33" s="14"/>
      <c r="E33" s="14"/>
    </row>
    <row r="34" spans="1:5" ht="15">
      <c r="A34" s="346">
        <v>2</v>
      </c>
      <c r="B34" s="241"/>
      <c r="C34" s="14"/>
      <c r="D34" s="14"/>
      <c r="E34" s="14"/>
    </row>
    <row r="35" spans="1:5" ht="15">
      <c r="A35" s="346">
        <v>3</v>
      </c>
      <c r="B35" s="241"/>
      <c r="C35" s="14"/>
      <c r="D35" s="14"/>
      <c r="E35" s="14"/>
    </row>
    <row r="36" spans="1:5" ht="15">
      <c r="A36" s="346">
        <v>4</v>
      </c>
      <c r="B36" s="241"/>
      <c r="C36" s="14"/>
      <c r="D36" s="14"/>
      <c r="E36" s="14"/>
    </row>
    <row r="37" spans="1:5" ht="15">
      <c r="A37" s="346">
        <v>5</v>
      </c>
      <c r="B37" s="241"/>
      <c r="C37" s="14"/>
      <c r="D37" s="14"/>
      <c r="E37" s="14"/>
    </row>
    <row r="38" spans="1:5" ht="15">
      <c r="A38" s="14"/>
      <c r="B38" s="14"/>
      <c r="C38" s="14"/>
      <c r="D38" s="14"/>
      <c r="E38" s="14"/>
    </row>
    <row r="39" spans="1:5" ht="15.75" customHeight="1">
      <c r="A39" s="333" t="s">
        <v>150</v>
      </c>
      <c r="B39" s="319"/>
      <c r="C39" s="14"/>
      <c r="D39" s="611" t="str">
        <f>CONCATENATE("",D5-3," Tax Rate                    (",D5-2," Column)")</f>
        <v>2009 Tax Rate                    (2010 Column)</v>
      </c>
      <c r="E39" s="14"/>
    </row>
    <row r="40" spans="1:5" ht="15">
      <c r="A40" s="335" t="str">
        <f>CONCATENATE("the ",D5-1," Budget, Budget Summary Page:")</f>
        <v>the 2011 Budget, Budget Summary Page:</v>
      </c>
      <c r="B40" s="307"/>
      <c r="C40" s="14"/>
      <c r="D40" s="612"/>
      <c r="E40" s="14"/>
    </row>
    <row r="41" spans="1:5" ht="15">
      <c r="A41" s="14"/>
      <c r="B41" s="96" t="str">
        <f aca="true" t="shared" si="0" ref="B41:B49">B16</f>
        <v>General</v>
      </c>
      <c r="C41" s="14"/>
      <c r="D41" s="347"/>
      <c r="E41" s="14"/>
    </row>
    <row r="42" spans="1:5" ht="15">
      <c r="A42" s="14"/>
      <c r="B42" s="96" t="str">
        <f t="shared" si="0"/>
        <v>Debt Service</v>
      </c>
      <c r="C42" s="14"/>
      <c r="D42" s="348"/>
      <c r="E42" s="14"/>
    </row>
    <row r="43" spans="1:5" ht="15">
      <c r="A43" s="14"/>
      <c r="B43" s="96" t="str">
        <f t="shared" si="0"/>
        <v>Road</v>
      </c>
      <c r="C43" s="14"/>
      <c r="D43" s="348">
        <v>20.232</v>
      </c>
      <c r="E43" s="14"/>
    </row>
    <row r="44" spans="1:5" ht="15">
      <c r="A44" s="14"/>
      <c r="B44" s="83">
        <f t="shared" si="0"/>
        <v>0</v>
      </c>
      <c r="C44" s="14"/>
      <c r="D44" s="348"/>
      <c r="E44" s="14"/>
    </row>
    <row r="45" spans="1:5" ht="15">
      <c r="A45" s="14"/>
      <c r="B45" s="83">
        <f t="shared" si="0"/>
        <v>0</v>
      </c>
      <c r="C45" s="14"/>
      <c r="D45" s="348"/>
      <c r="E45" s="14"/>
    </row>
    <row r="46" spans="1:5" ht="15">
      <c r="A46" s="14"/>
      <c r="B46" s="83">
        <f t="shared" si="0"/>
        <v>0</v>
      </c>
      <c r="C46" s="14"/>
      <c r="D46" s="348"/>
      <c r="E46" s="14"/>
    </row>
    <row r="47" spans="1:5" ht="15">
      <c r="A47" s="14"/>
      <c r="B47" s="83">
        <f t="shared" si="0"/>
        <v>0</v>
      </c>
      <c r="C47" s="14"/>
      <c r="D47" s="348"/>
      <c r="E47" s="14"/>
    </row>
    <row r="48" spans="1:5" ht="15">
      <c r="A48" s="14"/>
      <c r="B48" s="83">
        <f t="shared" si="0"/>
        <v>0</v>
      </c>
      <c r="C48" s="14"/>
      <c r="D48" s="348"/>
      <c r="E48" s="14"/>
    </row>
    <row r="49" spans="1:5" ht="15">
      <c r="A49" s="14"/>
      <c r="B49" s="83">
        <f t="shared" si="0"/>
        <v>0</v>
      </c>
      <c r="C49" s="14"/>
      <c r="D49" s="348"/>
      <c r="E49" s="14"/>
    </row>
    <row r="50" spans="1:5" ht="15.75" thickBot="1">
      <c r="A50" s="82" t="str">
        <f>CONCATENATE("Total ",D5-3," Tax Levy Rate")</f>
        <v>Total 2009 Tax Levy Rate</v>
      </c>
      <c r="B50" s="349"/>
      <c r="C50" s="283"/>
      <c r="D50" s="350">
        <f>SUM(D41:D49)</f>
        <v>20.232</v>
      </c>
      <c r="E50" s="14"/>
    </row>
    <row r="51" spans="1:5" ht="15.75" thickTop="1">
      <c r="A51" s="14"/>
      <c r="B51" s="14"/>
      <c r="C51" s="14"/>
      <c r="D51" s="14"/>
      <c r="E51" s="14"/>
    </row>
    <row r="52" spans="1:5" ht="15">
      <c r="A52" s="351" t="str">
        <f>CONCATENATE("Total Tax Levied (",D5-2," budget column)")</f>
        <v>Total Tax Levied (2010 budget column)</v>
      </c>
      <c r="B52" s="352"/>
      <c r="C52" s="20"/>
      <c r="D52" s="283"/>
      <c r="E52" s="200">
        <v>45121</v>
      </c>
    </row>
    <row r="53" spans="1:5" ht="15">
      <c r="A53" s="353" t="str">
        <f>CONCATENATE("Assessed Valuation (",D5-2," budget column)")</f>
        <v>Assessed Valuation (2010 budget column)</v>
      </c>
      <c r="B53" s="354"/>
      <c r="C53" s="291"/>
      <c r="D53" s="28"/>
      <c r="E53" s="200">
        <v>2230197</v>
      </c>
    </row>
    <row r="54" spans="1:5" ht="15">
      <c r="A54" s="300"/>
      <c r="B54" s="19"/>
      <c r="C54" s="19"/>
      <c r="D54" s="19"/>
      <c r="E54" s="310"/>
    </row>
    <row r="55" spans="1:5" ht="15">
      <c r="A55" s="14"/>
      <c r="B55" s="14"/>
      <c r="C55" s="14"/>
      <c r="D55" s="14"/>
      <c r="E55" s="55"/>
    </row>
    <row r="56" spans="1:5" ht="15">
      <c r="A56" s="319" t="s">
        <v>209</v>
      </c>
      <c r="B56" s="319"/>
      <c r="C56" s="140"/>
      <c r="D56" s="355">
        <f>D5-3</f>
        <v>2009</v>
      </c>
      <c r="E56" s="355">
        <f>D5-2</f>
        <v>2010</v>
      </c>
    </row>
    <row r="57" spans="1:5" ht="15">
      <c r="A57" s="352" t="s">
        <v>171</v>
      </c>
      <c r="B57" s="352"/>
      <c r="C57" s="356"/>
      <c r="D57" s="36"/>
      <c r="E57" s="36">
        <v>0</v>
      </c>
    </row>
    <row r="58" spans="1:5" ht="15">
      <c r="A58" s="354" t="s">
        <v>172</v>
      </c>
      <c r="B58" s="354"/>
      <c r="C58" s="357"/>
      <c r="D58" s="36"/>
      <c r="E58" s="36">
        <v>0</v>
      </c>
    </row>
    <row r="59" spans="1:5" ht="15">
      <c r="A59" s="354" t="s">
        <v>173</v>
      </c>
      <c r="B59" s="354"/>
      <c r="C59" s="357"/>
      <c r="D59" s="36"/>
      <c r="E59" s="36">
        <v>0</v>
      </c>
    </row>
    <row r="60" spans="1:5" ht="15">
      <c r="A60" s="354"/>
      <c r="B60" s="354"/>
      <c r="C60" s="358"/>
      <c r="D60" s="36"/>
      <c r="E60" s="36"/>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59"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91" customFormat="1" ht="15">
      <c r="A81" s="12"/>
      <c r="B81" s="12"/>
      <c r="C81" s="12"/>
      <c r="D81" s="12"/>
      <c r="E81" s="12"/>
      <c r="G81" s="16"/>
    </row>
    <row r="82" spans="1:7" s="91"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36">
      <selection activeCell="E51" sqref="E5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55" t="s">
        <v>73</v>
      </c>
      <c r="C1" s="156"/>
      <c r="D1" s="156"/>
      <c r="E1" s="156"/>
      <c r="F1" s="156"/>
      <c r="G1" s="156"/>
      <c r="H1" s="156"/>
      <c r="I1" s="156">
        <f>inputPrYr!D5</f>
        <v>2012</v>
      </c>
    </row>
    <row r="2" spans="2:9" ht="15">
      <c r="B2" s="14"/>
      <c r="C2" s="14"/>
      <c r="D2" s="14"/>
      <c r="E2" s="14"/>
      <c r="F2" s="14"/>
      <c r="G2" s="22" t="s">
        <v>37</v>
      </c>
      <c r="H2" s="22" t="s">
        <v>38</v>
      </c>
      <c r="I2" s="14"/>
    </row>
    <row r="3" spans="2:9" ht="15">
      <c r="B3" s="635" t="s">
        <v>39</v>
      </c>
      <c r="C3" s="635"/>
      <c r="D3" s="635"/>
      <c r="E3" s="635"/>
      <c r="F3" s="635"/>
      <c r="G3" s="635"/>
      <c r="H3" s="635"/>
      <c r="I3" s="635"/>
    </row>
    <row r="4" spans="2:9" ht="15">
      <c r="B4" s="679" t="str">
        <f>inputPrYr!D2</f>
        <v>Palacky Township</v>
      </c>
      <c r="C4" s="679"/>
      <c r="D4" s="679"/>
      <c r="E4" s="679"/>
      <c r="F4" s="679"/>
      <c r="G4" s="679"/>
      <c r="H4" s="679"/>
      <c r="I4" s="679"/>
    </row>
    <row r="5" spans="2:9" ht="15">
      <c r="B5" s="679" t="str">
        <f>inputPrYr!D3</f>
        <v>Ellsworth County</v>
      </c>
      <c r="C5" s="679"/>
      <c r="D5" s="679"/>
      <c r="E5" s="679"/>
      <c r="F5" s="679"/>
      <c r="G5" s="679"/>
      <c r="H5" s="679"/>
      <c r="I5" s="679"/>
    </row>
    <row r="6" spans="2:9" ht="15">
      <c r="B6" s="678" t="str">
        <f>CONCATENATE("will meet on ",inputBudSum!B5," at ",inputBudSum!B7," at ",inputBudSum!B9," for the purpose of hearing and")</f>
        <v>will meet on August 1, 2011 at 7:30 p.m. at Holyrood Fire Station for the purpose of hearing and</v>
      </c>
      <c r="C6" s="678"/>
      <c r="D6" s="678"/>
      <c r="E6" s="678"/>
      <c r="F6" s="678"/>
      <c r="G6" s="678"/>
      <c r="H6" s="678"/>
      <c r="I6" s="678"/>
    </row>
    <row r="7" spans="2:9" ht="15">
      <c r="B7" s="158" t="s">
        <v>625</v>
      </c>
      <c r="C7" s="156"/>
      <c r="D7" s="156"/>
      <c r="E7" s="156"/>
      <c r="F7" s="156"/>
      <c r="G7" s="156"/>
      <c r="H7" s="156"/>
      <c r="I7" s="156"/>
    </row>
    <row r="8" spans="2:9" ht="15">
      <c r="B8" s="382" t="str">
        <f>CONCATENATE("Detailed budget information is available at ",inputBudSum!B12," and will be available at this hearing.")</f>
        <v>Detailed budget information is available at County Clerk's Office and will be available at this hearing.</v>
      </c>
      <c r="C8" s="381"/>
      <c r="D8" s="381"/>
      <c r="E8" s="381"/>
      <c r="F8" s="381"/>
      <c r="G8" s="381"/>
      <c r="H8" s="381"/>
      <c r="I8" s="381"/>
    </row>
    <row r="9" spans="2:9" ht="15">
      <c r="B9" s="155" t="s">
        <v>74</v>
      </c>
      <c r="C9" s="159"/>
      <c r="D9" s="159"/>
      <c r="E9" s="159"/>
      <c r="F9" s="159"/>
      <c r="G9" s="159"/>
      <c r="H9" s="159"/>
      <c r="I9" s="159"/>
    </row>
    <row r="10" spans="2:9" ht="1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
      <c r="B12" s="22"/>
      <c r="C12" s="19"/>
      <c r="D12" s="19"/>
      <c r="E12" s="19"/>
      <c r="F12" s="19"/>
      <c r="G12" s="19"/>
      <c r="H12" s="19"/>
      <c r="I12" s="19"/>
      <c r="J12" s="160"/>
    </row>
    <row r="13" spans="2:10" ht="1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
      <c r="B15" s="14"/>
      <c r="C15" s="167"/>
      <c r="D15" s="167" t="s">
        <v>41</v>
      </c>
      <c r="E15" s="167"/>
      <c r="F15" s="167" t="s">
        <v>41</v>
      </c>
      <c r="G15" s="167" t="s">
        <v>219</v>
      </c>
      <c r="H15" s="676"/>
      <c r="I15" s="167" t="s">
        <v>41</v>
      </c>
      <c r="J15" s="160"/>
    </row>
    <row r="16" spans="2:10" ht="15">
      <c r="B16" s="25" t="s">
        <v>297</v>
      </c>
      <c r="C16" s="26" t="s">
        <v>42</v>
      </c>
      <c r="D16" s="26" t="s">
        <v>43</v>
      </c>
      <c r="E16" s="26" t="s">
        <v>42</v>
      </c>
      <c r="F16" s="26" t="s">
        <v>43</v>
      </c>
      <c r="G16" s="26" t="s">
        <v>749</v>
      </c>
      <c r="H16" s="677"/>
      <c r="I16" s="26" t="s">
        <v>43</v>
      </c>
      <c r="J16" s="160"/>
    </row>
    <row r="17" spans="2:10" ht="15">
      <c r="B17" s="96" t="str">
        <f>inputPrYr!B16</f>
        <v>General</v>
      </c>
      <c r="C17" s="67" t="str">
        <f>IF(gen!$C$50&lt;&gt;0,gen!$C$50,"  ")</f>
        <v>  </v>
      </c>
      <c r="D17" s="592" t="str">
        <f>IF(inputPrYr!D41&gt;0,inputPrYr!D41,"  ")</f>
        <v>  </v>
      </c>
      <c r="E17" s="32" t="str">
        <f>IF(gen!$D$50&lt;&gt;0,gen!$D$50,"  ")</f>
        <v>  </v>
      </c>
      <c r="F17" s="253" t="str">
        <f>IF(inputOth!D17&gt;0,inputOth!D17,"  ")</f>
        <v>  </v>
      </c>
      <c r="G17" s="32"/>
      <c r="H17" s="32"/>
      <c r="I17" s="594" t="str">
        <f>IF(gen!E57&gt;0,ROUND(H17/$G$35*1000,3)," ")</f>
        <v> </v>
      </c>
      <c r="J17" s="160"/>
    </row>
    <row r="18" spans="2:10" ht="15">
      <c r="B18" s="96" t="s">
        <v>311</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
      <c r="B19" s="96" t="str">
        <f>IF(inputPrYr!$B18&gt;"  ",inputPrYr!$B18,"  ")</f>
        <v>Road</v>
      </c>
      <c r="C19" s="32">
        <f>IF(road!$C$43&lt;&gt;0,road!$C$43,"  ")</f>
        <v>55572</v>
      </c>
      <c r="D19" s="592">
        <f>IF(inputPrYr!D43&gt;0,inputPrYr!D43,"  ")</f>
        <v>20.232</v>
      </c>
      <c r="E19" s="32">
        <f>IF(road!$D$43&lt;&gt;0,road!$D$43,"  ")</f>
        <v>58634</v>
      </c>
      <c r="F19" s="253">
        <f>IF(inputOth!D19&gt;0,inputOth!D19,"  ")</f>
        <v>20.451</v>
      </c>
      <c r="G19" s="32">
        <f>IF(road!$E$43&lt;&gt;0,road!$E$43,"  ")</f>
        <v>61501</v>
      </c>
      <c r="H19" s="32">
        <f>IF(road!$E$50&lt;&gt;0,road!$E$50,"  ")</f>
        <v>53871</v>
      </c>
      <c r="I19" s="594">
        <f>IF(road!E50&gt;0,ROUND(H19/$G$35*1000,3)," ")</f>
        <v>21.622</v>
      </c>
      <c r="K19" s="669" t="str">
        <f>CONCATENATE("Estimated Value Of One Mill For ",I1,"")</f>
        <v>Estimated Value Of One Mill For 2012</v>
      </c>
      <c r="L19" s="674"/>
      <c r="M19" s="674"/>
      <c r="N19" s="675"/>
    </row>
    <row r="20" spans="2:14" ht="1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2492</v>
      </c>
    </row>
    <row r="22" spans="2:9" ht="1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20.451</v>
      </c>
    </row>
    <row r="26" spans="2:14" ht="1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
      <c r="B28" s="96" t="str">
        <f>IF((inputPrYr!$B33&gt;"  "),(nonbud!$A3),"  ")</f>
        <v>  </v>
      </c>
      <c r="C28" s="67" t="str">
        <f>IF((nonbud!$K$28)&lt;&gt;0,(nonbud!$K$28),"  ")</f>
        <v>  </v>
      </c>
      <c r="D28" s="168"/>
      <c r="E28" s="32"/>
      <c r="F28" s="168"/>
      <c r="G28" s="32"/>
      <c r="H28" s="32"/>
      <c r="I28" s="168"/>
      <c r="K28" s="586" t="str">
        <f>IF($N$28&lt;0,"Reduced By:","")</f>
        <v>Reduced By:</v>
      </c>
      <c r="L28" s="557"/>
      <c r="M28" s="557"/>
      <c r="N28" s="587">
        <f>IF(N34&gt;0,N34*-1,0)</f>
        <v>-2916</v>
      </c>
    </row>
    <row r="29" spans="2:14" ht="15.75" thickBot="1">
      <c r="B29" s="83" t="s">
        <v>299</v>
      </c>
      <c r="C29" s="530">
        <f>IF(road!C64&lt;&gt;0,road!C64,"  ")</f>
        <v>5738</v>
      </c>
      <c r="D29" s="531"/>
      <c r="E29" s="593"/>
      <c r="F29" s="531"/>
      <c r="G29" s="593"/>
      <c r="H29" s="593"/>
      <c r="I29" s="531"/>
      <c r="K29" s="582"/>
      <c r="L29" s="582"/>
      <c r="M29" s="582"/>
      <c r="N29" s="582"/>
    </row>
    <row r="30" spans="2:14" ht="15">
      <c r="B30" s="83" t="s">
        <v>300</v>
      </c>
      <c r="C30" s="595">
        <f aca="true" t="shared" si="0" ref="C30:I30">SUM(C17:C29)</f>
        <v>61310</v>
      </c>
      <c r="D30" s="529">
        <f t="shared" si="0"/>
        <v>20.232</v>
      </c>
      <c r="E30" s="595">
        <f t="shared" si="0"/>
        <v>58634</v>
      </c>
      <c r="F30" s="529">
        <f t="shared" si="0"/>
        <v>20.451</v>
      </c>
      <c r="G30" s="595">
        <f t="shared" si="0"/>
        <v>61501</v>
      </c>
      <c r="H30" s="595">
        <f t="shared" si="0"/>
        <v>53871</v>
      </c>
      <c r="I30" s="598">
        <f t="shared" si="0"/>
        <v>21.622</v>
      </c>
      <c r="K30" s="669" t="str">
        <f>CONCATENATE("Impact On Keeping The Same Mill Rate As For ",I1-1,"")</f>
        <v>Impact On Keeping The Same Mill Rate As For 2011</v>
      </c>
      <c r="L30" s="670"/>
      <c r="M30" s="670"/>
      <c r="N30" s="671"/>
    </row>
    <row r="31" spans="2:14" ht="15">
      <c r="B31" s="83" t="s">
        <v>44</v>
      </c>
      <c r="C31" s="32">
        <f>transfer!C29</f>
        <v>5738</v>
      </c>
      <c r="D31" s="14"/>
      <c r="E31" s="32">
        <f>transfer!D29</f>
        <v>0</v>
      </c>
      <c r="F31" s="62"/>
      <c r="G31" s="32">
        <f>transfer!E29</f>
        <v>0</v>
      </c>
      <c r="H31" s="14"/>
      <c r="I31" s="14"/>
      <c r="K31" s="575"/>
      <c r="L31" s="569"/>
      <c r="M31" s="569"/>
      <c r="N31" s="576"/>
    </row>
    <row r="32" spans="2:14" ht="15.75" thickBot="1">
      <c r="B32" s="83" t="s">
        <v>45</v>
      </c>
      <c r="C32" s="596">
        <f>C30-C31</f>
        <v>55572</v>
      </c>
      <c r="D32" s="14"/>
      <c r="E32" s="596">
        <f>E30-E31</f>
        <v>58634</v>
      </c>
      <c r="F32" s="14"/>
      <c r="G32" s="596">
        <f>G30-G31</f>
        <v>61501</v>
      </c>
      <c r="H32" s="14"/>
      <c r="I32" s="14"/>
      <c r="K32" s="575" t="str">
        <f>CONCATENATE("",I1," Ad Valorem Tax Revenue:")</f>
        <v>2012 Ad Valorem Tax Revenue:</v>
      </c>
      <c r="L32" s="569"/>
      <c r="M32" s="569"/>
      <c r="N32" s="570">
        <f>H30</f>
        <v>53871</v>
      </c>
    </row>
    <row r="33" spans="2:14" ht="15.75" thickTop="1">
      <c r="B33" s="83" t="s">
        <v>46</v>
      </c>
      <c r="C33" s="597">
        <f>inputPrYr!E52</f>
        <v>45121</v>
      </c>
      <c r="D33" s="62"/>
      <c r="E33" s="597">
        <f>inputPrYr!E25</f>
        <v>53717</v>
      </c>
      <c r="F33" s="14"/>
      <c r="G33" s="588" t="s">
        <v>301</v>
      </c>
      <c r="H33" s="14"/>
      <c r="I33" s="14"/>
      <c r="K33" s="575" t="str">
        <f>CONCATENATE("",I1-1," Ad Valorem Tax Revenue:")</f>
        <v>2011 Ad Valorem Tax Revenue:</v>
      </c>
      <c r="L33" s="569"/>
      <c r="M33" s="569"/>
      <c r="N33" s="583">
        <f>ROUND(G35*N25/1000,0)</f>
        <v>50955</v>
      </c>
    </row>
    <row r="34" spans="2:14" ht="15">
      <c r="B34" s="279" t="s">
        <v>47</v>
      </c>
      <c r="C34" s="55"/>
      <c r="D34" s="62"/>
      <c r="E34" s="55"/>
      <c r="F34" s="62"/>
      <c r="G34" s="14"/>
      <c r="H34" s="14"/>
      <c r="I34" s="14"/>
      <c r="K34" s="580" t="s">
        <v>747</v>
      </c>
      <c r="L34" s="581"/>
      <c r="M34" s="581"/>
      <c r="N34" s="573">
        <f>N32-N33</f>
        <v>2916</v>
      </c>
    </row>
    <row r="35" spans="2:14" ht="15">
      <c r="B35" s="606" t="s">
        <v>48</v>
      </c>
      <c r="C35" s="31">
        <f>inputPrYr!E53</f>
        <v>2230197</v>
      </c>
      <c r="D35" s="14"/>
      <c r="E35" s="32">
        <f>inputOth!E28</f>
        <v>2626623</v>
      </c>
      <c r="F35" s="14"/>
      <c r="G35" s="32">
        <f>inputOth!E7</f>
        <v>2491545</v>
      </c>
      <c r="H35" s="14"/>
      <c r="I35" s="14"/>
      <c r="K35" s="574"/>
      <c r="L35" s="574"/>
      <c r="M35" s="574"/>
      <c r="N35" s="582"/>
    </row>
    <row r="36" spans="2:14" ht="15">
      <c r="B36" s="22" t="s">
        <v>49</v>
      </c>
      <c r="C36" s="14"/>
      <c r="D36" s="14"/>
      <c r="E36" s="14"/>
      <c r="F36" s="14"/>
      <c r="G36" s="14"/>
      <c r="H36" s="14"/>
      <c r="I36" s="14"/>
      <c r="K36" s="669" t="s">
        <v>748</v>
      </c>
      <c r="L36" s="672"/>
      <c r="M36" s="672"/>
      <c r="N36" s="673"/>
    </row>
    <row r="37" spans="2:14" ht="15">
      <c r="B37" s="22" t="s">
        <v>50</v>
      </c>
      <c r="C37" s="171">
        <f>I1-3</f>
        <v>2009</v>
      </c>
      <c r="D37" s="14"/>
      <c r="E37" s="171">
        <f>I1-2</f>
        <v>2010</v>
      </c>
      <c r="F37" s="14"/>
      <c r="G37" s="171">
        <f>I1-1</f>
        <v>2011</v>
      </c>
      <c r="H37" s="14"/>
      <c r="I37" s="14"/>
      <c r="K37" s="575"/>
      <c r="L37" s="569"/>
      <c r="M37" s="569"/>
      <c r="N37" s="576"/>
    </row>
    <row r="38" spans="2:14" ht="1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21.622</v>
      </c>
    </row>
    <row r="39" spans="2:14" ht="1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5.7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5.75" thickTop="1">
      <c r="B42" s="22" t="s">
        <v>53</v>
      </c>
      <c r="C42" s="14"/>
      <c r="D42" s="14"/>
      <c r="E42" s="14"/>
      <c r="F42" s="14"/>
      <c r="G42" s="14"/>
      <c r="H42" s="14"/>
      <c r="I42" s="14"/>
    </row>
    <row r="43" spans="2:9" ht="15">
      <c r="B43" s="14"/>
      <c r="C43" s="14"/>
      <c r="D43" s="14"/>
      <c r="E43" s="14"/>
      <c r="F43" s="14"/>
      <c r="G43" s="14"/>
      <c r="H43" s="14"/>
      <c r="I43" s="14"/>
    </row>
    <row r="44" spans="2:9" ht="15">
      <c r="B44" s="668"/>
      <c r="C44" s="668"/>
      <c r="D44" s="14"/>
      <c r="E44" s="14"/>
      <c r="F44" s="14"/>
      <c r="G44" s="14"/>
      <c r="H44" s="14"/>
      <c r="I44" s="14"/>
    </row>
    <row r="45" spans="2:9" ht="15">
      <c r="B45" s="158" t="s">
        <v>825</v>
      </c>
      <c r="C45" s="156"/>
      <c r="D45" s="14"/>
      <c r="E45" s="14"/>
      <c r="F45" s="14"/>
      <c r="G45" s="14"/>
      <c r="H45" s="14"/>
      <c r="I45" s="14"/>
    </row>
    <row r="46" spans="2:9" ht="15">
      <c r="B46" s="14"/>
      <c r="C46" s="14"/>
      <c r="D46" s="14"/>
      <c r="E46" s="14"/>
      <c r="F46" s="14"/>
      <c r="G46" s="14"/>
      <c r="H46" s="14"/>
      <c r="I46" s="14"/>
    </row>
    <row r="47" spans="2:9" ht="15">
      <c r="B47" s="14"/>
      <c r="C47" s="52" t="s">
        <v>9</v>
      </c>
      <c r="D47" s="92"/>
      <c r="E47" s="14"/>
      <c r="F47" s="14"/>
      <c r="G47" s="14"/>
      <c r="H47" s="14"/>
      <c r="I47" s="14"/>
    </row>
    <row r="48" spans="2:4" ht="15">
      <c r="B48" s="91"/>
      <c r="C48" s="91"/>
      <c r="D48" s="91"/>
    </row>
    <row r="50" spans="2:8" ht="15">
      <c r="B50" s="91"/>
      <c r="C50" s="91"/>
      <c r="D50" s="91"/>
      <c r="E50" s="91"/>
      <c r="F50" s="91"/>
      <c r="G50" s="91"/>
      <c r="H50" s="91"/>
    </row>
    <row r="51" ht="15">
      <c r="I51" s="91"/>
    </row>
    <row r="72" spans="2:7" ht="15">
      <c r="B72" s="91"/>
      <c r="C72" s="91"/>
      <c r="D72" s="91"/>
      <c r="E72" s="91"/>
      <c r="F72" s="91"/>
      <c r="G72" s="91"/>
    </row>
    <row r="79" spans="2:8" ht="15">
      <c r="B79" s="91"/>
      <c r="C79" s="91"/>
      <c r="D79" s="91"/>
      <c r="E79" s="91"/>
      <c r="F79" s="91"/>
      <c r="G79" s="91"/>
      <c r="H79" s="91"/>
    </row>
    <row r="80" ht="15">
      <c r="I80" s="91"/>
    </row>
    <row r="85" spans="2:8" ht="15">
      <c r="B85" s="91"/>
      <c r="C85" s="91"/>
      <c r="D85" s="91"/>
      <c r="E85" s="91"/>
      <c r="F85" s="91"/>
      <c r="G85" s="91"/>
      <c r="H85" s="91"/>
    </row>
    <row r="86" ht="15">
      <c r="I86" s="91"/>
    </row>
    <row r="106" spans="2:8" ht="1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Palacky Township</v>
      </c>
      <c r="B1" s="14"/>
      <c r="C1" s="14"/>
      <c r="D1" s="14"/>
      <c r="E1" s="14"/>
      <c r="F1" s="14">
        <f>inputPrYr!D5</f>
        <v>2012</v>
      </c>
    </row>
    <row r="2" spans="1:6" ht="15">
      <c r="A2" s="14"/>
      <c r="B2" s="14"/>
      <c r="C2" s="14"/>
      <c r="D2" s="14"/>
      <c r="E2" s="14"/>
      <c r="F2" s="14"/>
    </row>
    <row r="3" spans="1:6" ht="15">
      <c r="A3" s="14"/>
      <c r="B3" s="626" t="str">
        <f>CONCATENATE("",F1," Neighborhood Revitalization Rebate")</f>
        <v>2012 Neighborhood Revitalization Rebate</v>
      </c>
      <c r="C3" s="634"/>
      <c r="D3" s="634"/>
      <c r="E3" s="634"/>
      <c r="F3" s="14"/>
    </row>
    <row r="4" spans="1:6" ht="1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
      <c r="A6" s="14"/>
      <c r="B6" s="83" t="str">
        <f>inputPrYr!B16</f>
        <v>General</v>
      </c>
      <c r="C6" s="141"/>
      <c r="D6" s="142">
        <f aca="true" t="shared" si="0" ref="D6:D14">IF(C6&gt;0,C6/$D$20,"")</f>
      </c>
      <c r="E6" s="143">
        <f aca="true" t="shared" si="1" ref="E6:E14">IF(C6&gt;0,ROUND(D6*$D$24,0),"")</f>
      </c>
      <c r="F6" s="140"/>
    </row>
    <row r="7" spans="1:6" ht="15">
      <c r="A7" s="14"/>
      <c r="B7" s="83" t="str">
        <f>inputPrYr!B17</f>
        <v>Debt Service</v>
      </c>
      <c r="C7" s="141"/>
      <c r="D7" s="142">
        <f t="shared" si="0"/>
      </c>
      <c r="E7" s="143">
        <f t="shared" si="1"/>
      </c>
      <c r="F7" s="140"/>
    </row>
    <row r="8" spans="1:6" ht="15">
      <c r="A8" s="14"/>
      <c r="B8" s="83" t="str">
        <f>inputPrYr!B18</f>
        <v>Road</v>
      </c>
      <c r="C8" s="141"/>
      <c r="D8" s="142">
        <f t="shared" si="0"/>
      </c>
      <c r="E8" s="143">
        <f t="shared" si="1"/>
      </c>
      <c r="F8" s="140"/>
    </row>
    <row r="9" spans="1:6" ht="15">
      <c r="A9" s="14"/>
      <c r="B9" s="83">
        <f>inputPrYr!B19</f>
        <v>0</v>
      </c>
      <c r="C9" s="141"/>
      <c r="D9" s="142">
        <f t="shared" si="0"/>
      </c>
      <c r="E9" s="143">
        <f t="shared" si="1"/>
      </c>
      <c r="F9" s="140"/>
    </row>
    <row r="10" spans="1:6" ht="15">
      <c r="A10" s="14"/>
      <c r="B10" s="83">
        <f>inputPrYr!B20</f>
        <v>0</v>
      </c>
      <c r="C10" s="141"/>
      <c r="D10" s="142">
        <f t="shared" si="0"/>
      </c>
      <c r="E10" s="143">
        <f t="shared" si="1"/>
      </c>
      <c r="F10" s="140"/>
    </row>
    <row r="11" spans="1:6" ht="15">
      <c r="A11" s="14"/>
      <c r="B11" s="83">
        <f>inputPrYr!B21</f>
        <v>0</v>
      </c>
      <c r="C11" s="141"/>
      <c r="D11" s="142">
        <f t="shared" si="0"/>
      </c>
      <c r="E11" s="143">
        <f t="shared" si="1"/>
      </c>
      <c r="F11" s="140"/>
    </row>
    <row r="12" spans="1:6" ht="15">
      <c r="A12" s="14"/>
      <c r="B12" s="83">
        <f>inputPrYr!B22</f>
        <v>0</v>
      </c>
      <c r="C12" s="144"/>
      <c r="D12" s="142">
        <f t="shared" si="0"/>
      </c>
      <c r="E12" s="143">
        <f t="shared" si="1"/>
      </c>
      <c r="F12" s="140"/>
    </row>
    <row r="13" spans="1:6" ht="15">
      <c r="A13" s="14"/>
      <c r="B13" s="83">
        <f>inputPrYr!B23</f>
        <v>0</v>
      </c>
      <c r="C13" s="144"/>
      <c r="D13" s="142">
        <f t="shared" si="0"/>
      </c>
      <c r="E13" s="143">
        <f t="shared" si="1"/>
      </c>
      <c r="F13" s="140"/>
    </row>
    <row r="14" spans="1:6" ht="15">
      <c r="A14" s="14"/>
      <c r="B14" s="83">
        <f>inputPrYr!B24</f>
        <v>0</v>
      </c>
      <c r="C14" s="144"/>
      <c r="D14" s="142">
        <f t="shared" si="0"/>
      </c>
      <c r="E14" s="143">
        <f t="shared" si="1"/>
      </c>
      <c r="F14" s="140"/>
    </row>
    <row r="15" spans="1:6" ht="15.75" thickBot="1">
      <c r="A15" s="14"/>
      <c r="B15" s="84" t="s">
        <v>222</v>
      </c>
      <c r="C15" s="145">
        <f>SUM(C6:C14)</f>
        <v>0</v>
      </c>
      <c r="D15" s="146">
        <f>SUM(D6:D14)</f>
        <v>0</v>
      </c>
      <c r="E15" s="145">
        <f>SUM(E6:E14)</f>
        <v>0</v>
      </c>
      <c r="F15" s="140"/>
    </row>
    <row r="16" spans="1:6" ht="15.75" thickTop="1">
      <c r="A16" s="14"/>
      <c r="B16" s="14"/>
      <c r="C16" s="14"/>
      <c r="D16" s="14"/>
      <c r="E16" s="14"/>
      <c r="F16" s="140"/>
    </row>
    <row r="17" spans="1:6" ht="15">
      <c r="A17" s="14"/>
      <c r="B17" s="14"/>
      <c r="C17" s="14"/>
      <c r="D17" s="14"/>
      <c r="E17" s="14"/>
      <c r="F17" s="140"/>
    </row>
    <row r="18" spans="1:6" ht="15">
      <c r="A18" s="682" t="str">
        <f>CONCATENATE("",F1-1," July 1 Valuation:")</f>
        <v>2011 July 1 Valuation:</v>
      </c>
      <c r="B18" s="681"/>
      <c r="C18" s="682"/>
      <c r="D18" s="147">
        <f>inputOth!E7</f>
        <v>2491545</v>
      </c>
      <c r="E18" s="14"/>
      <c r="F18" s="140"/>
    </row>
    <row r="19" spans="1:6" ht="15">
      <c r="A19" s="14"/>
      <c r="B19" s="14"/>
      <c r="C19" s="14"/>
      <c r="D19" s="14"/>
      <c r="E19" s="14"/>
      <c r="F19" s="140"/>
    </row>
    <row r="20" spans="1:6" ht="15">
      <c r="A20" s="14"/>
      <c r="B20" s="682" t="s">
        <v>378</v>
      </c>
      <c r="C20" s="682"/>
      <c r="D20" s="148">
        <f>IF(D18&gt;0,(D18*0.001),"")</f>
        <v>2491.545</v>
      </c>
      <c r="E20" s="14"/>
      <c r="F20" s="140"/>
    </row>
    <row r="21" spans="1:6" ht="15">
      <c r="A21" s="14"/>
      <c r="B21" s="48"/>
      <c r="C21" s="48"/>
      <c r="D21" s="149"/>
      <c r="E21" s="14"/>
      <c r="F21" s="140"/>
    </row>
    <row r="22" spans="1:6" ht="15">
      <c r="A22" s="680" t="s">
        <v>380</v>
      </c>
      <c r="B22" s="625"/>
      <c r="C22" s="625"/>
      <c r="D22" s="150">
        <f>inputOth!E13</f>
        <v>0</v>
      </c>
      <c r="E22" s="151"/>
      <c r="F22" s="151"/>
    </row>
    <row r="23" spans="1:6" ht="15">
      <c r="A23" s="151"/>
      <c r="B23" s="151"/>
      <c r="C23" s="151"/>
      <c r="D23" s="152"/>
      <c r="E23" s="151"/>
      <c r="F23" s="151"/>
    </row>
    <row r="24" spans="1:6" ht="15">
      <c r="A24" s="151"/>
      <c r="B24" s="680" t="s">
        <v>381</v>
      </c>
      <c r="C24" s="681"/>
      <c r="D24" s="153">
        <f>IF(D22&gt;0,(D22*0.001),"")</f>
      </c>
      <c r="E24" s="151"/>
      <c r="F24" s="151"/>
    </row>
    <row r="25" spans="1:6" ht="15">
      <c r="A25" s="151"/>
      <c r="B25" s="151"/>
      <c r="C25" s="151"/>
      <c r="D25" s="151"/>
      <c r="E25" s="151"/>
      <c r="F25" s="151"/>
    </row>
    <row r="26" spans="1:6" ht="15">
      <c r="A26" s="151"/>
      <c r="B26" s="151"/>
      <c r="C26" s="151"/>
      <c r="D26" s="151"/>
      <c r="E26" s="151"/>
      <c r="F26" s="151"/>
    </row>
    <row r="27" spans="1:6" ht="15">
      <c r="A27" s="151"/>
      <c r="B27" s="151"/>
      <c r="C27" s="151"/>
      <c r="D27" s="151"/>
      <c r="E27" s="151"/>
      <c r="F27" s="151"/>
    </row>
    <row r="28" spans="1:6" ht="1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
      <c r="A29" s="403" t="s">
        <v>626</v>
      </c>
      <c r="B29" s="151"/>
      <c r="C29" s="151"/>
      <c r="D29" s="151"/>
      <c r="E29" s="151"/>
      <c r="F29" s="151"/>
    </row>
    <row r="30" spans="1:6" ht="15">
      <c r="A30" s="403"/>
      <c r="B30" s="151"/>
      <c r="C30" s="151"/>
      <c r="D30" s="151"/>
      <c r="E30" s="151"/>
      <c r="F30" s="151"/>
    </row>
    <row r="31" spans="1:6" ht="15">
      <c r="A31" s="403"/>
      <c r="B31" s="151"/>
      <c r="C31" s="151"/>
      <c r="D31" s="151"/>
      <c r="E31" s="151"/>
      <c r="F31" s="151"/>
    </row>
    <row r="32" spans="1:6" ht="15">
      <c r="A32" s="403"/>
      <c r="B32" s="151"/>
      <c r="C32" s="151"/>
      <c r="D32" s="151"/>
      <c r="E32" s="151"/>
      <c r="F32" s="151"/>
    </row>
    <row r="33" spans="1:6" ht="15">
      <c r="A33" s="403"/>
      <c r="B33" s="151"/>
      <c r="C33" s="151"/>
      <c r="D33" s="151"/>
      <c r="E33" s="151"/>
      <c r="F33" s="151"/>
    </row>
    <row r="34" spans="1:6" ht="15">
      <c r="A34" s="403"/>
      <c r="B34" s="151"/>
      <c r="C34" s="151"/>
      <c r="D34" s="151"/>
      <c r="E34" s="151"/>
      <c r="F34" s="151"/>
    </row>
    <row r="35" spans="1:6" ht="15">
      <c r="A35" s="403"/>
      <c r="B35" s="151"/>
      <c r="C35" s="151"/>
      <c r="D35" s="151"/>
      <c r="E35" s="151"/>
      <c r="F35" s="151"/>
    </row>
    <row r="36" spans="1:6" ht="15">
      <c r="A36" s="151"/>
      <c r="B36" s="151"/>
      <c r="C36" s="151"/>
      <c r="D36" s="151"/>
      <c r="E36" s="151"/>
      <c r="F36" s="151"/>
    </row>
    <row r="37" spans="1:6" ht="15">
      <c r="A37" s="151"/>
      <c r="B37" s="133" t="s">
        <v>9</v>
      </c>
      <c r="C37" s="76"/>
      <c r="D37" s="151"/>
      <c r="E37" s="151"/>
      <c r="F37" s="151"/>
    </row>
    <row r="38" spans="1:6" ht="1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686" t="s">
        <v>132</v>
      </c>
      <c r="B1" s="686"/>
      <c r="C1" s="686"/>
      <c r="D1" s="686"/>
      <c r="E1" s="686"/>
      <c r="F1" s="686"/>
      <c r="G1" s="686"/>
    </row>
    <row r="2" ht="15">
      <c r="A2" s="1"/>
    </row>
    <row r="3" spans="1:7" ht="15">
      <c r="A3" s="687" t="s">
        <v>133</v>
      </c>
      <c r="B3" s="687"/>
      <c r="C3" s="687"/>
      <c r="D3" s="687"/>
      <c r="E3" s="687"/>
      <c r="F3" s="687"/>
      <c r="G3" s="687"/>
    </row>
    <row r="4" ht="15">
      <c r="A4" s="2"/>
    </row>
    <row r="5" ht="15">
      <c r="A5" s="2"/>
    </row>
    <row r="6" spans="1:9" ht="15">
      <c r="A6" s="8" t="str">
        <f>CONCATENATE("A resolution expressing the property taxation policy of the Board of ",(inputPrYr!D2)," ")</f>
        <v>A resolution expressing the property taxation policy of the Board of Palacky Township </v>
      </c>
      <c r="I6">
        <f>CONCATENATE(I7)</f>
      </c>
    </row>
    <row r="7" spans="1:7" ht="15">
      <c r="A7" s="688" t="str">
        <f>CONCATENATE("   with respect to financing the ",inputPrYr!D5," annual budget for ",(inputPrYr!D2)," , ",(inputPrYr!D3)," , Kansas.")</f>
        <v>   with respect to financing the 2012 annual budget for Palacky Township , Ellsworth County , Kansas.</v>
      </c>
      <c r="B7" s="684"/>
      <c r="C7" s="684"/>
      <c r="D7" s="684"/>
      <c r="E7" s="684"/>
      <c r="F7" s="684"/>
      <c r="G7" s="684"/>
    </row>
    <row r="8" spans="1:7" ht="15">
      <c r="A8" s="684"/>
      <c r="B8" s="684"/>
      <c r="C8" s="684"/>
      <c r="D8" s="684"/>
      <c r="E8" s="684"/>
      <c r="F8" s="684"/>
      <c r="G8" s="684"/>
    </row>
    <row r="9" ht="15">
      <c r="A9" s="1"/>
    </row>
    <row r="10" ht="15">
      <c r="A10" s="9" t="s">
        <v>134</v>
      </c>
    </row>
    <row r="11" ht="15">
      <c r="A11" s="7" t="str">
        <f>CONCATENATE("to finance the ",inputPrYr!D5," ",(inputPrYr!D2)," budget exceed the amount levied to finance the ",inputPrYr!D5-1,"")</f>
        <v>to finance the 2012 Palacky Township budget exceed the amount levied to finance the 2011</v>
      </c>
    </row>
    <row r="12" spans="1:7" ht="15">
      <c r="A12" s="683" t="str">
        <f>CONCATENATE((inputPrYr!D2)," Township budget, except with regard to revenue produced and attributable to the taxation of 1) new improvements to real property; 2) increased personal property valuation, other than increased")</f>
        <v>Palacky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
      <c r="A13" s="684"/>
      <c r="B13" s="684"/>
      <c r="C13" s="684"/>
      <c r="D13" s="684"/>
      <c r="E13" s="684"/>
      <c r="F13" s="684"/>
      <c r="G13" s="684"/>
    </row>
    <row r="14" spans="1:7" ht="15">
      <c r="A14" s="683" t="s">
        <v>139</v>
      </c>
      <c r="B14" s="684"/>
      <c r="C14" s="684"/>
      <c r="D14" s="684"/>
      <c r="E14" s="684"/>
      <c r="F14" s="684"/>
      <c r="G14" s="684"/>
    </row>
    <row r="15" spans="1:7" ht="15">
      <c r="A15" s="684"/>
      <c r="B15" s="684"/>
      <c r="C15" s="684"/>
      <c r="D15" s="684"/>
      <c r="E15" s="684"/>
      <c r="F15" s="684"/>
      <c r="G15" s="684"/>
    </row>
    <row r="16" spans="1:7" ht="15">
      <c r="A16" s="685"/>
      <c r="B16" s="685"/>
      <c r="C16" s="685"/>
      <c r="D16" s="685"/>
      <c r="E16" s="685"/>
      <c r="F16" s="685"/>
      <c r="G16" s="685"/>
    </row>
    <row r="17" ht="15">
      <c r="A17" s="2"/>
    </row>
    <row r="18" spans="1:7" ht="15">
      <c r="A18" s="689" t="s">
        <v>135</v>
      </c>
      <c r="B18" s="684"/>
      <c r="C18" s="684"/>
      <c r="D18" s="684"/>
      <c r="E18" s="684"/>
      <c r="F18" s="684"/>
      <c r="G18" s="684"/>
    </row>
    <row r="19" spans="1:7" ht="15">
      <c r="A19" s="684"/>
      <c r="B19" s="684"/>
      <c r="C19" s="684"/>
      <c r="D19" s="684"/>
      <c r="E19" s="684"/>
      <c r="F19" s="684"/>
      <c r="G19" s="684"/>
    </row>
    <row r="20" ht="15">
      <c r="A20" s="2"/>
    </row>
    <row r="21" spans="1:7" ht="15">
      <c r="A21" s="689" t="str">
        <f>CONCATENATE("Whereas, ",(inputPrYr!D2)," provides essential services to protect the safety and well being of the citizens of the township; and")</f>
        <v>Whereas, Palacky Township provides essential services to protect the safety and well being of the citizens of the township; and</v>
      </c>
      <c r="B21" s="684"/>
      <c r="C21" s="684"/>
      <c r="D21" s="684"/>
      <c r="E21" s="684"/>
      <c r="F21" s="684"/>
      <c r="G21" s="684"/>
    </row>
    <row r="22" spans="1:7" ht="15">
      <c r="A22" s="684"/>
      <c r="B22" s="684"/>
      <c r="C22" s="684"/>
      <c r="D22" s="684"/>
      <c r="E22" s="684"/>
      <c r="F22" s="684"/>
      <c r="G22" s="684"/>
    </row>
    <row r="23" ht="15">
      <c r="A23" s="4"/>
    </row>
    <row r="24" ht="15">
      <c r="A24" s="3" t="s">
        <v>136</v>
      </c>
    </row>
    <row r="25" ht="15">
      <c r="A25" s="4"/>
    </row>
    <row r="26" spans="1:7" ht="1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Palacky Township of Ellsworth County, Kansas that is our desire to notify the public of increased property taxes to finance the 2012 Palacky Township  budget as defined above.</v>
      </c>
      <c r="B26" s="684"/>
      <c r="C26" s="684"/>
      <c r="D26" s="684"/>
      <c r="E26" s="684"/>
      <c r="F26" s="684"/>
      <c r="G26" s="684"/>
    </row>
    <row r="27" spans="1:7" ht="15">
      <c r="A27" s="684"/>
      <c r="B27" s="684"/>
      <c r="C27" s="684"/>
      <c r="D27" s="684"/>
      <c r="E27" s="684"/>
      <c r="F27" s="684"/>
      <c r="G27" s="684"/>
    </row>
    <row r="28" spans="1:7" ht="15">
      <c r="A28" s="684"/>
      <c r="B28" s="684"/>
      <c r="C28" s="684"/>
      <c r="D28" s="684"/>
      <c r="E28" s="684"/>
      <c r="F28" s="684"/>
      <c r="G28" s="684"/>
    </row>
    <row r="29" ht="15">
      <c r="A29" s="4"/>
    </row>
    <row r="30" spans="1:7" ht="15">
      <c r="A30" s="692" t="str">
        <f>CONCATENATE("Adopted this _________ day of ___________, ",inputPrYr!D5-1," by the ",(inputPrYr!D2)," Board, ",(inputPrYr!D3),", Kansas.")</f>
        <v>Adopted this _________ day of ___________, 2011 by the Palacky Township Board, Ellsworth County, Kansas.</v>
      </c>
      <c r="B30" s="684"/>
      <c r="C30" s="684"/>
      <c r="D30" s="684"/>
      <c r="E30" s="684"/>
      <c r="F30" s="684"/>
      <c r="G30" s="684"/>
    </row>
    <row r="31" spans="1:7" ht="15">
      <c r="A31" s="684"/>
      <c r="B31" s="684"/>
      <c r="C31" s="684"/>
      <c r="D31" s="684"/>
      <c r="E31" s="684"/>
      <c r="F31" s="684"/>
      <c r="G31" s="684"/>
    </row>
    <row r="32" ht="15">
      <c r="A32" s="4"/>
    </row>
    <row r="33" spans="4:7" ht="15">
      <c r="D33" s="690" t="str">
        <f>CONCATENATE((inputPrYr!D2)," Board")</f>
        <v>Palacky Township Board</v>
      </c>
      <c r="E33" s="690"/>
      <c r="F33" s="690"/>
      <c r="G33" s="690"/>
    </row>
    <row r="35" spans="4:7" ht="15">
      <c r="D35" s="691" t="s">
        <v>137</v>
      </c>
      <c r="E35" s="691"/>
      <c r="F35" s="691"/>
      <c r="G35" s="691"/>
    </row>
    <row r="36" spans="1:7" ht="15">
      <c r="A36" s="5"/>
      <c r="D36" s="691" t="s">
        <v>141</v>
      </c>
      <c r="E36" s="691"/>
      <c r="F36" s="691"/>
      <c r="G36" s="691"/>
    </row>
    <row r="37" spans="4:7" ht="15">
      <c r="D37" s="691"/>
      <c r="E37" s="691"/>
      <c r="F37" s="691"/>
      <c r="G37" s="691"/>
    </row>
    <row r="38" spans="4:7" ht="15">
      <c r="D38" s="691" t="s">
        <v>137</v>
      </c>
      <c r="E38" s="691"/>
      <c r="F38" s="691"/>
      <c r="G38" s="691"/>
    </row>
    <row r="39" spans="1:7" ht="15">
      <c r="A39" s="4"/>
      <c r="D39" s="691" t="s">
        <v>142</v>
      </c>
      <c r="E39" s="691"/>
      <c r="F39" s="691"/>
      <c r="G39" s="691"/>
    </row>
    <row r="40" spans="4:7" ht="15">
      <c r="D40" s="691"/>
      <c r="E40" s="691"/>
      <c r="F40" s="691"/>
      <c r="G40" s="691"/>
    </row>
    <row r="41" spans="4:7" ht="15">
      <c r="D41" s="691" t="s">
        <v>140</v>
      </c>
      <c r="E41" s="691"/>
      <c r="F41" s="691"/>
      <c r="G41" s="691"/>
    </row>
    <row r="42" spans="1:7" ht="15">
      <c r="A42" s="4"/>
      <c r="D42" s="691" t="s">
        <v>143</v>
      </c>
      <c r="E42" s="691"/>
      <c r="F42" s="691"/>
      <c r="G42" s="691"/>
    </row>
    <row r="43" ht="15">
      <c r="A43" s="6"/>
    </row>
    <row r="44" ht="15">
      <c r="A44" s="6"/>
    </row>
    <row r="45" ht="15">
      <c r="A45" s="6" t="s">
        <v>138</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42">
      <selection activeCell="B3" sqref="B3"/>
    </sheetView>
  </sheetViews>
  <sheetFormatPr defaultColWidth="8.796875" defaultRowHeight="15.75"/>
  <cols>
    <col min="1" max="1" width="64.19921875" style="0" customWidth="1"/>
  </cols>
  <sheetData>
    <row r="3" spans="1:12" ht="15">
      <c r="A3" s="380" t="s">
        <v>394</v>
      </c>
      <c r="B3" s="380"/>
      <c r="C3" s="380"/>
      <c r="D3" s="380"/>
      <c r="E3" s="380"/>
      <c r="F3" s="380"/>
      <c r="G3" s="380"/>
      <c r="H3" s="380"/>
      <c r="I3" s="380"/>
      <c r="J3" s="380"/>
      <c r="K3" s="380"/>
      <c r="L3" s="380"/>
    </row>
    <row r="5" ht="15">
      <c r="A5" s="379" t="s">
        <v>395</v>
      </c>
    </row>
    <row r="6" ht="15">
      <c r="A6" s="379" t="str">
        <f>CONCATENATE(inputPrYr!D5-2," 'total expenditures' exceed your ",inputPrYr!D5-2," 'budget authority.'")</f>
        <v>2010 'total expenditures' exceed your 2010 'budget authority.'</v>
      </c>
    </row>
    <row r="7" ht="15">
      <c r="A7" s="379"/>
    </row>
    <row r="8" ht="15">
      <c r="A8" s="379" t="s">
        <v>396</v>
      </c>
    </row>
    <row r="9" ht="15">
      <c r="A9" s="379" t="s">
        <v>397</v>
      </c>
    </row>
    <row r="10" ht="15">
      <c r="A10" s="379" t="s">
        <v>398</v>
      </c>
    </row>
    <row r="11" ht="15">
      <c r="A11" s="379"/>
    </row>
    <row r="12" ht="15">
      <c r="A12" s="379"/>
    </row>
    <row r="13" ht="15">
      <c r="A13" s="378" t="s">
        <v>399</v>
      </c>
    </row>
    <row r="15" ht="15">
      <c r="A15" s="379" t="s">
        <v>400</v>
      </c>
    </row>
    <row r="16" ht="15">
      <c r="A16" s="379" t="str">
        <f>CONCATENATE("(i.e. an audit has not been completed, or the ",inputPrYr!D5," adopted")</f>
        <v>(i.e. an audit has not been completed, or the 2012 adopted</v>
      </c>
    </row>
    <row r="17" ht="15">
      <c r="A17" s="379" t="s">
        <v>401</v>
      </c>
    </row>
    <row r="18" ht="15">
      <c r="A18" s="379" t="s">
        <v>402</v>
      </c>
    </row>
    <row r="19" ht="15">
      <c r="A19" s="379" t="s">
        <v>403</v>
      </c>
    </row>
    <row r="21" ht="15">
      <c r="A21" s="378" t="s">
        <v>404</v>
      </c>
    </row>
    <row r="22" ht="15">
      <c r="A22" s="378"/>
    </row>
    <row r="23" ht="15">
      <c r="A23" s="379" t="s">
        <v>405</v>
      </c>
    </row>
    <row r="24" ht="15">
      <c r="A24" s="379" t="s">
        <v>406</v>
      </c>
    </row>
    <row r="25" ht="15">
      <c r="A25" s="379" t="str">
        <f>CONCATENATE("particular fund.  If your ",inputPrYr!D5-2," budget was amended, did you")</f>
        <v>particular fund.  If your 2010 budget was amended, did you</v>
      </c>
    </row>
    <row r="26" ht="15">
      <c r="A26" s="379" t="s">
        <v>407</v>
      </c>
    </row>
    <row r="27" ht="15">
      <c r="A27" s="379"/>
    </row>
    <row r="28" ht="15">
      <c r="A28" s="379" t="str">
        <f>CONCATENATE("Next, look to see if any of your ",inputPrYr!D5-2," expenditures can be")</f>
        <v>Next, look to see if any of your 2010 expenditures can be</v>
      </c>
    </row>
    <row r="29" ht="15">
      <c r="A29" s="379" t="s">
        <v>408</v>
      </c>
    </row>
    <row r="30" ht="15">
      <c r="A30" s="379" t="s">
        <v>409</v>
      </c>
    </row>
    <row r="31" ht="15">
      <c r="A31" s="379" t="s">
        <v>410</v>
      </c>
    </row>
    <row r="32" ht="15">
      <c r="A32" s="379"/>
    </row>
    <row r="33" ht="15">
      <c r="A33" s="379" t="str">
        <f>CONCATENATE("Additionally, do your ",inputPrYr!D5-2," receipts contain a reimbursement")</f>
        <v>Additionally, do your 2010 receipts contain a reimbursement</v>
      </c>
    </row>
    <row r="34" ht="15">
      <c r="A34" s="379" t="s">
        <v>411</v>
      </c>
    </row>
    <row r="35" ht="15">
      <c r="A35" s="379" t="s">
        <v>412</v>
      </c>
    </row>
    <row r="36" ht="15">
      <c r="A36" s="379"/>
    </row>
    <row r="37" ht="15">
      <c r="A37" s="379" t="s">
        <v>413</v>
      </c>
    </row>
    <row r="38" ht="15">
      <c r="A38" s="379" t="s">
        <v>599</v>
      </c>
    </row>
    <row r="39" ht="15">
      <c r="A39" s="379" t="s">
        <v>600</v>
      </c>
    </row>
    <row r="40" ht="15">
      <c r="A40" s="379" t="s">
        <v>414</v>
      </c>
    </row>
    <row r="41" ht="15">
      <c r="A41" s="379" t="s">
        <v>415</v>
      </c>
    </row>
    <row r="42" ht="15">
      <c r="A42" s="379" t="s">
        <v>416</v>
      </c>
    </row>
    <row r="43" ht="15">
      <c r="A43" s="379" t="s">
        <v>417</v>
      </c>
    </row>
    <row r="44" ht="15">
      <c r="A44" s="379" t="s">
        <v>418</v>
      </c>
    </row>
    <row r="45" ht="15">
      <c r="A45" s="379"/>
    </row>
    <row r="46" ht="15">
      <c r="A46" s="379" t="s">
        <v>419</v>
      </c>
    </row>
    <row r="47" ht="15">
      <c r="A47" s="379" t="s">
        <v>420</v>
      </c>
    </row>
    <row r="48" ht="15">
      <c r="A48" s="379" t="s">
        <v>421</v>
      </c>
    </row>
    <row r="49" ht="15">
      <c r="A49" s="379"/>
    </row>
    <row r="50" ht="15">
      <c r="A50" s="379" t="s">
        <v>422</v>
      </c>
    </row>
    <row r="51" ht="15">
      <c r="A51" s="379" t="s">
        <v>423</v>
      </c>
    </row>
    <row r="52" ht="15">
      <c r="A52" s="379" t="s">
        <v>424</v>
      </c>
    </row>
    <row r="53" ht="15">
      <c r="A53" s="379"/>
    </row>
    <row r="54" ht="15">
      <c r="A54" s="378" t="s">
        <v>425</v>
      </c>
    </row>
    <row r="55" ht="15">
      <c r="A55" s="379"/>
    </row>
    <row r="56" ht="15">
      <c r="A56" s="379" t="s">
        <v>426</v>
      </c>
    </row>
    <row r="57" ht="15">
      <c r="A57" s="379" t="s">
        <v>427</v>
      </c>
    </row>
    <row r="58" ht="15">
      <c r="A58" s="379" t="s">
        <v>428</v>
      </c>
    </row>
    <row r="59" ht="15">
      <c r="A59" s="379" t="s">
        <v>429</v>
      </c>
    </row>
    <row r="60" ht="15">
      <c r="A60" s="379" t="s">
        <v>430</v>
      </c>
    </row>
    <row r="61" ht="15">
      <c r="A61" s="379" t="s">
        <v>431</v>
      </c>
    </row>
    <row r="62" ht="15">
      <c r="A62" s="379" t="s">
        <v>432</v>
      </c>
    </row>
    <row r="63" ht="15">
      <c r="A63" s="379" t="s">
        <v>433</v>
      </c>
    </row>
    <row r="64" ht="15">
      <c r="A64" s="379" t="s">
        <v>434</v>
      </c>
    </row>
    <row r="65" ht="15">
      <c r="A65" s="379" t="s">
        <v>435</v>
      </c>
    </row>
    <row r="66" ht="15">
      <c r="A66" s="379" t="s">
        <v>436</v>
      </c>
    </row>
    <row r="67" ht="15">
      <c r="A67" s="379" t="s">
        <v>437</v>
      </c>
    </row>
    <row r="68" ht="15">
      <c r="A68" s="379" t="s">
        <v>438</v>
      </c>
    </row>
    <row r="69" ht="15">
      <c r="A69" s="379"/>
    </row>
    <row r="70" ht="15">
      <c r="A70" s="379" t="s">
        <v>439</v>
      </c>
    </row>
    <row r="71" ht="15">
      <c r="A71" s="379" t="s">
        <v>440</v>
      </c>
    </row>
    <row r="72" ht="15">
      <c r="A72" s="379" t="s">
        <v>441</v>
      </c>
    </row>
    <row r="73" ht="15">
      <c r="A73" s="379"/>
    </row>
    <row r="74" ht="15">
      <c r="A74" s="378" t="str">
        <f>CONCATENATE("What if the ",inputPrYr!D5-2," financial records have been closed?")</f>
        <v>What if the 2010 financial records have been closed?</v>
      </c>
    </row>
    <row r="76" ht="15">
      <c r="A76" s="379" t="s">
        <v>442</v>
      </c>
    </row>
    <row r="77" ht="15">
      <c r="A77" s="379" t="str">
        <f>CONCATENATE("(i.e. an audit for ",inputPrYr!D5-2," has been completed, or the ",inputPrYr!D5)</f>
        <v>(i.e. an audit for 2010 has been completed, or the 2012</v>
      </c>
    </row>
    <row r="78" ht="15">
      <c r="A78" s="379" t="s">
        <v>443</v>
      </c>
    </row>
    <row r="79" ht="15">
      <c r="A79" s="379" t="s">
        <v>444</v>
      </c>
    </row>
    <row r="80" ht="15">
      <c r="A80" s="379"/>
    </row>
    <row r="81" ht="15">
      <c r="A81" s="379" t="s">
        <v>445</v>
      </c>
    </row>
    <row r="82" ht="15">
      <c r="A82" s="379" t="s">
        <v>446</v>
      </c>
    </row>
    <row r="83" ht="15">
      <c r="A83" s="379" t="s">
        <v>447</v>
      </c>
    </row>
    <row r="84" ht="15">
      <c r="A84" s="379"/>
    </row>
    <row r="85" ht="1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80" t="s">
        <v>449</v>
      </c>
      <c r="B3" s="380"/>
      <c r="C3" s="380"/>
      <c r="D3" s="380"/>
      <c r="E3" s="380"/>
      <c r="F3" s="380"/>
      <c r="G3" s="380"/>
      <c r="H3" s="377"/>
      <c r="I3" s="377"/>
      <c r="J3" s="377"/>
    </row>
    <row r="5" ht="15">
      <c r="A5" s="379" t="s">
        <v>450</v>
      </c>
    </row>
    <row r="6" ht="15">
      <c r="A6" t="str">
        <f>CONCATENATE(inputPrYr!D5-2," expenditures show that you finished the year with a ")</f>
        <v>2010 expenditures show that you finished the year with a </v>
      </c>
    </row>
    <row r="7" ht="15">
      <c r="A7" t="s">
        <v>451</v>
      </c>
    </row>
    <row r="9" ht="15">
      <c r="A9" t="s">
        <v>452</v>
      </c>
    </row>
    <row r="10" ht="15">
      <c r="A10" t="s">
        <v>453</v>
      </c>
    </row>
    <row r="11" ht="15">
      <c r="A11" t="s">
        <v>454</v>
      </c>
    </row>
    <row r="13" ht="15">
      <c r="A13" s="378" t="s">
        <v>455</v>
      </c>
    </row>
    <row r="14" ht="15">
      <c r="A14" s="378"/>
    </row>
    <row r="15" ht="15">
      <c r="A15" s="379" t="s">
        <v>456</v>
      </c>
    </row>
    <row r="16" ht="15">
      <c r="A16" s="379" t="s">
        <v>457</v>
      </c>
    </row>
    <row r="17" ht="15">
      <c r="A17" s="379" t="s">
        <v>458</v>
      </c>
    </row>
    <row r="18" ht="15">
      <c r="A18" s="379"/>
    </row>
    <row r="19" ht="15">
      <c r="A19" s="378" t="s">
        <v>459</v>
      </c>
    </row>
    <row r="20" ht="15">
      <c r="A20" s="378"/>
    </row>
    <row r="21" ht="15">
      <c r="A21" s="379" t="s">
        <v>460</v>
      </c>
    </row>
    <row r="22" ht="15">
      <c r="A22" s="379" t="s">
        <v>461</v>
      </c>
    </row>
    <row r="23" ht="15">
      <c r="A23" s="379" t="s">
        <v>462</v>
      </c>
    </row>
    <row r="24" ht="15">
      <c r="A24" s="379"/>
    </row>
    <row r="25" ht="15">
      <c r="A25" s="378" t="s">
        <v>463</v>
      </c>
    </row>
    <row r="26" ht="15">
      <c r="A26" s="378"/>
    </row>
    <row r="27" ht="15">
      <c r="A27" s="379" t="s">
        <v>464</v>
      </c>
    </row>
    <row r="28" ht="15">
      <c r="A28" s="379" t="s">
        <v>465</v>
      </c>
    </row>
    <row r="29" ht="15">
      <c r="A29" s="379" t="s">
        <v>466</v>
      </c>
    </row>
    <row r="30" ht="15">
      <c r="A30" s="379"/>
    </row>
    <row r="31" ht="15">
      <c r="A31" s="378" t="s">
        <v>467</v>
      </c>
    </row>
    <row r="32" ht="15">
      <c r="A32" s="378"/>
    </row>
    <row r="33" spans="1:8" ht="15">
      <c r="A33" s="379" t="str">
        <f>CONCATENATE("If your financial records for ",inputPrYr!D5-2," are not closed")</f>
        <v>If your financial records for 2010 are not closed</v>
      </c>
      <c r="B33" s="379"/>
      <c r="C33" s="379"/>
      <c r="D33" s="379"/>
      <c r="E33" s="379"/>
      <c r="F33" s="379"/>
      <c r="G33" s="379"/>
      <c r="H33" s="379"/>
    </row>
    <row r="34" spans="1:8" ht="15">
      <c r="A34" s="379" t="str">
        <f>CONCATENATE("(i.e. an audit has not been completed, or the ",inputPrYr!D5," adopted ")</f>
        <v>(i.e. an audit has not been completed, or the 2012 adopted </v>
      </c>
      <c r="B34" s="379"/>
      <c r="C34" s="379"/>
      <c r="D34" s="379"/>
      <c r="E34" s="379"/>
      <c r="F34" s="379"/>
      <c r="G34" s="379"/>
      <c r="H34" s="379"/>
    </row>
    <row r="35" spans="1:8" ht="15">
      <c r="A35" s="379" t="s">
        <v>468</v>
      </c>
      <c r="B35" s="379"/>
      <c r="C35" s="379"/>
      <c r="D35" s="379"/>
      <c r="E35" s="379"/>
      <c r="F35" s="379"/>
      <c r="G35" s="379"/>
      <c r="H35" s="379"/>
    </row>
    <row r="36" spans="1:8" ht="15">
      <c r="A36" s="379" t="s">
        <v>469</v>
      </c>
      <c r="B36" s="379"/>
      <c r="C36" s="379"/>
      <c r="D36" s="379"/>
      <c r="E36" s="379"/>
      <c r="F36" s="379"/>
      <c r="G36" s="379"/>
      <c r="H36" s="379"/>
    </row>
    <row r="37" spans="1:8" ht="15">
      <c r="A37" s="379" t="s">
        <v>470</v>
      </c>
      <c r="B37" s="379"/>
      <c r="C37" s="379"/>
      <c r="D37" s="379"/>
      <c r="E37" s="379"/>
      <c r="F37" s="379"/>
      <c r="G37" s="379"/>
      <c r="H37" s="379"/>
    </row>
    <row r="38" spans="1:8" ht="15">
      <c r="A38" s="379" t="s">
        <v>471</v>
      </c>
      <c r="B38" s="379"/>
      <c r="C38" s="379"/>
      <c r="D38" s="379"/>
      <c r="E38" s="379"/>
      <c r="F38" s="379"/>
      <c r="G38" s="379"/>
      <c r="H38" s="379"/>
    </row>
    <row r="39" spans="1:8" ht="15">
      <c r="A39" s="379" t="s">
        <v>472</v>
      </c>
      <c r="B39" s="379"/>
      <c r="C39" s="379"/>
      <c r="D39" s="379"/>
      <c r="E39" s="379"/>
      <c r="F39" s="379"/>
      <c r="G39" s="379"/>
      <c r="H39" s="379"/>
    </row>
    <row r="40" spans="1:8" ht="15">
      <c r="A40" s="379"/>
      <c r="B40" s="379"/>
      <c r="C40" s="379"/>
      <c r="D40" s="379"/>
      <c r="E40" s="379"/>
      <c r="F40" s="379"/>
      <c r="G40" s="379"/>
      <c r="H40" s="379"/>
    </row>
    <row r="41" spans="1:8" ht="15">
      <c r="A41" s="379" t="s">
        <v>473</v>
      </c>
      <c r="B41" s="379"/>
      <c r="C41" s="379"/>
      <c r="D41" s="379"/>
      <c r="E41" s="379"/>
      <c r="F41" s="379"/>
      <c r="G41" s="379"/>
      <c r="H41" s="379"/>
    </row>
    <row r="42" spans="1:8" ht="15">
      <c r="A42" s="379" t="s">
        <v>474</v>
      </c>
      <c r="B42" s="379"/>
      <c r="C42" s="379"/>
      <c r="D42" s="379"/>
      <c r="E42" s="379"/>
      <c r="F42" s="379"/>
      <c r="G42" s="379"/>
      <c r="H42" s="379"/>
    </row>
    <row r="43" spans="1:8" ht="15">
      <c r="A43" s="379" t="s">
        <v>475</v>
      </c>
      <c r="B43" s="379"/>
      <c r="C43" s="379"/>
      <c r="D43" s="379"/>
      <c r="E43" s="379"/>
      <c r="F43" s="379"/>
      <c r="G43" s="379"/>
      <c r="H43" s="379"/>
    </row>
    <row r="44" spans="1:8" ht="15">
      <c r="A44" s="379" t="s">
        <v>476</v>
      </c>
      <c r="B44" s="379"/>
      <c r="C44" s="379"/>
      <c r="D44" s="379"/>
      <c r="E44" s="379"/>
      <c r="F44" s="379"/>
      <c r="G44" s="379"/>
      <c r="H44" s="379"/>
    </row>
    <row r="45" spans="1:8" ht="15">
      <c r="A45" s="379"/>
      <c r="B45" s="379"/>
      <c r="C45" s="379"/>
      <c r="D45" s="379"/>
      <c r="E45" s="379"/>
      <c r="F45" s="379"/>
      <c r="G45" s="379"/>
      <c r="H45" s="379"/>
    </row>
    <row r="46" spans="1:8" ht="15">
      <c r="A46" s="379" t="s">
        <v>477</v>
      </c>
      <c r="B46" s="379"/>
      <c r="C46" s="379"/>
      <c r="D46" s="379"/>
      <c r="E46" s="379"/>
      <c r="F46" s="379"/>
      <c r="G46" s="379"/>
      <c r="H46" s="379"/>
    </row>
    <row r="47" spans="1:8" ht="15">
      <c r="A47" s="379" t="s">
        <v>478</v>
      </c>
      <c r="B47" s="379"/>
      <c r="C47" s="379"/>
      <c r="D47" s="379"/>
      <c r="E47" s="379"/>
      <c r="F47" s="379"/>
      <c r="G47" s="379"/>
      <c r="H47" s="379"/>
    </row>
    <row r="48" spans="1:8" ht="15">
      <c r="A48" s="379" t="s">
        <v>479</v>
      </c>
      <c r="B48" s="379"/>
      <c r="C48" s="379"/>
      <c r="D48" s="379"/>
      <c r="E48" s="379"/>
      <c r="F48" s="379"/>
      <c r="G48" s="379"/>
      <c r="H48" s="379"/>
    </row>
    <row r="49" spans="1:8" ht="15">
      <c r="A49" s="379" t="s">
        <v>480</v>
      </c>
      <c r="B49" s="379"/>
      <c r="C49" s="379"/>
      <c r="D49" s="379"/>
      <c r="E49" s="379"/>
      <c r="F49" s="379"/>
      <c r="G49" s="379"/>
      <c r="H49" s="379"/>
    </row>
    <row r="50" spans="1:8" ht="15">
      <c r="A50" s="379" t="s">
        <v>481</v>
      </c>
      <c r="B50" s="379"/>
      <c r="C50" s="379"/>
      <c r="D50" s="379"/>
      <c r="E50" s="379"/>
      <c r="F50" s="379"/>
      <c r="G50" s="379"/>
      <c r="H50" s="379"/>
    </row>
    <row r="51" spans="1:8" ht="15">
      <c r="A51" s="379"/>
      <c r="B51" s="379"/>
      <c r="C51" s="379"/>
      <c r="D51" s="379"/>
      <c r="E51" s="379"/>
      <c r="F51" s="379"/>
      <c r="G51" s="379"/>
      <c r="H51" s="379"/>
    </row>
    <row r="52" spans="1:8" ht="15">
      <c r="A52" s="378" t="s">
        <v>482</v>
      </c>
      <c r="B52" s="378"/>
      <c r="C52" s="378"/>
      <c r="D52" s="378"/>
      <c r="E52" s="378"/>
      <c r="F52" s="378"/>
      <c r="G52" s="378"/>
      <c r="H52" s="379"/>
    </row>
    <row r="53" spans="1:8" ht="15">
      <c r="A53" s="378" t="s">
        <v>483</v>
      </c>
      <c r="B53" s="378"/>
      <c r="C53" s="378"/>
      <c r="D53" s="378"/>
      <c r="E53" s="378"/>
      <c r="F53" s="378"/>
      <c r="G53" s="378"/>
      <c r="H53" s="379"/>
    </row>
    <row r="54" spans="1:8" ht="15">
      <c r="A54" s="379"/>
      <c r="B54" s="379"/>
      <c r="C54" s="379"/>
      <c r="D54" s="379"/>
      <c r="E54" s="379"/>
      <c r="F54" s="379"/>
      <c r="G54" s="379"/>
      <c r="H54" s="379"/>
    </row>
    <row r="55" spans="1:8" ht="15">
      <c r="A55" s="379" t="s">
        <v>484</v>
      </c>
      <c r="B55" s="379"/>
      <c r="C55" s="379"/>
      <c r="D55" s="379"/>
      <c r="E55" s="379"/>
      <c r="F55" s="379"/>
      <c r="G55" s="379"/>
      <c r="H55" s="379"/>
    </row>
    <row r="56" spans="1:8" ht="15">
      <c r="A56" s="379" t="s">
        <v>485</v>
      </c>
      <c r="B56" s="379"/>
      <c r="C56" s="379"/>
      <c r="D56" s="379"/>
      <c r="E56" s="379"/>
      <c r="F56" s="379"/>
      <c r="G56" s="379"/>
      <c r="H56" s="379"/>
    </row>
    <row r="57" spans="1:8" ht="15">
      <c r="A57" s="379" t="s">
        <v>486</v>
      </c>
      <c r="B57" s="379"/>
      <c r="C57" s="379"/>
      <c r="D57" s="379"/>
      <c r="E57" s="379"/>
      <c r="F57" s="379"/>
      <c r="G57" s="379"/>
      <c r="H57" s="379"/>
    </row>
    <row r="58" spans="1:8" ht="15">
      <c r="A58" s="379" t="s">
        <v>487</v>
      </c>
      <c r="B58" s="379"/>
      <c r="C58" s="379"/>
      <c r="D58" s="379"/>
      <c r="E58" s="379"/>
      <c r="F58" s="379"/>
      <c r="G58" s="379"/>
      <c r="H58" s="379"/>
    </row>
    <row r="59" spans="1:8" ht="15">
      <c r="A59" s="379"/>
      <c r="B59" s="379"/>
      <c r="C59" s="379"/>
      <c r="D59" s="379"/>
      <c r="E59" s="379"/>
      <c r="F59" s="379"/>
      <c r="G59" s="379"/>
      <c r="H59" s="379"/>
    </row>
    <row r="60" spans="1:8" ht="15">
      <c r="A60" s="379" t="s">
        <v>488</v>
      </c>
      <c r="B60" s="379"/>
      <c r="C60" s="379"/>
      <c r="D60" s="379"/>
      <c r="E60" s="379"/>
      <c r="F60" s="379"/>
      <c r="G60" s="379"/>
      <c r="H60" s="379"/>
    </row>
    <row r="61" spans="1:8" ht="15">
      <c r="A61" s="379" t="s">
        <v>489</v>
      </c>
      <c r="B61" s="379"/>
      <c r="C61" s="379"/>
      <c r="D61" s="379"/>
      <c r="E61" s="379"/>
      <c r="F61" s="379"/>
      <c r="G61" s="379"/>
      <c r="H61" s="379"/>
    </row>
    <row r="62" spans="1:8" ht="15">
      <c r="A62" s="379" t="s">
        <v>490</v>
      </c>
      <c r="B62" s="379"/>
      <c r="C62" s="379"/>
      <c r="D62" s="379"/>
      <c r="E62" s="379"/>
      <c r="F62" s="379"/>
      <c r="G62" s="379"/>
      <c r="H62" s="379"/>
    </row>
    <row r="63" spans="1:8" ht="15">
      <c r="A63" s="379" t="s">
        <v>491</v>
      </c>
      <c r="B63" s="379"/>
      <c r="C63" s="379"/>
      <c r="D63" s="379"/>
      <c r="E63" s="379"/>
      <c r="F63" s="379"/>
      <c r="G63" s="379"/>
      <c r="H63" s="379"/>
    </row>
    <row r="64" spans="1:8" ht="15">
      <c r="A64" s="379" t="s">
        <v>492</v>
      </c>
      <c r="B64" s="379"/>
      <c r="C64" s="379"/>
      <c r="D64" s="379"/>
      <c r="E64" s="379"/>
      <c r="F64" s="379"/>
      <c r="G64" s="379"/>
      <c r="H64" s="379"/>
    </row>
    <row r="65" spans="1:8" ht="15">
      <c r="A65" s="379" t="s">
        <v>493</v>
      </c>
      <c r="B65" s="379"/>
      <c r="C65" s="379"/>
      <c r="D65" s="379"/>
      <c r="E65" s="379"/>
      <c r="F65" s="379"/>
      <c r="G65" s="379"/>
      <c r="H65" s="379"/>
    </row>
    <row r="66" spans="1:8" ht="15">
      <c r="A66" s="379"/>
      <c r="B66" s="379"/>
      <c r="C66" s="379"/>
      <c r="D66" s="379"/>
      <c r="E66" s="379"/>
      <c r="F66" s="379"/>
      <c r="G66" s="379"/>
      <c r="H66" s="379"/>
    </row>
    <row r="67" spans="1:8" ht="15">
      <c r="A67" s="379" t="s">
        <v>494</v>
      </c>
      <c r="B67" s="379"/>
      <c r="C67" s="379"/>
      <c r="D67" s="379"/>
      <c r="E67" s="379"/>
      <c r="F67" s="379"/>
      <c r="G67" s="379"/>
      <c r="H67" s="379"/>
    </row>
    <row r="68" spans="1:8" ht="15">
      <c r="A68" s="379" t="s">
        <v>495</v>
      </c>
      <c r="B68" s="379"/>
      <c r="C68" s="379"/>
      <c r="D68" s="379"/>
      <c r="E68" s="379"/>
      <c r="F68" s="379"/>
      <c r="G68" s="379"/>
      <c r="H68" s="379"/>
    </row>
    <row r="69" spans="1:8" ht="15">
      <c r="A69" s="379" t="s">
        <v>496</v>
      </c>
      <c r="B69" s="379"/>
      <c r="C69" s="379"/>
      <c r="D69" s="379"/>
      <c r="E69" s="379"/>
      <c r="F69" s="379"/>
      <c r="G69" s="379"/>
      <c r="H69" s="379"/>
    </row>
    <row r="70" spans="1:8" ht="15">
      <c r="A70" s="379" t="s">
        <v>497</v>
      </c>
      <c r="B70" s="379"/>
      <c r="C70" s="379"/>
      <c r="D70" s="379"/>
      <c r="E70" s="379"/>
      <c r="F70" s="379"/>
      <c r="G70" s="379"/>
      <c r="H70" s="379"/>
    </row>
    <row r="71" spans="1:8" ht="15">
      <c r="A71" s="379" t="s">
        <v>498</v>
      </c>
      <c r="B71" s="379"/>
      <c r="C71" s="379"/>
      <c r="D71" s="379"/>
      <c r="E71" s="379"/>
      <c r="F71" s="379"/>
      <c r="G71" s="379"/>
      <c r="H71" s="379"/>
    </row>
    <row r="72" spans="1:8" ht="15">
      <c r="A72" s="379" t="s">
        <v>499</v>
      </c>
      <c r="B72" s="379"/>
      <c r="C72" s="379"/>
      <c r="D72" s="379"/>
      <c r="E72" s="379"/>
      <c r="F72" s="379"/>
      <c r="G72" s="379"/>
      <c r="H72" s="379"/>
    </row>
    <row r="73" spans="1:8" ht="15">
      <c r="A73" s="379" t="s">
        <v>500</v>
      </c>
      <c r="B73" s="379"/>
      <c r="C73" s="379"/>
      <c r="D73" s="379"/>
      <c r="E73" s="379"/>
      <c r="F73" s="379"/>
      <c r="G73" s="379"/>
      <c r="H73" s="379"/>
    </row>
    <row r="74" spans="1:8" ht="15">
      <c r="A74" s="379"/>
      <c r="B74" s="379"/>
      <c r="C74" s="379"/>
      <c r="D74" s="379"/>
      <c r="E74" s="379"/>
      <c r="F74" s="379"/>
      <c r="G74" s="379"/>
      <c r="H74" s="379"/>
    </row>
    <row r="75" spans="1:8" ht="15">
      <c r="A75" s="379" t="s">
        <v>501</v>
      </c>
      <c r="B75" s="379"/>
      <c r="C75" s="379"/>
      <c r="D75" s="379"/>
      <c r="E75" s="379"/>
      <c r="F75" s="379"/>
      <c r="G75" s="379"/>
      <c r="H75" s="379"/>
    </row>
    <row r="76" spans="1:8" ht="15">
      <c r="A76" s="379" t="s">
        <v>502</v>
      </c>
      <c r="B76" s="379"/>
      <c r="C76" s="379"/>
      <c r="D76" s="379"/>
      <c r="E76" s="379"/>
      <c r="F76" s="379"/>
      <c r="G76" s="379"/>
      <c r="H76" s="379"/>
    </row>
    <row r="77" spans="1:8" ht="15">
      <c r="A77" s="379" t="s">
        <v>503</v>
      </c>
      <c r="B77" s="379"/>
      <c r="C77" s="379"/>
      <c r="D77" s="379"/>
      <c r="E77" s="379"/>
      <c r="F77" s="379"/>
      <c r="G77" s="379"/>
      <c r="H77" s="379"/>
    </row>
    <row r="78" spans="1:8" ht="15">
      <c r="A78" s="379"/>
      <c r="B78" s="379"/>
      <c r="C78" s="379"/>
      <c r="D78" s="379"/>
      <c r="E78" s="379"/>
      <c r="F78" s="379"/>
      <c r="G78" s="379"/>
      <c r="H78" s="379"/>
    </row>
    <row r="79" ht="15">
      <c r="A79" s="379" t="s">
        <v>448</v>
      </c>
    </row>
    <row r="80" ht="15">
      <c r="A80" s="378"/>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1" ht="15">
      <c r="A91"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3" ht="15">
      <c r="A103" s="379"/>
    </row>
    <row r="104" ht="15">
      <c r="A104" s="379"/>
    </row>
    <row r="105" ht="15">
      <c r="A105" s="379"/>
    </row>
    <row r="107" ht="15">
      <c r="A107" s="378"/>
    </row>
    <row r="108" ht="15">
      <c r="A108" s="378"/>
    </row>
    <row r="109" ht="1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80" t="s">
        <v>504</v>
      </c>
      <c r="B3" s="380"/>
      <c r="C3" s="380"/>
      <c r="D3" s="380"/>
      <c r="E3" s="380"/>
      <c r="F3" s="380"/>
      <c r="G3" s="380"/>
      <c r="H3" s="380"/>
      <c r="I3" s="380"/>
      <c r="J3" s="380"/>
      <c r="K3" s="380"/>
      <c r="L3" s="380"/>
    </row>
    <row r="4" spans="1:12" ht="15">
      <c r="A4" s="380"/>
      <c r="B4" s="380"/>
      <c r="C4" s="380"/>
      <c r="D4" s="380"/>
      <c r="E4" s="380"/>
      <c r="F4" s="380"/>
      <c r="G4" s="380"/>
      <c r="H4" s="380"/>
      <c r="I4" s="380"/>
      <c r="J4" s="380"/>
      <c r="K4" s="380"/>
      <c r="L4" s="380"/>
    </row>
    <row r="5" spans="1:12" ht="15">
      <c r="A5" s="379" t="s">
        <v>395</v>
      </c>
      <c r="I5" s="380"/>
      <c r="J5" s="380"/>
      <c r="K5" s="380"/>
      <c r="L5" s="380"/>
    </row>
    <row r="6" spans="1:12" ht="15">
      <c r="A6" s="379" t="str">
        <f>CONCATENATE("estimated ",inputPrYr!D5-1," 'total expenditures' exceed your ",inputPrYr!D5-1,"")</f>
        <v>estimated 2011 'total expenditures' exceed your 2011</v>
      </c>
      <c r="I6" s="380"/>
      <c r="J6" s="380"/>
      <c r="K6" s="380"/>
      <c r="L6" s="380"/>
    </row>
    <row r="7" spans="1:12" ht="15">
      <c r="A7" s="396" t="s">
        <v>505</v>
      </c>
      <c r="I7" s="380"/>
      <c r="J7" s="380"/>
      <c r="K7" s="380"/>
      <c r="L7" s="380"/>
    </row>
    <row r="8" spans="1:12" ht="15">
      <c r="A8" s="379"/>
      <c r="I8" s="380"/>
      <c r="J8" s="380"/>
      <c r="K8" s="380"/>
      <c r="L8" s="380"/>
    </row>
    <row r="9" spans="1:12" ht="15">
      <c r="A9" s="379" t="s">
        <v>506</v>
      </c>
      <c r="I9" s="380"/>
      <c r="J9" s="380"/>
      <c r="K9" s="380"/>
      <c r="L9" s="380"/>
    </row>
    <row r="10" spans="1:12" ht="15">
      <c r="A10" s="379" t="s">
        <v>507</v>
      </c>
      <c r="I10" s="380"/>
      <c r="J10" s="380"/>
      <c r="K10" s="380"/>
      <c r="L10" s="380"/>
    </row>
    <row r="11" spans="1:12" ht="15">
      <c r="A11" s="379" t="s">
        <v>508</v>
      </c>
      <c r="I11" s="380"/>
      <c r="J11" s="380"/>
      <c r="K11" s="380"/>
      <c r="L11" s="380"/>
    </row>
    <row r="12" spans="1:12" ht="15">
      <c r="A12" s="379" t="s">
        <v>509</v>
      </c>
      <c r="I12" s="380"/>
      <c r="J12" s="380"/>
      <c r="K12" s="380"/>
      <c r="L12" s="380"/>
    </row>
    <row r="13" spans="1:12" ht="15">
      <c r="A13" s="379" t="s">
        <v>510</v>
      </c>
      <c r="I13" s="380"/>
      <c r="J13" s="380"/>
      <c r="K13" s="380"/>
      <c r="L13" s="380"/>
    </row>
    <row r="14" spans="1:12" ht="15">
      <c r="A14" s="380"/>
      <c r="B14" s="380"/>
      <c r="C14" s="380"/>
      <c r="D14" s="380"/>
      <c r="E14" s="380"/>
      <c r="F14" s="380"/>
      <c r="G14" s="380"/>
      <c r="H14" s="380"/>
      <c r="I14" s="380"/>
      <c r="J14" s="380"/>
      <c r="K14" s="380"/>
      <c r="L14" s="380"/>
    </row>
    <row r="15" ht="15">
      <c r="A15" s="378" t="s">
        <v>511</v>
      </c>
    </row>
    <row r="16" ht="15">
      <c r="A16" s="378" t="s">
        <v>512</v>
      </c>
    </row>
    <row r="17" ht="15">
      <c r="A17" s="378"/>
    </row>
    <row r="18" spans="1:7" ht="15">
      <c r="A18" s="379" t="s">
        <v>513</v>
      </c>
      <c r="B18" s="379"/>
      <c r="C18" s="379"/>
      <c r="D18" s="379"/>
      <c r="E18" s="379"/>
      <c r="F18" s="379"/>
      <c r="G18" s="379"/>
    </row>
    <row r="19" spans="1:7" ht="15">
      <c r="A19" s="379" t="str">
        <f>CONCATENATE("your ",inputPrYr!D5-1," numbers to see what steps might be necessary to")</f>
        <v>your 2011 numbers to see what steps might be necessary to</v>
      </c>
      <c r="B19" s="379"/>
      <c r="C19" s="379"/>
      <c r="D19" s="379"/>
      <c r="E19" s="379"/>
      <c r="F19" s="379"/>
      <c r="G19" s="379"/>
    </row>
    <row r="20" spans="1:7" ht="15">
      <c r="A20" s="379" t="s">
        <v>514</v>
      </c>
      <c r="B20" s="379"/>
      <c r="C20" s="379"/>
      <c r="D20" s="379"/>
      <c r="E20" s="379"/>
      <c r="F20" s="379"/>
      <c r="G20" s="379"/>
    </row>
    <row r="21" spans="1:7" ht="15">
      <c r="A21" s="379" t="s">
        <v>515</v>
      </c>
      <c r="B21" s="379"/>
      <c r="C21" s="379"/>
      <c r="D21" s="379"/>
      <c r="E21" s="379"/>
      <c r="F21" s="379"/>
      <c r="G21" s="379"/>
    </row>
    <row r="22" ht="15">
      <c r="A22" s="379"/>
    </row>
    <row r="23" ht="15">
      <c r="A23" s="378" t="s">
        <v>516</v>
      </c>
    </row>
    <row r="24" ht="15">
      <c r="A24" s="378"/>
    </row>
    <row r="25" ht="15">
      <c r="A25" s="379" t="s">
        <v>517</v>
      </c>
    </row>
    <row r="26" spans="1:6" ht="15">
      <c r="A26" s="379" t="s">
        <v>518</v>
      </c>
      <c r="B26" s="379"/>
      <c r="C26" s="379"/>
      <c r="D26" s="379"/>
      <c r="E26" s="379"/>
      <c r="F26" s="379"/>
    </row>
    <row r="27" spans="1:6" ht="15">
      <c r="A27" s="379" t="s">
        <v>519</v>
      </c>
      <c r="B27" s="379"/>
      <c r="C27" s="379"/>
      <c r="D27" s="379"/>
      <c r="E27" s="379"/>
      <c r="F27" s="379"/>
    </row>
    <row r="28" spans="1:6" ht="15">
      <c r="A28" s="379" t="s">
        <v>520</v>
      </c>
      <c r="B28" s="379"/>
      <c r="C28" s="379"/>
      <c r="D28" s="379"/>
      <c r="E28" s="379"/>
      <c r="F28" s="379"/>
    </row>
    <row r="29" spans="1:6" ht="15">
      <c r="A29" s="379"/>
      <c r="B29" s="379"/>
      <c r="C29" s="379"/>
      <c r="D29" s="379"/>
      <c r="E29" s="379"/>
      <c r="F29" s="379"/>
    </row>
    <row r="30" spans="1:7" ht="15">
      <c r="A30" s="378" t="s">
        <v>521</v>
      </c>
      <c r="B30" s="378"/>
      <c r="C30" s="378"/>
      <c r="D30" s="378"/>
      <c r="E30" s="378"/>
      <c r="F30" s="378"/>
      <c r="G30" s="378"/>
    </row>
    <row r="31" spans="1:7" ht="15">
      <c r="A31" s="378" t="s">
        <v>522</v>
      </c>
      <c r="B31" s="378"/>
      <c r="C31" s="378"/>
      <c r="D31" s="378"/>
      <c r="E31" s="378"/>
      <c r="F31" s="378"/>
      <c r="G31" s="378"/>
    </row>
    <row r="32" spans="1:6" ht="15">
      <c r="A32" s="379"/>
      <c r="B32" s="379"/>
      <c r="C32" s="379"/>
      <c r="D32" s="379"/>
      <c r="E32" s="379"/>
      <c r="F32" s="379"/>
    </row>
    <row r="33" spans="1:6" ht="15">
      <c r="A33" s="393" t="str">
        <f>CONCATENATE("Well, let's look to see if any of your ",inputPrYr!D5-1," expenditures can")</f>
        <v>Well, let's look to see if any of your 2011 expenditures can</v>
      </c>
      <c r="B33" s="379"/>
      <c r="C33" s="379"/>
      <c r="D33" s="379"/>
      <c r="E33" s="379"/>
      <c r="F33" s="379"/>
    </row>
    <row r="34" spans="1:6" ht="15">
      <c r="A34" s="393" t="s">
        <v>523</v>
      </c>
      <c r="B34" s="379"/>
      <c r="C34" s="379"/>
      <c r="D34" s="379"/>
      <c r="E34" s="379"/>
      <c r="F34" s="379"/>
    </row>
    <row r="35" spans="1:6" ht="15">
      <c r="A35" s="393" t="s">
        <v>409</v>
      </c>
      <c r="B35" s="379"/>
      <c r="C35" s="379"/>
      <c r="D35" s="379"/>
      <c r="E35" s="379"/>
      <c r="F35" s="379"/>
    </row>
    <row r="36" spans="1:6" ht="15">
      <c r="A36" s="393" t="s">
        <v>410</v>
      </c>
      <c r="B36" s="379"/>
      <c r="C36" s="379"/>
      <c r="D36" s="379"/>
      <c r="E36" s="379"/>
      <c r="F36" s="379"/>
    </row>
    <row r="37" spans="1:6" ht="15">
      <c r="A37" s="393"/>
      <c r="B37" s="379"/>
      <c r="C37" s="379"/>
      <c r="D37" s="379"/>
      <c r="E37" s="379"/>
      <c r="F37" s="379"/>
    </row>
    <row r="38" spans="1:6" ht="15">
      <c r="A38" s="393" t="str">
        <f>CONCATENATE("Additionally, do your ",inputPrYr!D5-1," receipts contain a reimbursement")</f>
        <v>Additionally, do your 2011 receipts contain a reimbursement</v>
      </c>
      <c r="B38" s="379"/>
      <c r="C38" s="379"/>
      <c r="D38" s="379"/>
      <c r="E38" s="379"/>
      <c r="F38" s="379"/>
    </row>
    <row r="39" spans="1:6" ht="15">
      <c r="A39" s="393" t="s">
        <v>411</v>
      </c>
      <c r="B39" s="379"/>
      <c r="C39" s="379"/>
      <c r="D39" s="379"/>
      <c r="E39" s="379"/>
      <c r="F39" s="379"/>
    </row>
    <row r="40" spans="1:6" ht="15">
      <c r="A40" s="393" t="s">
        <v>412</v>
      </c>
      <c r="B40" s="379"/>
      <c r="C40" s="379"/>
      <c r="D40" s="379"/>
      <c r="E40" s="379"/>
      <c r="F40" s="379"/>
    </row>
    <row r="41" spans="1:6" ht="15">
      <c r="A41" s="393"/>
      <c r="B41" s="379"/>
      <c r="C41" s="379"/>
      <c r="D41" s="379"/>
      <c r="E41" s="379"/>
      <c r="F41" s="379"/>
    </row>
    <row r="42" spans="1:6" ht="15">
      <c r="A42" s="393" t="s">
        <v>413</v>
      </c>
      <c r="B42" s="379"/>
      <c r="C42" s="379"/>
      <c r="D42" s="379"/>
      <c r="E42" s="379"/>
      <c r="F42" s="379"/>
    </row>
    <row r="43" spans="1:6" ht="15">
      <c r="A43" s="393" t="s">
        <v>599</v>
      </c>
      <c r="B43" s="379"/>
      <c r="C43" s="379"/>
      <c r="D43" s="379"/>
      <c r="E43" s="379"/>
      <c r="F43" s="379"/>
    </row>
    <row r="44" spans="1:6" ht="15">
      <c r="A44" s="393" t="s">
        <v>600</v>
      </c>
      <c r="B44" s="379"/>
      <c r="C44" s="379"/>
      <c r="D44" s="379"/>
      <c r="E44" s="379"/>
      <c r="F44" s="379"/>
    </row>
    <row r="45" spans="1:6" ht="15">
      <c r="A45" s="393" t="s">
        <v>524</v>
      </c>
      <c r="B45" s="379"/>
      <c r="C45" s="379"/>
      <c r="D45" s="379"/>
      <c r="E45" s="379"/>
      <c r="F45" s="379"/>
    </row>
    <row r="46" spans="1:6" ht="15">
      <c r="A46" s="393" t="s">
        <v>415</v>
      </c>
      <c r="B46" s="379"/>
      <c r="C46" s="379"/>
      <c r="D46" s="379"/>
      <c r="E46" s="379"/>
      <c r="F46" s="379"/>
    </row>
    <row r="47" spans="1:6" ht="15">
      <c r="A47" s="393" t="s">
        <v>525</v>
      </c>
      <c r="B47" s="379"/>
      <c r="C47" s="379"/>
      <c r="D47" s="379"/>
      <c r="E47" s="379"/>
      <c r="F47" s="379"/>
    </row>
    <row r="48" spans="1:6" ht="15">
      <c r="A48" s="393" t="s">
        <v>526</v>
      </c>
      <c r="B48" s="379"/>
      <c r="C48" s="379"/>
      <c r="D48" s="379"/>
      <c r="E48" s="379"/>
      <c r="F48" s="379"/>
    </row>
    <row r="49" spans="1:6" ht="15">
      <c r="A49" s="393" t="s">
        <v>418</v>
      </c>
      <c r="B49" s="379"/>
      <c r="C49" s="379"/>
      <c r="D49" s="379"/>
      <c r="E49" s="379"/>
      <c r="F49" s="379"/>
    </row>
    <row r="50" spans="1:6" ht="15">
      <c r="A50" s="393"/>
      <c r="B50" s="379"/>
      <c r="C50" s="379"/>
      <c r="D50" s="379"/>
      <c r="E50" s="379"/>
      <c r="F50" s="379"/>
    </row>
    <row r="51" spans="1:6" ht="15">
      <c r="A51" s="393" t="s">
        <v>419</v>
      </c>
      <c r="B51" s="379"/>
      <c r="C51" s="379"/>
      <c r="D51" s="379"/>
      <c r="E51" s="379"/>
      <c r="F51" s="379"/>
    </row>
    <row r="52" spans="1:6" ht="15">
      <c r="A52" s="393" t="s">
        <v>420</v>
      </c>
      <c r="B52" s="379"/>
      <c r="C52" s="379"/>
      <c r="D52" s="379"/>
      <c r="E52" s="379"/>
      <c r="F52" s="379"/>
    </row>
    <row r="53" spans="1:6" ht="15">
      <c r="A53" s="393" t="s">
        <v>421</v>
      </c>
      <c r="B53" s="379"/>
      <c r="C53" s="379"/>
      <c r="D53" s="379"/>
      <c r="E53" s="379"/>
      <c r="F53" s="379"/>
    </row>
    <row r="54" spans="1:6" ht="15">
      <c r="A54" s="393"/>
      <c r="B54" s="379"/>
      <c r="C54" s="379"/>
      <c r="D54" s="379"/>
      <c r="E54" s="379"/>
      <c r="F54" s="379"/>
    </row>
    <row r="55" spans="1:6" ht="15">
      <c r="A55" s="393" t="s">
        <v>527</v>
      </c>
      <c r="B55" s="379"/>
      <c r="C55" s="379"/>
      <c r="D55" s="379"/>
      <c r="E55" s="379"/>
      <c r="F55" s="379"/>
    </row>
    <row r="56" spans="1:6" ht="15">
      <c r="A56" s="393" t="s">
        <v>528</v>
      </c>
      <c r="B56" s="379"/>
      <c r="C56" s="379"/>
      <c r="D56" s="379"/>
      <c r="E56" s="379"/>
      <c r="F56" s="379"/>
    </row>
    <row r="57" spans="1:6" ht="15">
      <c r="A57" s="393" t="s">
        <v>529</v>
      </c>
      <c r="B57" s="379"/>
      <c r="C57" s="379"/>
      <c r="D57" s="379"/>
      <c r="E57" s="379"/>
      <c r="F57" s="379"/>
    </row>
    <row r="58" spans="1:6" ht="15">
      <c r="A58" s="393" t="s">
        <v>530</v>
      </c>
      <c r="B58" s="379"/>
      <c r="C58" s="379"/>
      <c r="D58" s="379"/>
      <c r="E58" s="379"/>
      <c r="F58" s="379"/>
    </row>
    <row r="59" spans="1:6" ht="15">
      <c r="A59" s="393" t="s">
        <v>531</v>
      </c>
      <c r="B59" s="379"/>
      <c r="C59" s="379"/>
      <c r="D59" s="379"/>
      <c r="E59" s="379"/>
      <c r="F59" s="379"/>
    </row>
    <row r="60" spans="1:6" ht="15">
      <c r="A60" s="393"/>
      <c r="B60" s="379"/>
      <c r="C60" s="379"/>
      <c r="D60" s="379"/>
      <c r="E60" s="379"/>
      <c r="F60" s="379"/>
    </row>
    <row r="61" spans="1:6" ht="15">
      <c r="A61" s="394" t="s">
        <v>532</v>
      </c>
      <c r="B61" s="379"/>
      <c r="C61" s="379"/>
      <c r="D61" s="379"/>
      <c r="E61" s="379"/>
      <c r="F61" s="379"/>
    </row>
    <row r="62" spans="1:6" ht="15">
      <c r="A62" s="394" t="s">
        <v>533</v>
      </c>
      <c r="B62" s="379"/>
      <c r="C62" s="379"/>
      <c r="D62" s="379"/>
      <c r="E62" s="379"/>
      <c r="F62" s="379"/>
    </row>
    <row r="63" spans="1:6" ht="15">
      <c r="A63" s="394" t="s">
        <v>534</v>
      </c>
      <c r="B63" s="379"/>
      <c r="C63" s="379"/>
      <c r="D63" s="379"/>
      <c r="E63" s="379"/>
      <c r="F63" s="379"/>
    </row>
    <row r="64" ht="15">
      <c r="A64" s="394" t="s">
        <v>535</v>
      </c>
    </row>
    <row r="65" ht="15">
      <c r="A65" s="394" t="s">
        <v>536</v>
      </c>
    </row>
    <row r="66" ht="15">
      <c r="A66" s="394" t="s">
        <v>537</v>
      </c>
    </row>
    <row r="68" ht="15">
      <c r="A68" s="379" t="s">
        <v>538</v>
      </c>
    </row>
    <row r="69" ht="15">
      <c r="A69" s="379" t="s">
        <v>539</v>
      </c>
    </row>
    <row r="70" ht="15">
      <c r="A70" s="379" t="s">
        <v>540</v>
      </c>
    </row>
    <row r="71" ht="15">
      <c r="A71" s="379" t="s">
        <v>541</v>
      </c>
    </row>
    <row r="72" ht="15">
      <c r="A72" s="379" t="s">
        <v>542</v>
      </c>
    </row>
    <row r="73" ht="15">
      <c r="A73" s="379" t="s">
        <v>543</v>
      </c>
    </row>
    <row r="75" ht="1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80" t="s">
        <v>544</v>
      </c>
      <c r="B3" s="380"/>
      <c r="C3" s="380"/>
      <c r="D3" s="380"/>
      <c r="E3" s="380"/>
      <c r="F3" s="380"/>
      <c r="G3" s="380"/>
    </row>
    <row r="4" spans="1:7" ht="15">
      <c r="A4" s="380"/>
      <c r="B4" s="380"/>
      <c r="C4" s="380"/>
      <c r="D4" s="380"/>
      <c r="E4" s="380"/>
      <c r="F4" s="380"/>
      <c r="G4" s="380"/>
    </row>
    <row r="5" ht="15">
      <c r="A5" s="379" t="s">
        <v>450</v>
      </c>
    </row>
    <row r="6" ht="15">
      <c r="A6" s="379" t="str">
        <f>CONCATENATE(inputPrYr!D5," estimated expenditures show that at the end of this year")</f>
        <v>2012 estimated expenditures show that at the end of this year</v>
      </c>
    </row>
    <row r="7" ht="15">
      <c r="A7" s="379" t="s">
        <v>545</v>
      </c>
    </row>
    <row r="8" ht="15">
      <c r="A8" s="379" t="s">
        <v>546</v>
      </c>
    </row>
    <row r="10" ht="15">
      <c r="A10" t="s">
        <v>452</v>
      </c>
    </row>
    <row r="11" ht="15">
      <c r="A11" t="s">
        <v>453</v>
      </c>
    </row>
    <row r="12" ht="15">
      <c r="A12" t="s">
        <v>454</v>
      </c>
    </row>
    <row r="13" spans="1:7" ht="15">
      <c r="A13" s="380"/>
      <c r="B13" s="380"/>
      <c r="C13" s="380"/>
      <c r="D13" s="380"/>
      <c r="E13" s="380"/>
      <c r="F13" s="380"/>
      <c r="G13" s="380"/>
    </row>
    <row r="14" ht="15">
      <c r="A14" s="378" t="s">
        <v>547</v>
      </c>
    </row>
    <row r="15" ht="15">
      <c r="A15" s="379"/>
    </row>
    <row r="16" ht="15">
      <c r="A16" s="379" t="s">
        <v>548</v>
      </c>
    </row>
    <row r="17" ht="15">
      <c r="A17" s="379" t="s">
        <v>549</v>
      </c>
    </row>
    <row r="18" ht="15">
      <c r="A18" s="379" t="s">
        <v>550</v>
      </c>
    </row>
    <row r="19" ht="15">
      <c r="A19" s="379"/>
    </row>
    <row r="20" ht="15">
      <c r="A20" s="379" t="s">
        <v>551</v>
      </c>
    </row>
    <row r="21" ht="15">
      <c r="A21" s="379" t="s">
        <v>552</v>
      </c>
    </row>
    <row r="22" ht="15">
      <c r="A22" s="379" t="s">
        <v>553</v>
      </c>
    </row>
    <row r="23" ht="15">
      <c r="A23" s="379" t="s">
        <v>554</v>
      </c>
    </row>
    <row r="24" ht="15">
      <c r="A24" s="379"/>
    </row>
    <row r="25" ht="15">
      <c r="A25" s="378" t="s">
        <v>516</v>
      </c>
    </row>
    <row r="26" ht="15">
      <c r="A26" s="378"/>
    </row>
    <row r="27" ht="15">
      <c r="A27" s="379" t="s">
        <v>517</v>
      </c>
    </row>
    <row r="28" spans="1:6" ht="15">
      <c r="A28" s="379" t="s">
        <v>518</v>
      </c>
      <c r="B28" s="379"/>
      <c r="C28" s="379"/>
      <c r="D28" s="379"/>
      <c r="E28" s="379"/>
      <c r="F28" s="379"/>
    </row>
    <row r="29" spans="1:6" ht="15">
      <c r="A29" s="379" t="s">
        <v>519</v>
      </c>
      <c r="B29" s="379"/>
      <c r="C29" s="379"/>
      <c r="D29" s="379"/>
      <c r="E29" s="379"/>
      <c r="F29" s="379"/>
    </row>
    <row r="30" spans="1:6" ht="15">
      <c r="A30" s="379" t="s">
        <v>520</v>
      </c>
      <c r="B30" s="379"/>
      <c r="C30" s="379"/>
      <c r="D30" s="379"/>
      <c r="E30" s="379"/>
      <c r="F30" s="379"/>
    </row>
    <row r="31" ht="15">
      <c r="A31" s="379"/>
    </row>
    <row r="32" spans="1:7" ht="15">
      <c r="A32" s="378" t="s">
        <v>521</v>
      </c>
      <c r="B32" s="378"/>
      <c r="C32" s="378"/>
      <c r="D32" s="378"/>
      <c r="E32" s="378"/>
      <c r="F32" s="378"/>
      <c r="G32" s="378"/>
    </row>
    <row r="33" spans="1:7" ht="15">
      <c r="A33" s="378" t="s">
        <v>522</v>
      </c>
      <c r="B33" s="378"/>
      <c r="C33" s="378"/>
      <c r="D33" s="378"/>
      <c r="E33" s="378"/>
      <c r="F33" s="378"/>
      <c r="G33" s="378"/>
    </row>
    <row r="34" spans="1:7" ht="15">
      <c r="A34" s="378"/>
      <c r="B34" s="378"/>
      <c r="C34" s="378"/>
      <c r="D34" s="378"/>
      <c r="E34" s="378"/>
      <c r="F34" s="378"/>
      <c r="G34" s="378"/>
    </row>
    <row r="35" spans="1:7" ht="15">
      <c r="A35" s="379" t="s">
        <v>555</v>
      </c>
      <c r="B35" s="379"/>
      <c r="C35" s="379"/>
      <c r="D35" s="379"/>
      <c r="E35" s="379"/>
      <c r="F35" s="379"/>
      <c r="G35" s="379"/>
    </row>
    <row r="36" spans="1:7" ht="15">
      <c r="A36" s="379" t="s">
        <v>556</v>
      </c>
      <c r="B36" s="379"/>
      <c r="C36" s="379"/>
      <c r="D36" s="379"/>
      <c r="E36" s="379"/>
      <c r="F36" s="379"/>
      <c r="G36" s="379"/>
    </row>
    <row r="37" spans="1:7" ht="15">
      <c r="A37" s="379" t="s">
        <v>557</v>
      </c>
      <c r="B37" s="379"/>
      <c r="C37" s="379"/>
      <c r="D37" s="379"/>
      <c r="E37" s="379"/>
      <c r="F37" s="379"/>
      <c r="G37" s="379"/>
    </row>
    <row r="38" spans="1:7" ht="15">
      <c r="A38" s="379" t="s">
        <v>558</v>
      </c>
      <c r="B38" s="379"/>
      <c r="C38" s="379"/>
      <c r="D38" s="379"/>
      <c r="E38" s="379"/>
      <c r="F38" s="379"/>
      <c r="G38" s="379"/>
    </row>
    <row r="39" spans="1:7" ht="15">
      <c r="A39" s="379" t="s">
        <v>559</v>
      </c>
      <c r="B39" s="379"/>
      <c r="C39" s="379"/>
      <c r="D39" s="379"/>
      <c r="E39" s="379"/>
      <c r="F39" s="379"/>
      <c r="G39" s="379"/>
    </row>
    <row r="40" spans="1:7" ht="15">
      <c r="A40" s="378"/>
      <c r="B40" s="378"/>
      <c r="C40" s="378"/>
      <c r="D40" s="378"/>
      <c r="E40" s="378"/>
      <c r="F40" s="378"/>
      <c r="G40" s="378"/>
    </row>
    <row r="41" spans="1:6" ht="15">
      <c r="A41" s="393" t="str">
        <f>CONCATENATE("So, let's look to see if any of your ",inputPrYr!D5-1," expenditures can")</f>
        <v>So, let's look to see if any of your 2011 expenditures can</v>
      </c>
      <c r="B41" s="379"/>
      <c r="C41" s="379"/>
      <c r="D41" s="379"/>
      <c r="E41" s="379"/>
      <c r="F41" s="379"/>
    </row>
    <row r="42" spans="1:6" ht="15">
      <c r="A42" s="393" t="s">
        <v>523</v>
      </c>
      <c r="B42" s="379"/>
      <c r="C42" s="379"/>
      <c r="D42" s="379"/>
      <c r="E42" s="379"/>
      <c r="F42" s="379"/>
    </row>
    <row r="43" spans="1:6" ht="15">
      <c r="A43" s="393" t="s">
        <v>409</v>
      </c>
      <c r="B43" s="379"/>
      <c r="C43" s="379"/>
      <c r="D43" s="379"/>
      <c r="E43" s="379"/>
      <c r="F43" s="379"/>
    </row>
    <row r="44" spans="1:6" ht="15">
      <c r="A44" s="393" t="s">
        <v>410</v>
      </c>
      <c r="B44" s="379"/>
      <c r="C44" s="379"/>
      <c r="D44" s="379"/>
      <c r="E44" s="379"/>
      <c r="F44" s="379"/>
    </row>
    <row r="45" ht="15">
      <c r="A45" s="379"/>
    </row>
    <row r="46" spans="1:6" ht="15">
      <c r="A46" s="393" t="str">
        <f>CONCATENATE("Additionally, do your ",inputPrYr!D5-1," receipts contain a reimbursement")</f>
        <v>Additionally, do your 2011 receipts contain a reimbursement</v>
      </c>
      <c r="B46" s="379"/>
      <c r="C46" s="379"/>
      <c r="D46" s="379"/>
      <c r="E46" s="379"/>
      <c r="F46" s="379"/>
    </row>
    <row r="47" spans="1:6" ht="15">
      <c r="A47" s="393" t="s">
        <v>411</v>
      </c>
      <c r="B47" s="379"/>
      <c r="C47" s="379"/>
      <c r="D47" s="379"/>
      <c r="E47" s="379"/>
      <c r="F47" s="379"/>
    </row>
    <row r="48" spans="1:6" ht="15">
      <c r="A48" s="393" t="s">
        <v>412</v>
      </c>
      <c r="B48" s="379"/>
      <c r="C48" s="379"/>
      <c r="D48" s="379"/>
      <c r="E48" s="379"/>
      <c r="F48" s="379"/>
    </row>
    <row r="49" spans="1:7" ht="15">
      <c r="A49" s="379"/>
      <c r="B49" s="379"/>
      <c r="C49" s="379"/>
      <c r="D49" s="379"/>
      <c r="E49" s="379"/>
      <c r="F49" s="379"/>
      <c r="G49" s="379"/>
    </row>
    <row r="50" spans="1:7" ht="15">
      <c r="A50" s="379" t="s">
        <v>477</v>
      </c>
      <c r="B50" s="379"/>
      <c r="C50" s="379"/>
      <c r="D50" s="379"/>
      <c r="E50" s="379"/>
      <c r="F50" s="379"/>
      <c r="G50" s="379"/>
    </row>
    <row r="51" spans="1:7" ht="15">
      <c r="A51" s="379" t="s">
        <v>478</v>
      </c>
      <c r="B51" s="379"/>
      <c r="C51" s="379"/>
      <c r="D51" s="379"/>
      <c r="E51" s="379"/>
      <c r="F51" s="379"/>
      <c r="G51" s="379"/>
    </row>
    <row r="52" spans="1:7" ht="15">
      <c r="A52" s="379" t="s">
        <v>479</v>
      </c>
      <c r="B52" s="379"/>
      <c r="C52" s="379"/>
      <c r="D52" s="379"/>
      <c r="E52" s="379"/>
      <c r="F52" s="379"/>
      <c r="G52" s="379"/>
    </row>
    <row r="53" spans="1:7" ht="15">
      <c r="A53" s="379" t="s">
        <v>480</v>
      </c>
      <c r="B53" s="379"/>
      <c r="C53" s="379"/>
      <c r="D53" s="379"/>
      <c r="E53" s="379"/>
      <c r="F53" s="379"/>
      <c r="G53" s="379"/>
    </row>
    <row r="54" spans="1:7" ht="15">
      <c r="A54" s="379" t="s">
        <v>481</v>
      </c>
      <c r="B54" s="379"/>
      <c r="C54" s="379"/>
      <c r="D54" s="379"/>
      <c r="E54" s="379"/>
      <c r="F54" s="379"/>
      <c r="G54" s="379"/>
    </row>
    <row r="55" spans="1:7" ht="15">
      <c r="A55" s="379"/>
      <c r="B55" s="379"/>
      <c r="C55" s="379"/>
      <c r="D55" s="379"/>
      <c r="E55" s="379"/>
      <c r="F55" s="379"/>
      <c r="G55" s="379"/>
    </row>
    <row r="56" spans="1:6" ht="15">
      <c r="A56" s="393" t="s">
        <v>419</v>
      </c>
      <c r="B56" s="379"/>
      <c r="C56" s="379"/>
      <c r="D56" s="379"/>
      <c r="E56" s="379"/>
      <c r="F56" s="379"/>
    </row>
    <row r="57" spans="1:6" ht="15">
      <c r="A57" s="393" t="s">
        <v>420</v>
      </c>
      <c r="B57" s="379"/>
      <c r="C57" s="379"/>
      <c r="D57" s="379"/>
      <c r="E57" s="379"/>
      <c r="F57" s="379"/>
    </row>
    <row r="58" spans="1:6" ht="15">
      <c r="A58" s="393" t="s">
        <v>421</v>
      </c>
      <c r="B58" s="379"/>
      <c r="C58" s="379"/>
      <c r="D58" s="379"/>
      <c r="E58" s="379"/>
      <c r="F58" s="379"/>
    </row>
    <row r="59" spans="1:6" ht="15">
      <c r="A59" s="393"/>
      <c r="B59" s="379"/>
      <c r="C59" s="379"/>
      <c r="D59" s="379"/>
      <c r="E59" s="379"/>
      <c r="F59" s="379"/>
    </row>
    <row r="60" spans="1:7" ht="15">
      <c r="A60" s="379" t="s">
        <v>560</v>
      </c>
      <c r="B60" s="379"/>
      <c r="C60" s="379"/>
      <c r="D60" s="379"/>
      <c r="E60" s="379"/>
      <c r="F60" s="379"/>
      <c r="G60" s="379"/>
    </row>
    <row r="61" spans="1:7" ht="15">
      <c r="A61" s="379" t="s">
        <v>561</v>
      </c>
      <c r="B61" s="379"/>
      <c r="C61" s="379"/>
      <c r="D61" s="379"/>
      <c r="E61" s="379"/>
      <c r="F61" s="379"/>
      <c r="G61" s="379"/>
    </row>
    <row r="62" spans="1:7" ht="15">
      <c r="A62" s="379" t="s">
        <v>562</v>
      </c>
      <c r="B62" s="379"/>
      <c r="C62" s="379"/>
      <c r="D62" s="379"/>
      <c r="E62" s="379"/>
      <c r="F62" s="379"/>
      <c r="G62" s="379"/>
    </row>
    <row r="63" spans="1:7" ht="15">
      <c r="A63" s="379" t="s">
        <v>563</v>
      </c>
      <c r="B63" s="379"/>
      <c r="C63" s="379"/>
      <c r="D63" s="379"/>
      <c r="E63" s="379"/>
      <c r="F63" s="379"/>
      <c r="G63" s="379"/>
    </row>
    <row r="64" spans="1:7" ht="15">
      <c r="A64" s="379" t="s">
        <v>564</v>
      </c>
      <c r="B64" s="379"/>
      <c r="C64" s="379"/>
      <c r="D64" s="379"/>
      <c r="E64" s="379"/>
      <c r="F64" s="379"/>
      <c r="G64" s="379"/>
    </row>
    <row r="66" spans="1:6" ht="15">
      <c r="A66" s="393" t="s">
        <v>527</v>
      </c>
      <c r="B66" s="379"/>
      <c r="C66" s="379"/>
      <c r="D66" s="379"/>
      <c r="E66" s="379"/>
      <c r="F66" s="379"/>
    </row>
    <row r="67" spans="1:6" ht="15">
      <c r="A67" s="393" t="s">
        <v>528</v>
      </c>
      <c r="B67" s="379"/>
      <c r="C67" s="379"/>
      <c r="D67" s="379"/>
      <c r="E67" s="379"/>
      <c r="F67" s="379"/>
    </row>
    <row r="68" spans="1:6" ht="15">
      <c r="A68" s="393" t="s">
        <v>529</v>
      </c>
      <c r="B68" s="379"/>
      <c r="C68" s="379"/>
      <c r="D68" s="379"/>
      <c r="E68" s="379"/>
      <c r="F68" s="379"/>
    </row>
    <row r="69" spans="1:6" ht="15">
      <c r="A69" s="393" t="s">
        <v>530</v>
      </c>
      <c r="B69" s="379"/>
      <c r="C69" s="379"/>
      <c r="D69" s="379"/>
      <c r="E69" s="379"/>
      <c r="F69" s="379"/>
    </row>
    <row r="70" spans="1:6" ht="15">
      <c r="A70" s="393" t="s">
        <v>531</v>
      </c>
      <c r="B70" s="379"/>
      <c r="C70" s="379"/>
      <c r="D70" s="379"/>
      <c r="E70" s="379"/>
      <c r="F70" s="379"/>
    </row>
    <row r="71" ht="15">
      <c r="A71" s="379"/>
    </row>
    <row r="72" ht="15">
      <c r="A72" s="379" t="s">
        <v>448</v>
      </c>
    </row>
    <row r="73" ht="15">
      <c r="A73" s="379"/>
    </row>
    <row r="74" ht="15">
      <c r="A74" s="379"/>
    </row>
    <row r="75" ht="15">
      <c r="A75" s="379"/>
    </row>
    <row r="78" ht="15">
      <c r="A78" s="378"/>
    </row>
    <row r="80" ht="15">
      <c r="A80" s="379"/>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2" ht="15">
      <c r="A102" s="379"/>
    </row>
    <row r="103" ht="15">
      <c r="A103" s="379"/>
    </row>
    <row r="104" ht="15">
      <c r="A104" s="379"/>
    </row>
    <row r="105" ht="15">
      <c r="A105" s="379"/>
    </row>
    <row r="106" ht="1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80" t="s">
        <v>565</v>
      </c>
      <c r="B3" s="380"/>
      <c r="C3" s="380"/>
      <c r="D3" s="380"/>
      <c r="E3" s="380"/>
      <c r="F3" s="380"/>
      <c r="G3" s="380"/>
    </row>
    <row r="4" spans="1:7" ht="15">
      <c r="A4" s="380" t="s">
        <v>566</v>
      </c>
      <c r="B4" s="380"/>
      <c r="C4" s="380"/>
      <c r="D4" s="380"/>
      <c r="E4" s="380"/>
      <c r="F4" s="380"/>
      <c r="G4" s="380"/>
    </row>
    <row r="5" spans="1:7" ht="15">
      <c r="A5" s="380"/>
      <c r="B5" s="380"/>
      <c r="C5" s="380"/>
      <c r="D5" s="380"/>
      <c r="E5" s="380"/>
      <c r="F5" s="380"/>
      <c r="G5" s="380"/>
    </row>
    <row r="6" spans="1:7" ht="15">
      <c r="A6" s="380"/>
      <c r="B6" s="380"/>
      <c r="C6" s="380"/>
      <c r="D6" s="380"/>
      <c r="E6" s="380"/>
      <c r="F6" s="380"/>
      <c r="G6" s="380"/>
    </row>
    <row r="7" ht="15">
      <c r="A7" s="379" t="s">
        <v>395</v>
      </c>
    </row>
    <row r="8" ht="15">
      <c r="A8" s="379" t="str">
        <f>CONCATENATE("estimated ",inputPrYr!D5," 'total expenditures' exceed your ",inputPrYr!D5,"")</f>
        <v>estimated 2012 'total expenditures' exceed your 2012</v>
      </c>
    </row>
    <row r="9" ht="15">
      <c r="A9" s="396" t="s">
        <v>567</v>
      </c>
    </row>
    <row r="10" ht="15">
      <c r="A10" s="379"/>
    </row>
    <row r="11" ht="15">
      <c r="A11" s="379" t="s">
        <v>568</v>
      </c>
    </row>
    <row r="12" ht="15">
      <c r="A12" s="379" t="s">
        <v>569</v>
      </c>
    </row>
    <row r="13" ht="15">
      <c r="A13" s="379" t="s">
        <v>570</v>
      </c>
    </row>
    <row r="14" ht="15">
      <c r="A14" s="379"/>
    </row>
    <row r="15" ht="15">
      <c r="A15" s="378" t="s">
        <v>571</v>
      </c>
    </row>
    <row r="16" spans="1:7" ht="15">
      <c r="A16" s="380"/>
      <c r="B16" s="380"/>
      <c r="C16" s="380"/>
      <c r="D16" s="380"/>
      <c r="E16" s="380"/>
      <c r="F16" s="380"/>
      <c r="G16" s="380"/>
    </row>
    <row r="17" spans="1:8" ht="15">
      <c r="A17" s="397" t="s">
        <v>572</v>
      </c>
      <c r="B17" s="374"/>
      <c r="C17" s="374"/>
      <c r="D17" s="374"/>
      <c r="E17" s="374"/>
      <c r="F17" s="374"/>
      <c r="G17" s="374"/>
      <c r="H17" s="374"/>
    </row>
    <row r="18" spans="1:7" ht="15">
      <c r="A18" s="379" t="s">
        <v>573</v>
      </c>
      <c r="B18" s="398"/>
      <c r="C18" s="398"/>
      <c r="D18" s="398"/>
      <c r="E18" s="398"/>
      <c r="F18" s="398"/>
      <c r="G18" s="398"/>
    </row>
    <row r="19" ht="15">
      <c r="A19" s="379" t="s">
        <v>574</v>
      </c>
    </row>
    <row r="20" ht="15">
      <c r="A20" s="379" t="s">
        <v>575</v>
      </c>
    </row>
    <row r="22" ht="15">
      <c r="A22" s="378" t="s">
        <v>576</v>
      </c>
    </row>
    <row r="24" ht="15">
      <c r="A24" s="379" t="s">
        <v>577</v>
      </c>
    </row>
    <row r="25" ht="15">
      <c r="A25" s="379" t="s">
        <v>578</v>
      </c>
    </row>
    <row r="26" ht="15">
      <c r="A26" s="379" t="s">
        <v>579</v>
      </c>
    </row>
    <row r="28" ht="15">
      <c r="A28" s="378" t="s">
        <v>580</v>
      </c>
    </row>
    <row r="30" ht="15">
      <c r="A30" t="s">
        <v>581</v>
      </c>
    </row>
    <row r="31" ht="15">
      <c r="A31" t="s">
        <v>582</v>
      </c>
    </row>
    <row r="32" ht="15">
      <c r="A32" t="s">
        <v>583</v>
      </c>
    </row>
    <row r="33" ht="15">
      <c r="A33" s="379" t="s">
        <v>584</v>
      </c>
    </row>
    <row r="35" ht="15">
      <c r="A35" t="s">
        <v>585</v>
      </c>
    </row>
    <row r="36" ht="15">
      <c r="A36" t="s">
        <v>586</v>
      </c>
    </row>
    <row r="37" ht="15">
      <c r="A37" t="s">
        <v>587</v>
      </c>
    </row>
    <row r="38" ht="15">
      <c r="A38" t="s">
        <v>588</v>
      </c>
    </row>
    <row r="40" ht="15">
      <c r="A40" t="s">
        <v>589</v>
      </c>
    </row>
    <row r="41" ht="15">
      <c r="A41" t="s">
        <v>590</v>
      </c>
    </row>
    <row r="42" ht="15">
      <c r="A42" t="s">
        <v>591</v>
      </c>
    </row>
    <row r="43" ht="15">
      <c r="A43" t="s">
        <v>592</v>
      </c>
    </row>
    <row r="44" ht="15">
      <c r="A44" t="s">
        <v>593</v>
      </c>
    </row>
    <row r="45" ht="15">
      <c r="A45" t="s">
        <v>594</v>
      </c>
    </row>
    <row r="47" ht="15">
      <c r="A47" t="s">
        <v>595</v>
      </c>
    </row>
    <row r="48" ht="15">
      <c r="A48" t="s">
        <v>596</v>
      </c>
    </row>
    <row r="49" ht="15">
      <c r="A49" s="379" t="s">
        <v>597</v>
      </c>
    </row>
    <row r="50" ht="15">
      <c r="A50" s="379" t="s">
        <v>598</v>
      </c>
    </row>
    <row r="52" ht="1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3.5">
      <c r="A1" s="443"/>
      <c r="B1" s="443"/>
      <c r="C1" s="443"/>
      <c r="D1" s="443"/>
      <c r="E1" s="443"/>
      <c r="F1" s="443"/>
      <c r="G1" s="443"/>
      <c r="H1" s="443"/>
      <c r="I1" s="443"/>
      <c r="J1" s="443"/>
      <c r="K1" s="443"/>
      <c r="L1" s="443"/>
    </row>
    <row r="2" spans="1:12" ht="13.5">
      <c r="A2" s="443"/>
      <c r="B2" s="443"/>
      <c r="C2" s="443"/>
      <c r="D2" s="443"/>
      <c r="E2" s="443"/>
      <c r="F2" s="443"/>
      <c r="G2" s="443"/>
      <c r="H2" s="443"/>
      <c r="I2" s="443"/>
      <c r="J2" s="443"/>
      <c r="K2" s="443"/>
      <c r="L2" s="443"/>
    </row>
    <row r="3" spans="1:12" ht="13.5">
      <c r="A3" s="443"/>
      <c r="B3" s="443"/>
      <c r="C3" s="443"/>
      <c r="D3" s="443"/>
      <c r="E3" s="443"/>
      <c r="F3" s="443"/>
      <c r="G3" s="443"/>
      <c r="H3" s="443"/>
      <c r="I3" s="443"/>
      <c r="J3" s="443"/>
      <c r="K3" s="443"/>
      <c r="L3" s="443"/>
    </row>
    <row r="4" spans="1:12" ht="13.5">
      <c r="A4" s="443"/>
      <c r="L4" s="443"/>
    </row>
    <row r="5" spans="1:12" ht="15" customHeight="1">
      <c r="A5" s="443"/>
      <c r="L5" s="443"/>
    </row>
    <row r="6" spans="1:12" ht="33" customHeight="1">
      <c r="A6" s="443"/>
      <c r="B6" s="693" t="s">
        <v>650</v>
      </c>
      <c r="C6" s="694"/>
      <c r="D6" s="694"/>
      <c r="E6" s="694"/>
      <c r="F6" s="694"/>
      <c r="G6" s="694"/>
      <c r="H6" s="694"/>
      <c r="I6" s="694"/>
      <c r="J6" s="694"/>
      <c r="K6" s="694"/>
      <c r="L6" s="446"/>
    </row>
    <row r="7" spans="1:12" ht="40.5" customHeight="1">
      <c r="A7" s="443"/>
      <c r="B7" s="695" t="s">
        <v>651</v>
      </c>
      <c r="C7" s="696"/>
      <c r="D7" s="696"/>
      <c r="E7" s="696"/>
      <c r="F7" s="696"/>
      <c r="G7" s="696"/>
      <c r="H7" s="696"/>
      <c r="I7" s="696"/>
      <c r="J7" s="696"/>
      <c r="K7" s="696"/>
      <c r="L7" s="443"/>
    </row>
    <row r="8" spans="1:12" ht="13.5">
      <c r="A8" s="443"/>
      <c r="B8" s="697" t="s">
        <v>652</v>
      </c>
      <c r="C8" s="697"/>
      <c r="D8" s="697"/>
      <c r="E8" s="697"/>
      <c r="F8" s="697"/>
      <c r="G8" s="697"/>
      <c r="H8" s="697"/>
      <c r="I8" s="697"/>
      <c r="J8" s="697"/>
      <c r="K8" s="697"/>
      <c r="L8" s="443"/>
    </row>
    <row r="9" spans="1:12" ht="13.5">
      <c r="A9" s="443"/>
      <c r="L9" s="443"/>
    </row>
    <row r="10" spans="1:12" ht="13.5">
      <c r="A10" s="443"/>
      <c r="B10" s="697" t="s">
        <v>653</v>
      </c>
      <c r="C10" s="697"/>
      <c r="D10" s="697"/>
      <c r="E10" s="697"/>
      <c r="F10" s="697"/>
      <c r="G10" s="697"/>
      <c r="H10" s="697"/>
      <c r="I10" s="697"/>
      <c r="J10" s="697"/>
      <c r="K10" s="697"/>
      <c r="L10" s="443"/>
    </row>
    <row r="11" spans="1:12" ht="13.5">
      <c r="A11" s="443"/>
      <c r="B11" s="447"/>
      <c r="C11" s="447"/>
      <c r="D11" s="447"/>
      <c r="E11" s="447"/>
      <c r="F11" s="447"/>
      <c r="G11" s="447"/>
      <c r="H11" s="447"/>
      <c r="I11" s="447"/>
      <c r="J11" s="447"/>
      <c r="K11" s="447"/>
      <c r="L11" s="443"/>
    </row>
    <row r="12" spans="1:12" ht="32.25" customHeight="1">
      <c r="A12" s="443"/>
      <c r="B12" s="698" t="s">
        <v>654</v>
      </c>
      <c r="C12" s="698"/>
      <c r="D12" s="698"/>
      <c r="E12" s="698"/>
      <c r="F12" s="698"/>
      <c r="G12" s="698"/>
      <c r="H12" s="698"/>
      <c r="I12" s="698"/>
      <c r="J12" s="698"/>
      <c r="K12" s="698"/>
      <c r="L12" s="443"/>
    </row>
    <row r="13" spans="1:12" ht="13.5">
      <c r="A13" s="443"/>
      <c r="L13" s="443"/>
    </row>
    <row r="14" spans="1:12" ht="13.5">
      <c r="A14" s="443"/>
      <c r="B14" s="448" t="s">
        <v>655</v>
      </c>
      <c r="L14" s="443"/>
    </row>
    <row r="15" spans="1:12" ht="13.5">
      <c r="A15" s="443"/>
      <c r="L15" s="443"/>
    </row>
    <row r="16" spans="1:12" ht="13.5">
      <c r="A16" s="443"/>
      <c r="B16" s="445" t="s">
        <v>656</v>
      </c>
      <c r="L16" s="443"/>
    </row>
    <row r="17" spans="1:12" ht="13.5">
      <c r="A17" s="443"/>
      <c r="B17" s="445" t="s">
        <v>657</v>
      </c>
      <c r="L17" s="443"/>
    </row>
    <row r="18" spans="1:12" ht="13.5">
      <c r="A18" s="443"/>
      <c r="L18" s="443"/>
    </row>
    <row r="19" spans="1:12" ht="13.5">
      <c r="A19" s="443"/>
      <c r="B19" s="448" t="s">
        <v>658</v>
      </c>
      <c r="L19" s="443"/>
    </row>
    <row r="20" spans="1:12" ht="13.5">
      <c r="A20" s="443"/>
      <c r="B20" s="448"/>
      <c r="L20" s="443"/>
    </row>
    <row r="21" spans="1:12" ht="13.5">
      <c r="A21" s="443"/>
      <c r="B21" s="445" t="s">
        <v>659</v>
      </c>
      <c r="L21" s="443"/>
    </row>
    <row r="22" spans="1:12" ht="13.5">
      <c r="A22" s="443"/>
      <c r="L22" s="443"/>
    </row>
    <row r="23" spans="1:12" ht="13.5">
      <c r="A23" s="443"/>
      <c r="B23" s="445" t="s">
        <v>660</v>
      </c>
      <c r="E23" s="445" t="s">
        <v>661</v>
      </c>
      <c r="F23" s="699">
        <v>133685008</v>
      </c>
      <c r="G23" s="699"/>
      <c r="L23" s="443"/>
    </row>
    <row r="24" spans="1:12" ht="13.5">
      <c r="A24" s="443"/>
      <c r="L24" s="443"/>
    </row>
    <row r="25" spans="1:12" ht="13.5">
      <c r="A25" s="443"/>
      <c r="C25" s="700">
        <f>F23</f>
        <v>133685008</v>
      </c>
      <c r="D25" s="700"/>
      <c r="E25" s="445" t="s">
        <v>662</v>
      </c>
      <c r="F25" s="449">
        <v>1000</v>
      </c>
      <c r="G25" s="449" t="s">
        <v>661</v>
      </c>
      <c r="H25" s="450">
        <f>F23/F25</f>
        <v>133685.008</v>
      </c>
      <c r="L25" s="443"/>
    </row>
    <row r="26" spans="1:12" ht="14.25" thickBot="1">
      <c r="A26" s="443"/>
      <c r="L26" s="443"/>
    </row>
    <row r="27" spans="1:12" ht="13.5">
      <c r="A27" s="443"/>
      <c r="B27" s="451" t="s">
        <v>655</v>
      </c>
      <c r="C27" s="452"/>
      <c r="D27" s="452"/>
      <c r="E27" s="452"/>
      <c r="F27" s="452"/>
      <c r="G27" s="452"/>
      <c r="H27" s="452"/>
      <c r="I27" s="452"/>
      <c r="J27" s="452"/>
      <c r="K27" s="453"/>
      <c r="L27" s="443"/>
    </row>
    <row r="28" spans="1:12" ht="13.5">
      <c r="A28" s="443"/>
      <c r="B28" s="454">
        <f>F23</f>
        <v>133685008</v>
      </c>
      <c r="C28" s="455" t="s">
        <v>663</v>
      </c>
      <c r="D28" s="455"/>
      <c r="E28" s="455" t="s">
        <v>662</v>
      </c>
      <c r="F28" s="456">
        <v>1000</v>
      </c>
      <c r="G28" s="456" t="s">
        <v>661</v>
      </c>
      <c r="H28" s="457">
        <f>B28/F28</f>
        <v>133685.008</v>
      </c>
      <c r="I28" s="455" t="s">
        <v>664</v>
      </c>
      <c r="J28" s="455"/>
      <c r="K28" s="458"/>
      <c r="L28" s="443"/>
    </row>
    <row r="29" spans="1:12" ht="14.25" thickBot="1">
      <c r="A29" s="443"/>
      <c r="B29" s="459"/>
      <c r="C29" s="460"/>
      <c r="D29" s="460"/>
      <c r="E29" s="460"/>
      <c r="F29" s="460"/>
      <c r="G29" s="460"/>
      <c r="H29" s="460"/>
      <c r="I29" s="460"/>
      <c r="J29" s="460"/>
      <c r="K29" s="461"/>
      <c r="L29" s="443"/>
    </row>
    <row r="30" spans="1:12" ht="40.5" customHeight="1">
      <c r="A30" s="443"/>
      <c r="B30" s="701" t="s">
        <v>651</v>
      </c>
      <c r="C30" s="701"/>
      <c r="D30" s="701"/>
      <c r="E30" s="701"/>
      <c r="F30" s="701"/>
      <c r="G30" s="701"/>
      <c r="H30" s="701"/>
      <c r="I30" s="701"/>
      <c r="J30" s="701"/>
      <c r="K30" s="701"/>
      <c r="L30" s="443"/>
    </row>
    <row r="31" spans="1:12" ht="13.5">
      <c r="A31" s="443"/>
      <c r="B31" s="697" t="s">
        <v>665</v>
      </c>
      <c r="C31" s="697"/>
      <c r="D31" s="697"/>
      <c r="E31" s="697"/>
      <c r="F31" s="697"/>
      <c r="G31" s="697"/>
      <c r="H31" s="697"/>
      <c r="I31" s="697"/>
      <c r="J31" s="697"/>
      <c r="K31" s="697"/>
      <c r="L31" s="443"/>
    </row>
    <row r="32" spans="1:12" ht="13.5">
      <c r="A32" s="443"/>
      <c r="L32" s="443"/>
    </row>
    <row r="33" spans="1:12" ht="13.5">
      <c r="A33" s="443"/>
      <c r="B33" s="697" t="s">
        <v>666</v>
      </c>
      <c r="C33" s="697"/>
      <c r="D33" s="697"/>
      <c r="E33" s="697"/>
      <c r="F33" s="697"/>
      <c r="G33" s="697"/>
      <c r="H33" s="697"/>
      <c r="I33" s="697"/>
      <c r="J33" s="697"/>
      <c r="K33" s="697"/>
      <c r="L33" s="443"/>
    </row>
    <row r="34" spans="1:12" ht="13.5">
      <c r="A34" s="443"/>
      <c r="L34" s="443"/>
    </row>
    <row r="35" spans="1:12" ht="89.25" customHeight="1">
      <c r="A35" s="443"/>
      <c r="B35" s="698" t="s">
        <v>667</v>
      </c>
      <c r="C35" s="702"/>
      <c r="D35" s="702"/>
      <c r="E35" s="702"/>
      <c r="F35" s="702"/>
      <c r="G35" s="702"/>
      <c r="H35" s="702"/>
      <c r="I35" s="702"/>
      <c r="J35" s="702"/>
      <c r="K35" s="702"/>
      <c r="L35" s="443"/>
    </row>
    <row r="36" spans="1:12" ht="13.5">
      <c r="A36" s="443"/>
      <c r="L36" s="443"/>
    </row>
    <row r="37" spans="1:12" ht="13.5">
      <c r="A37" s="443"/>
      <c r="B37" s="448" t="s">
        <v>668</v>
      </c>
      <c r="L37" s="443"/>
    </row>
    <row r="38" spans="1:12" ht="13.5">
      <c r="A38" s="443"/>
      <c r="L38" s="443"/>
    </row>
    <row r="39" spans="1:12" ht="13.5">
      <c r="A39" s="443"/>
      <c r="B39" s="445" t="s">
        <v>669</v>
      </c>
      <c r="L39" s="443"/>
    </row>
    <row r="40" spans="1:12" ht="13.5">
      <c r="A40" s="443"/>
      <c r="L40" s="443"/>
    </row>
    <row r="41" spans="1:12" ht="13.5">
      <c r="A41" s="443"/>
      <c r="C41" s="703">
        <v>3120000</v>
      </c>
      <c r="D41" s="703"/>
      <c r="E41" s="445" t="s">
        <v>662</v>
      </c>
      <c r="F41" s="449">
        <v>1000</v>
      </c>
      <c r="G41" s="449" t="s">
        <v>661</v>
      </c>
      <c r="H41" s="462">
        <f>C41/F41</f>
        <v>3120</v>
      </c>
      <c r="L41" s="443"/>
    </row>
    <row r="42" spans="1:12" ht="13.5">
      <c r="A42" s="443"/>
      <c r="L42" s="443"/>
    </row>
    <row r="43" spans="1:12" ht="13.5">
      <c r="A43" s="443"/>
      <c r="B43" s="445" t="s">
        <v>670</v>
      </c>
      <c r="L43" s="443"/>
    </row>
    <row r="44" spans="1:12" ht="13.5">
      <c r="A44" s="443"/>
      <c r="L44" s="443"/>
    </row>
    <row r="45" spans="1:12" ht="13.5">
      <c r="A45" s="443"/>
      <c r="B45" s="445" t="s">
        <v>671</v>
      </c>
      <c r="L45" s="443"/>
    </row>
    <row r="46" spans="1:12" ht="14.25" thickBot="1">
      <c r="A46" s="443"/>
      <c r="L46" s="443"/>
    </row>
    <row r="47" spans="1:12" ht="13.5">
      <c r="A47" s="443"/>
      <c r="B47" s="463" t="s">
        <v>655</v>
      </c>
      <c r="C47" s="452"/>
      <c r="D47" s="452"/>
      <c r="E47" s="452"/>
      <c r="F47" s="452"/>
      <c r="G47" s="452"/>
      <c r="H47" s="452"/>
      <c r="I47" s="452"/>
      <c r="J47" s="452"/>
      <c r="K47" s="453"/>
      <c r="L47" s="443"/>
    </row>
    <row r="48" spans="1:12" ht="13.5">
      <c r="A48" s="443"/>
      <c r="B48" s="699">
        <v>133685008</v>
      </c>
      <c r="C48" s="699"/>
      <c r="D48" s="455" t="s">
        <v>672</v>
      </c>
      <c r="E48" s="455" t="s">
        <v>662</v>
      </c>
      <c r="F48" s="456">
        <v>1000</v>
      </c>
      <c r="G48" s="456" t="s">
        <v>661</v>
      </c>
      <c r="H48" s="457">
        <f>B48/F48</f>
        <v>133685.008</v>
      </c>
      <c r="I48" s="455" t="s">
        <v>673</v>
      </c>
      <c r="J48" s="455"/>
      <c r="K48" s="458"/>
      <c r="L48" s="443"/>
    </row>
    <row r="49" spans="1:12" ht="13.5">
      <c r="A49" s="443"/>
      <c r="B49" s="464"/>
      <c r="C49" s="455"/>
      <c r="D49" s="455"/>
      <c r="E49" s="455"/>
      <c r="F49" s="455"/>
      <c r="G49" s="455"/>
      <c r="H49" s="455"/>
      <c r="I49" s="455"/>
      <c r="J49" s="455"/>
      <c r="K49" s="458"/>
      <c r="L49" s="443"/>
    </row>
    <row r="50" spans="1:12" ht="13.5">
      <c r="A50" s="443"/>
      <c r="B50" s="465">
        <v>7067793</v>
      </c>
      <c r="C50" s="455" t="s">
        <v>674</v>
      </c>
      <c r="D50" s="455"/>
      <c r="E50" s="455" t="s">
        <v>662</v>
      </c>
      <c r="F50" s="457">
        <f>H48</f>
        <v>133685.008</v>
      </c>
      <c r="G50" s="704" t="s">
        <v>675</v>
      </c>
      <c r="H50" s="705"/>
      <c r="I50" s="456" t="s">
        <v>661</v>
      </c>
      <c r="J50" s="466">
        <f>B50/F50</f>
        <v>52.8690023342034</v>
      </c>
      <c r="K50" s="458"/>
      <c r="L50" s="443"/>
    </row>
    <row r="51" spans="1:15" ht="14.25" thickBot="1">
      <c r="A51" s="443"/>
      <c r="B51" s="459"/>
      <c r="C51" s="460"/>
      <c r="D51" s="460"/>
      <c r="E51" s="460"/>
      <c r="F51" s="460"/>
      <c r="G51" s="460"/>
      <c r="H51" s="460"/>
      <c r="I51" s="706" t="s">
        <v>676</v>
      </c>
      <c r="J51" s="706"/>
      <c r="K51" s="707"/>
      <c r="L51" s="443"/>
      <c r="O51" s="467"/>
    </row>
    <row r="52" spans="1:12" ht="40.5" customHeight="1">
      <c r="A52" s="443"/>
      <c r="B52" s="701" t="s">
        <v>651</v>
      </c>
      <c r="C52" s="701"/>
      <c r="D52" s="701"/>
      <c r="E52" s="701"/>
      <c r="F52" s="701"/>
      <c r="G52" s="701"/>
      <c r="H52" s="701"/>
      <c r="I52" s="701"/>
      <c r="J52" s="701"/>
      <c r="K52" s="701"/>
      <c r="L52" s="443"/>
    </row>
    <row r="53" spans="1:12" ht="13.5">
      <c r="A53" s="443"/>
      <c r="B53" s="697" t="s">
        <v>677</v>
      </c>
      <c r="C53" s="697"/>
      <c r="D53" s="697"/>
      <c r="E53" s="697"/>
      <c r="F53" s="697"/>
      <c r="G53" s="697"/>
      <c r="H53" s="697"/>
      <c r="I53" s="697"/>
      <c r="J53" s="697"/>
      <c r="K53" s="697"/>
      <c r="L53" s="443"/>
    </row>
    <row r="54" spans="1:12" ht="13.5">
      <c r="A54" s="443"/>
      <c r="B54" s="447"/>
      <c r="C54" s="447"/>
      <c r="D54" s="447"/>
      <c r="E54" s="447"/>
      <c r="F54" s="447"/>
      <c r="G54" s="447"/>
      <c r="H54" s="447"/>
      <c r="I54" s="447"/>
      <c r="J54" s="447"/>
      <c r="K54" s="447"/>
      <c r="L54" s="443"/>
    </row>
    <row r="55" spans="1:12" ht="13.5">
      <c r="A55" s="443"/>
      <c r="B55" s="693" t="s">
        <v>678</v>
      </c>
      <c r="C55" s="693"/>
      <c r="D55" s="693"/>
      <c r="E55" s="693"/>
      <c r="F55" s="693"/>
      <c r="G55" s="693"/>
      <c r="H55" s="693"/>
      <c r="I55" s="693"/>
      <c r="J55" s="693"/>
      <c r="K55" s="693"/>
      <c r="L55" s="443"/>
    </row>
    <row r="56" spans="1:12" ht="15" customHeight="1">
      <c r="A56" s="443"/>
      <c r="L56" s="443"/>
    </row>
    <row r="57" spans="1:24" ht="74.25" customHeight="1">
      <c r="A57" s="443"/>
      <c r="B57" s="698" t="s">
        <v>679</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3.5">
      <c r="A59" s="443"/>
      <c r="B59" s="448" t="s">
        <v>668</v>
      </c>
      <c r="L59" s="443"/>
      <c r="M59" s="469"/>
      <c r="N59" s="469"/>
      <c r="O59" s="469"/>
      <c r="P59" s="469"/>
      <c r="Q59" s="469"/>
      <c r="R59" s="469"/>
      <c r="S59" s="469"/>
      <c r="T59" s="469"/>
      <c r="U59" s="469"/>
      <c r="V59" s="469"/>
      <c r="W59" s="469"/>
      <c r="X59" s="469"/>
    </row>
    <row r="60" spans="1:24" ht="13.5">
      <c r="A60" s="443"/>
      <c r="L60" s="443"/>
      <c r="M60" s="469"/>
      <c r="N60" s="469"/>
      <c r="O60" s="469"/>
      <c r="P60" s="469"/>
      <c r="Q60" s="469"/>
      <c r="R60" s="469"/>
      <c r="S60" s="469"/>
      <c r="T60" s="469"/>
      <c r="U60" s="469"/>
      <c r="V60" s="469"/>
      <c r="W60" s="469"/>
      <c r="X60" s="469"/>
    </row>
    <row r="61" spans="1:24" ht="13.5">
      <c r="A61" s="443"/>
      <c r="B61" s="445" t="s">
        <v>680</v>
      </c>
      <c r="L61" s="443"/>
      <c r="M61" s="469"/>
      <c r="N61" s="469"/>
      <c r="O61" s="469"/>
      <c r="P61" s="469"/>
      <c r="Q61" s="469"/>
      <c r="R61" s="469"/>
      <c r="S61" s="469"/>
      <c r="T61" s="469"/>
      <c r="U61" s="469"/>
      <c r="V61" s="469"/>
      <c r="W61" s="469"/>
      <c r="X61" s="469"/>
    </row>
    <row r="62" spans="1:24" ht="13.5">
      <c r="A62" s="443"/>
      <c r="B62" s="445" t="s">
        <v>681</v>
      </c>
      <c r="L62" s="443"/>
      <c r="M62" s="469"/>
      <c r="N62" s="469"/>
      <c r="O62" s="469"/>
      <c r="P62" s="469"/>
      <c r="Q62" s="469"/>
      <c r="R62" s="469"/>
      <c r="S62" s="469"/>
      <c r="T62" s="469"/>
      <c r="U62" s="469"/>
      <c r="V62" s="469"/>
      <c r="W62" s="469"/>
      <c r="X62" s="469"/>
    </row>
    <row r="63" spans="1:24" ht="13.5">
      <c r="A63" s="443"/>
      <c r="B63" s="445" t="s">
        <v>682</v>
      </c>
      <c r="L63" s="443"/>
      <c r="M63" s="469"/>
      <c r="N63" s="469"/>
      <c r="O63" s="469"/>
      <c r="P63" s="469"/>
      <c r="Q63" s="469"/>
      <c r="R63" s="469"/>
      <c r="S63" s="469"/>
      <c r="T63" s="469"/>
      <c r="U63" s="469"/>
      <c r="V63" s="469"/>
      <c r="W63" s="469"/>
      <c r="X63" s="469"/>
    </row>
    <row r="64" spans="1:24" ht="13.5">
      <c r="A64" s="443"/>
      <c r="L64" s="443"/>
      <c r="M64" s="469"/>
      <c r="N64" s="469"/>
      <c r="O64" s="469"/>
      <c r="P64" s="469"/>
      <c r="Q64" s="469"/>
      <c r="R64" s="469"/>
      <c r="S64" s="469"/>
      <c r="T64" s="469"/>
      <c r="U64" s="469"/>
      <c r="V64" s="469"/>
      <c r="W64" s="469"/>
      <c r="X64" s="469"/>
    </row>
    <row r="65" spans="1:24" ht="13.5">
      <c r="A65" s="443"/>
      <c r="B65" s="445" t="s">
        <v>683</v>
      </c>
      <c r="L65" s="443"/>
      <c r="M65" s="469"/>
      <c r="N65" s="469"/>
      <c r="O65" s="469"/>
      <c r="P65" s="469"/>
      <c r="Q65" s="469"/>
      <c r="R65" s="469"/>
      <c r="S65" s="469"/>
      <c r="T65" s="469"/>
      <c r="U65" s="469"/>
      <c r="V65" s="469"/>
      <c r="W65" s="469"/>
      <c r="X65" s="469"/>
    </row>
    <row r="66" spans="1:24" ht="13.5">
      <c r="A66" s="443"/>
      <c r="B66" s="445" t="s">
        <v>684</v>
      </c>
      <c r="L66" s="443"/>
      <c r="M66" s="469"/>
      <c r="N66" s="469"/>
      <c r="O66" s="469"/>
      <c r="P66" s="469"/>
      <c r="Q66" s="469"/>
      <c r="R66" s="469"/>
      <c r="S66" s="469"/>
      <c r="T66" s="469"/>
      <c r="U66" s="469"/>
      <c r="V66" s="469"/>
      <c r="W66" s="469"/>
      <c r="X66" s="469"/>
    </row>
    <row r="67" spans="1:24" ht="13.5">
      <c r="A67" s="443"/>
      <c r="L67" s="443"/>
      <c r="M67" s="469"/>
      <c r="N67" s="469"/>
      <c r="O67" s="469"/>
      <c r="P67" s="469"/>
      <c r="Q67" s="469"/>
      <c r="R67" s="469"/>
      <c r="S67" s="469"/>
      <c r="T67" s="469"/>
      <c r="U67" s="469"/>
      <c r="V67" s="469"/>
      <c r="W67" s="469"/>
      <c r="X67" s="469"/>
    </row>
    <row r="68" spans="1:24" ht="13.5">
      <c r="A68" s="443"/>
      <c r="B68" s="445" t="s">
        <v>685</v>
      </c>
      <c r="L68" s="443"/>
      <c r="M68" s="470"/>
      <c r="N68" s="471"/>
      <c r="O68" s="471"/>
      <c r="P68" s="471"/>
      <c r="Q68" s="471"/>
      <c r="R68" s="471"/>
      <c r="S68" s="471"/>
      <c r="T68" s="471"/>
      <c r="U68" s="471"/>
      <c r="V68" s="471"/>
      <c r="W68" s="471"/>
      <c r="X68" s="469"/>
    </row>
    <row r="69" spans="1:24" ht="13.5">
      <c r="A69" s="443"/>
      <c r="B69" s="445" t="s">
        <v>686</v>
      </c>
      <c r="L69" s="443"/>
      <c r="M69" s="469"/>
      <c r="N69" s="469"/>
      <c r="O69" s="469"/>
      <c r="P69" s="469"/>
      <c r="Q69" s="469"/>
      <c r="R69" s="469"/>
      <c r="S69" s="469"/>
      <c r="T69" s="469"/>
      <c r="U69" s="469"/>
      <c r="V69" s="469"/>
      <c r="W69" s="469"/>
      <c r="X69" s="469"/>
    </row>
    <row r="70" spans="1:24" ht="13.5">
      <c r="A70" s="443"/>
      <c r="B70" s="445" t="s">
        <v>687</v>
      </c>
      <c r="L70" s="443"/>
      <c r="M70" s="469"/>
      <c r="N70" s="469"/>
      <c r="O70" s="469"/>
      <c r="P70" s="469"/>
      <c r="Q70" s="469"/>
      <c r="R70" s="469"/>
      <c r="S70" s="469"/>
      <c r="T70" s="469"/>
      <c r="U70" s="469"/>
      <c r="V70" s="469"/>
      <c r="W70" s="469"/>
      <c r="X70" s="469"/>
    </row>
    <row r="71" spans="1:12" ht="14.25" thickBot="1">
      <c r="A71" s="443"/>
      <c r="B71" s="455"/>
      <c r="C71" s="455"/>
      <c r="D71" s="455"/>
      <c r="E71" s="455"/>
      <c r="F71" s="455"/>
      <c r="G71" s="455"/>
      <c r="H71" s="455"/>
      <c r="I71" s="455"/>
      <c r="J71" s="455"/>
      <c r="K71" s="455"/>
      <c r="L71" s="443"/>
    </row>
    <row r="72" spans="1:12" ht="13.5">
      <c r="A72" s="443"/>
      <c r="B72" s="451" t="s">
        <v>655</v>
      </c>
      <c r="C72" s="452"/>
      <c r="D72" s="452"/>
      <c r="E72" s="452"/>
      <c r="F72" s="452"/>
      <c r="G72" s="452"/>
      <c r="H72" s="452"/>
      <c r="I72" s="452"/>
      <c r="J72" s="452"/>
      <c r="K72" s="453"/>
      <c r="L72" s="472"/>
    </row>
    <row r="73" spans="1:12" ht="13.5">
      <c r="A73" s="443"/>
      <c r="B73" s="464"/>
      <c r="C73" s="455" t="s">
        <v>663</v>
      </c>
      <c r="D73" s="455"/>
      <c r="E73" s="455"/>
      <c r="F73" s="455"/>
      <c r="G73" s="455"/>
      <c r="H73" s="455"/>
      <c r="I73" s="455"/>
      <c r="J73" s="455"/>
      <c r="K73" s="458"/>
      <c r="L73" s="472"/>
    </row>
    <row r="74" spans="1:12" ht="13.5">
      <c r="A74" s="443"/>
      <c r="B74" s="464" t="s">
        <v>688</v>
      </c>
      <c r="C74" s="699">
        <v>133685008</v>
      </c>
      <c r="D74" s="699"/>
      <c r="E74" s="456" t="s">
        <v>662</v>
      </c>
      <c r="F74" s="456">
        <v>1000</v>
      </c>
      <c r="G74" s="456" t="s">
        <v>661</v>
      </c>
      <c r="H74" s="473">
        <f>C74/F74</f>
        <v>133685.008</v>
      </c>
      <c r="I74" s="455" t="s">
        <v>689</v>
      </c>
      <c r="J74" s="455"/>
      <c r="K74" s="458"/>
      <c r="L74" s="472"/>
    </row>
    <row r="75" spans="1:12" ht="13.5">
      <c r="A75" s="443"/>
      <c r="B75" s="464"/>
      <c r="C75" s="455"/>
      <c r="D75" s="455"/>
      <c r="E75" s="456"/>
      <c r="F75" s="455"/>
      <c r="G75" s="455"/>
      <c r="H75" s="455"/>
      <c r="I75" s="455"/>
      <c r="J75" s="455"/>
      <c r="K75" s="458"/>
      <c r="L75" s="472"/>
    </row>
    <row r="76" spans="1:12" ht="13.5">
      <c r="A76" s="443"/>
      <c r="B76" s="464"/>
      <c r="C76" s="455" t="s">
        <v>690</v>
      </c>
      <c r="D76" s="455"/>
      <c r="E76" s="456"/>
      <c r="F76" s="455" t="s">
        <v>689</v>
      </c>
      <c r="G76" s="455"/>
      <c r="H76" s="455"/>
      <c r="I76" s="455"/>
      <c r="J76" s="455"/>
      <c r="K76" s="458"/>
      <c r="L76" s="472"/>
    </row>
    <row r="77" spans="1:12" ht="13.5">
      <c r="A77" s="443"/>
      <c r="B77" s="464" t="s">
        <v>691</v>
      </c>
      <c r="C77" s="699">
        <v>5000</v>
      </c>
      <c r="D77" s="699"/>
      <c r="E77" s="456" t="s">
        <v>662</v>
      </c>
      <c r="F77" s="473">
        <f>H74</f>
        <v>133685.008</v>
      </c>
      <c r="G77" s="456" t="s">
        <v>661</v>
      </c>
      <c r="H77" s="466">
        <f>C77/F77</f>
        <v>0.03740135169083432</v>
      </c>
      <c r="I77" s="455" t="s">
        <v>692</v>
      </c>
      <c r="J77" s="455"/>
      <c r="K77" s="458"/>
      <c r="L77" s="472"/>
    </row>
    <row r="78" spans="1:12" ht="13.5">
      <c r="A78" s="443"/>
      <c r="B78" s="464"/>
      <c r="C78" s="455"/>
      <c r="D78" s="455"/>
      <c r="E78" s="456"/>
      <c r="F78" s="455"/>
      <c r="G78" s="455"/>
      <c r="H78" s="455"/>
      <c r="I78" s="455"/>
      <c r="J78" s="455"/>
      <c r="K78" s="458"/>
      <c r="L78" s="472"/>
    </row>
    <row r="79" spans="1:12" ht="13.5">
      <c r="A79" s="443"/>
      <c r="B79" s="474"/>
      <c r="C79" s="475" t="s">
        <v>693</v>
      </c>
      <c r="D79" s="475"/>
      <c r="E79" s="476"/>
      <c r="F79" s="475"/>
      <c r="G79" s="475"/>
      <c r="H79" s="475"/>
      <c r="I79" s="475"/>
      <c r="J79" s="475"/>
      <c r="K79" s="477"/>
      <c r="L79" s="472"/>
    </row>
    <row r="80" spans="1:12" ht="13.5">
      <c r="A80" s="443"/>
      <c r="B80" s="464" t="s">
        <v>694</v>
      </c>
      <c r="C80" s="699">
        <v>100000</v>
      </c>
      <c r="D80" s="699"/>
      <c r="E80" s="456" t="s">
        <v>301</v>
      </c>
      <c r="F80" s="456">
        <v>0.115</v>
      </c>
      <c r="G80" s="456" t="s">
        <v>661</v>
      </c>
      <c r="H80" s="473">
        <f>C80*F80</f>
        <v>11500</v>
      </c>
      <c r="I80" s="455" t="s">
        <v>695</v>
      </c>
      <c r="J80" s="455"/>
      <c r="K80" s="458"/>
      <c r="L80" s="472"/>
    </row>
    <row r="81" spans="1:12" ht="13.5">
      <c r="A81" s="443"/>
      <c r="B81" s="464"/>
      <c r="C81" s="455"/>
      <c r="D81" s="455"/>
      <c r="E81" s="456"/>
      <c r="F81" s="455"/>
      <c r="G81" s="455"/>
      <c r="H81" s="455"/>
      <c r="I81" s="455"/>
      <c r="J81" s="455"/>
      <c r="K81" s="458"/>
      <c r="L81" s="472"/>
    </row>
    <row r="82" spans="1:12" ht="13.5">
      <c r="A82" s="443"/>
      <c r="B82" s="474"/>
      <c r="C82" s="475" t="s">
        <v>696</v>
      </c>
      <c r="D82" s="475"/>
      <c r="E82" s="476"/>
      <c r="F82" s="475" t="s">
        <v>692</v>
      </c>
      <c r="G82" s="475"/>
      <c r="H82" s="475"/>
      <c r="I82" s="475"/>
      <c r="J82" s="475" t="s">
        <v>697</v>
      </c>
      <c r="K82" s="477"/>
      <c r="L82" s="472"/>
    </row>
    <row r="83" spans="1:12" ht="13.5">
      <c r="A83" s="443"/>
      <c r="B83" s="464" t="s">
        <v>698</v>
      </c>
      <c r="C83" s="708">
        <f>H80</f>
        <v>11500</v>
      </c>
      <c r="D83" s="708"/>
      <c r="E83" s="456" t="s">
        <v>301</v>
      </c>
      <c r="F83" s="466">
        <f>H77</f>
        <v>0.03740135169083432</v>
      </c>
      <c r="G83" s="456" t="s">
        <v>662</v>
      </c>
      <c r="H83" s="456">
        <v>1000</v>
      </c>
      <c r="I83" s="456" t="s">
        <v>661</v>
      </c>
      <c r="J83" s="478">
        <f>C83*F83/H83</f>
        <v>0.43011554444459466</v>
      </c>
      <c r="K83" s="458"/>
      <c r="L83" s="472"/>
    </row>
    <row r="84" spans="1:12" ht="14.25" thickBot="1">
      <c r="A84" s="443"/>
      <c r="B84" s="459"/>
      <c r="C84" s="479"/>
      <c r="D84" s="479"/>
      <c r="E84" s="480"/>
      <c r="F84" s="481"/>
      <c r="G84" s="480"/>
      <c r="H84" s="480"/>
      <c r="I84" s="480"/>
      <c r="J84" s="482"/>
      <c r="K84" s="461"/>
      <c r="L84" s="472"/>
    </row>
    <row r="85" spans="1:12" ht="40.5" customHeight="1">
      <c r="A85" s="443"/>
      <c r="B85" s="701" t="s">
        <v>651</v>
      </c>
      <c r="C85" s="701"/>
      <c r="D85" s="701"/>
      <c r="E85" s="701"/>
      <c r="F85" s="701"/>
      <c r="G85" s="701"/>
      <c r="H85" s="701"/>
      <c r="I85" s="701"/>
      <c r="J85" s="701"/>
      <c r="K85" s="701"/>
      <c r="L85" s="443"/>
    </row>
    <row r="86" spans="1:12" ht="13.5">
      <c r="A86" s="443"/>
      <c r="B86" s="693" t="s">
        <v>699</v>
      </c>
      <c r="C86" s="693"/>
      <c r="D86" s="693"/>
      <c r="E86" s="693"/>
      <c r="F86" s="693"/>
      <c r="G86" s="693"/>
      <c r="H86" s="693"/>
      <c r="I86" s="693"/>
      <c r="J86" s="693"/>
      <c r="K86" s="693"/>
      <c r="L86" s="443"/>
    </row>
    <row r="87" spans="1:12" ht="13.5">
      <c r="A87" s="443"/>
      <c r="B87" s="483"/>
      <c r="C87" s="483"/>
      <c r="D87" s="483"/>
      <c r="E87" s="483"/>
      <c r="F87" s="483"/>
      <c r="G87" s="483"/>
      <c r="H87" s="483"/>
      <c r="I87" s="483"/>
      <c r="J87" s="483"/>
      <c r="K87" s="483"/>
      <c r="L87" s="443"/>
    </row>
    <row r="88" spans="1:12" ht="13.5">
      <c r="A88" s="443"/>
      <c r="B88" s="693" t="s">
        <v>700</v>
      </c>
      <c r="C88" s="693"/>
      <c r="D88" s="693"/>
      <c r="E88" s="693"/>
      <c r="F88" s="693"/>
      <c r="G88" s="693"/>
      <c r="H88" s="693"/>
      <c r="I88" s="693"/>
      <c r="J88" s="693"/>
      <c r="K88" s="693"/>
      <c r="L88" s="443"/>
    </row>
    <row r="89" spans="1:12" ht="13.5">
      <c r="A89" s="443"/>
      <c r="B89" s="484"/>
      <c r="C89" s="484"/>
      <c r="D89" s="484"/>
      <c r="E89" s="484"/>
      <c r="F89" s="484"/>
      <c r="G89" s="484"/>
      <c r="H89" s="484"/>
      <c r="I89" s="484"/>
      <c r="J89" s="484"/>
      <c r="K89" s="484"/>
      <c r="L89" s="443"/>
    </row>
    <row r="90" spans="1:12" ht="45" customHeight="1">
      <c r="A90" s="443"/>
      <c r="B90" s="698" t="s">
        <v>701</v>
      </c>
      <c r="C90" s="698"/>
      <c r="D90" s="698"/>
      <c r="E90" s="698"/>
      <c r="F90" s="698"/>
      <c r="G90" s="698"/>
      <c r="H90" s="698"/>
      <c r="I90" s="698"/>
      <c r="J90" s="698"/>
      <c r="K90" s="698"/>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99">
        <v>133685008</v>
      </c>
      <c r="D94" s="699"/>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99">
        <v>50000</v>
      </c>
      <c r="D97" s="699"/>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99">
        <v>2500000</v>
      </c>
      <c r="D100" s="699"/>
      <c r="E100" s="456" t="s">
        <v>301</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8">
        <f>H100</f>
        <v>750000</v>
      </c>
      <c r="D103" s="708"/>
      <c r="E103" s="456" t="s">
        <v>301</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651</v>
      </c>
      <c r="C105" s="709"/>
      <c r="D105" s="709"/>
      <c r="E105" s="709"/>
      <c r="F105" s="709"/>
      <c r="G105" s="709"/>
      <c r="H105" s="709"/>
      <c r="I105" s="709"/>
      <c r="J105" s="709"/>
      <c r="K105" s="709"/>
      <c r="L105" s="443"/>
    </row>
    <row r="106" spans="1:12" ht="15" customHeight="1">
      <c r="A106" s="443"/>
      <c r="B106" s="710" t="s">
        <v>703</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02"/>
      <c r="D110" s="702"/>
      <c r="E110" s="702"/>
      <c r="F110" s="702"/>
      <c r="G110" s="702"/>
      <c r="H110" s="702"/>
      <c r="I110" s="702"/>
      <c r="J110" s="702"/>
      <c r="K110" s="702"/>
      <c r="L110" s="443"/>
    </row>
    <row r="111" spans="1:12" ht="14.25" thickBot="1">
      <c r="A111" s="443"/>
      <c r="B111" s="447"/>
      <c r="C111" s="447"/>
      <c r="D111" s="447"/>
      <c r="E111" s="447"/>
      <c r="F111" s="447"/>
      <c r="G111" s="447"/>
      <c r="H111" s="447"/>
      <c r="I111" s="447"/>
      <c r="J111" s="447"/>
      <c r="K111" s="447"/>
      <c r="L111" s="498"/>
    </row>
    <row r="112" spans="1:12" ht="13.5">
      <c r="A112" s="443"/>
      <c r="B112" s="451" t="s">
        <v>655</v>
      </c>
      <c r="C112" s="452"/>
      <c r="D112" s="452"/>
      <c r="E112" s="452"/>
      <c r="F112" s="452"/>
      <c r="G112" s="452"/>
      <c r="H112" s="452"/>
      <c r="I112" s="452"/>
      <c r="J112" s="452"/>
      <c r="K112" s="453"/>
      <c r="L112" s="443"/>
    </row>
    <row r="113" spans="1:12" ht="13.5">
      <c r="A113" s="443"/>
      <c r="B113" s="464"/>
      <c r="C113" s="455" t="s">
        <v>663</v>
      </c>
      <c r="D113" s="455"/>
      <c r="E113" s="455"/>
      <c r="F113" s="455"/>
      <c r="G113" s="455"/>
      <c r="H113" s="455"/>
      <c r="I113" s="455"/>
      <c r="J113" s="455"/>
      <c r="K113" s="458"/>
      <c r="L113" s="443"/>
    </row>
    <row r="114" spans="1:12" ht="13.5">
      <c r="A114" s="443"/>
      <c r="B114" s="464" t="s">
        <v>688</v>
      </c>
      <c r="C114" s="699">
        <v>133685008</v>
      </c>
      <c r="D114" s="699"/>
      <c r="E114" s="456" t="s">
        <v>662</v>
      </c>
      <c r="F114" s="456">
        <v>1000</v>
      </c>
      <c r="G114" s="456" t="s">
        <v>661</v>
      </c>
      <c r="H114" s="473">
        <f>C114/F114</f>
        <v>133685.008</v>
      </c>
      <c r="I114" s="455" t="s">
        <v>689</v>
      </c>
      <c r="J114" s="455"/>
      <c r="K114" s="458"/>
      <c r="L114" s="443"/>
    </row>
    <row r="115" spans="1:12" ht="13.5">
      <c r="A115" s="443"/>
      <c r="B115" s="464"/>
      <c r="C115" s="455"/>
      <c r="D115" s="455"/>
      <c r="E115" s="456"/>
      <c r="F115" s="455"/>
      <c r="G115" s="455"/>
      <c r="H115" s="455"/>
      <c r="I115" s="455"/>
      <c r="J115" s="455"/>
      <c r="K115" s="458"/>
      <c r="L115" s="443"/>
    </row>
    <row r="116" spans="1:12" ht="13.5">
      <c r="A116" s="443"/>
      <c r="B116" s="464"/>
      <c r="C116" s="455" t="s">
        <v>690</v>
      </c>
      <c r="D116" s="455"/>
      <c r="E116" s="456"/>
      <c r="F116" s="455" t="s">
        <v>689</v>
      </c>
      <c r="G116" s="455"/>
      <c r="H116" s="455"/>
      <c r="I116" s="455"/>
      <c r="J116" s="455"/>
      <c r="K116" s="458"/>
      <c r="L116" s="443"/>
    </row>
    <row r="117" spans="1:12" ht="13.5">
      <c r="A117" s="443"/>
      <c r="B117" s="464" t="s">
        <v>691</v>
      </c>
      <c r="C117" s="699">
        <v>50000</v>
      </c>
      <c r="D117" s="699"/>
      <c r="E117" s="456" t="s">
        <v>662</v>
      </c>
      <c r="F117" s="473">
        <f>H114</f>
        <v>133685.008</v>
      </c>
      <c r="G117" s="456" t="s">
        <v>661</v>
      </c>
      <c r="H117" s="466">
        <f>C117/F117</f>
        <v>0.3740135169083432</v>
      </c>
      <c r="I117" s="455" t="s">
        <v>692</v>
      </c>
      <c r="J117" s="455"/>
      <c r="K117" s="458"/>
      <c r="L117" s="443"/>
    </row>
    <row r="118" spans="1:12" ht="13.5">
      <c r="A118" s="443"/>
      <c r="B118" s="464"/>
      <c r="C118" s="455"/>
      <c r="D118" s="455"/>
      <c r="E118" s="456"/>
      <c r="F118" s="455"/>
      <c r="G118" s="455"/>
      <c r="H118" s="455"/>
      <c r="I118" s="455"/>
      <c r="J118" s="455"/>
      <c r="K118" s="458"/>
      <c r="L118" s="443"/>
    </row>
    <row r="119" spans="1:12" ht="13.5">
      <c r="A119" s="443"/>
      <c r="B119" s="474"/>
      <c r="C119" s="475" t="s">
        <v>702</v>
      </c>
      <c r="D119" s="475"/>
      <c r="E119" s="476"/>
      <c r="F119" s="475"/>
      <c r="G119" s="475"/>
      <c r="H119" s="475"/>
      <c r="I119" s="475"/>
      <c r="J119" s="475"/>
      <c r="K119" s="477"/>
      <c r="L119" s="443"/>
    </row>
    <row r="120" spans="1:12" ht="13.5">
      <c r="A120" s="443"/>
      <c r="B120" s="464" t="s">
        <v>694</v>
      </c>
      <c r="C120" s="699">
        <v>2500000</v>
      </c>
      <c r="D120" s="699"/>
      <c r="E120" s="456" t="s">
        <v>301</v>
      </c>
      <c r="F120" s="494">
        <v>0.25</v>
      </c>
      <c r="G120" s="456" t="s">
        <v>661</v>
      </c>
      <c r="H120" s="473">
        <f>C120*F120</f>
        <v>625000</v>
      </c>
      <c r="I120" s="455" t="s">
        <v>695</v>
      </c>
      <c r="J120" s="455"/>
      <c r="K120" s="458"/>
      <c r="L120" s="443"/>
    </row>
    <row r="121" spans="1:12" ht="13.5">
      <c r="A121" s="443"/>
      <c r="B121" s="464"/>
      <c r="C121" s="455"/>
      <c r="D121" s="455"/>
      <c r="E121" s="456"/>
      <c r="F121" s="455"/>
      <c r="G121" s="455"/>
      <c r="H121" s="455"/>
      <c r="I121" s="455"/>
      <c r="J121" s="455"/>
      <c r="K121" s="458"/>
      <c r="L121" s="443"/>
    </row>
    <row r="122" spans="1:12" ht="13.5">
      <c r="A122" s="443"/>
      <c r="B122" s="474"/>
      <c r="C122" s="475" t="s">
        <v>696</v>
      </c>
      <c r="D122" s="475"/>
      <c r="E122" s="476"/>
      <c r="F122" s="475" t="s">
        <v>692</v>
      </c>
      <c r="G122" s="475"/>
      <c r="H122" s="475"/>
      <c r="I122" s="475"/>
      <c r="J122" s="475" t="s">
        <v>697</v>
      </c>
      <c r="K122" s="477"/>
      <c r="L122" s="443"/>
    </row>
    <row r="123" spans="1:12" ht="13.5">
      <c r="A123" s="443"/>
      <c r="B123" s="464" t="s">
        <v>698</v>
      </c>
      <c r="C123" s="708">
        <f>H120</f>
        <v>625000</v>
      </c>
      <c r="D123" s="708"/>
      <c r="E123" s="456" t="s">
        <v>301</v>
      </c>
      <c r="F123" s="466">
        <f>H117</f>
        <v>0.3740135169083432</v>
      </c>
      <c r="G123" s="456" t="s">
        <v>662</v>
      </c>
      <c r="H123" s="456">
        <v>1000</v>
      </c>
      <c r="I123" s="456" t="s">
        <v>661</v>
      </c>
      <c r="J123" s="478">
        <f>C123*F123/H123</f>
        <v>233.7584480677145</v>
      </c>
      <c r="K123" s="458"/>
      <c r="L123" s="443"/>
    </row>
    <row r="124" spans="1:12" ht="14.25" thickBot="1">
      <c r="A124" s="443"/>
      <c r="B124" s="459"/>
      <c r="C124" s="479"/>
      <c r="D124" s="479"/>
      <c r="E124" s="480"/>
      <c r="F124" s="481"/>
      <c r="G124" s="480"/>
      <c r="H124" s="480"/>
      <c r="I124" s="480"/>
      <c r="J124" s="482"/>
      <c r="K124" s="461"/>
      <c r="L124" s="443"/>
    </row>
    <row r="125" spans="1:12" ht="40.5" customHeight="1">
      <c r="A125" s="443"/>
      <c r="B125" s="701" t="s">
        <v>651</v>
      </c>
      <c r="C125" s="701"/>
      <c r="D125" s="701"/>
      <c r="E125" s="701"/>
      <c r="F125" s="701"/>
      <c r="G125" s="701"/>
      <c r="H125" s="701"/>
      <c r="I125" s="701"/>
      <c r="J125" s="701"/>
      <c r="K125" s="701"/>
      <c r="L125" s="498"/>
    </row>
    <row r="126" spans="1:12" ht="13.5">
      <c r="A126" s="443"/>
      <c r="B126" s="693" t="s">
        <v>706</v>
      </c>
      <c r="C126" s="693"/>
      <c r="D126" s="693"/>
      <c r="E126" s="693"/>
      <c r="F126" s="693"/>
      <c r="G126" s="693"/>
      <c r="H126" s="693"/>
      <c r="I126" s="693"/>
      <c r="J126" s="693"/>
      <c r="K126" s="693"/>
      <c r="L126" s="498"/>
    </row>
    <row r="127" spans="1:12" ht="13.5">
      <c r="A127" s="443"/>
      <c r="B127" s="447"/>
      <c r="C127" s="447"/>
      <c r="D127" s="447"/>
      <c r="E127" s="447"/>
      <c r="F127" s="447"/>
      <c r="G127" s="447"/>
      <c r="H127" s="447"/>
      <c r="I127" s="447"/>
      <c r="J127" s="447"/>
      <c r="K127" s="447"/>
      <c r="L127" s="498"/>
    </row>
    <row r="128" spans="1:12" ht="13.5">
      <c r="A128" s="443"/>
      <c r="B128" s="693" t="s">
        <v>707</v>
      </c>
      <c r="C128" s="693"/>
      <c r="D128" s="693"/>
      <c r="E128" s="693"/>
      <c r="F128" s="693"/>
      <c r="G128" s="693"/>
      <c r="H128" s="693"/>
      <c r="I128" s="693"/>
      <c r="J128" s="693"/>
      <c r="K128" s="693"/>
      <c r="L128" s="498"/>
    </row>
    <row r="129" spans="1:12" ht="13.5">
      <c r="A129" s="443"/>
      <c r="B129" s="484"/>
      <c r="C129" s="484"/>
      <c r="D129" s="484"/>
      <c r="E129" s="484"/>
      <c r="F129" s="484"/>
      <c r="G129" s="484"/>
      <c r="H129" s="484"/>
      <c r="I129" s="484"/>
      <c r="J129" s="484"/>
      <c r="K129" s="484"/>
      <c r="L129" s="498"/>
    </row>
    <row r="130" spans="1:12" ht="74.25" customHeight="1">
      <c r="A130" s="443"/>
      <c r="B130" s="698" t="s">
        <v>708</v>
      </c>
      <c r="C130" s="698"/>
      <c r="D130" s="698"/>
      <c r="E130" s="698"/>
      <c r="F130" s="698"/>
      <c r="G130" s="698"/>
      <c r="H130" s="698"/>
      <c r="I130" s="698"/>
      <c r="J130" s="698"/>
      <c r="K130" s="698"/>
      <c r="L130" s="498"/>
    </row>
    <row r="131" spans="1:12" ht="14.25" thickBot="1">
      <c r="A131" s="443"/>
      <c r="L131" s="443"/>
    </row>
    <row r="132" spans="1:12" ht="13.5">
      <c r="A132" s="443"/>
      <c r="B132" s="451" t="s">
        <v>655</v>
      </c>
      <c r="C132" s="452"/>
      <c r="D132" s="452"/>
      <c r="E132" s="452"/>
      <c r="F132" s="452"/>
      <c r="G132" s="452"/>
      <c r="H132" s="452"/>
      <c r="I132" s="452"/>
      <c r="J132" s="452"/>
      <c r="K132" s="453"/>
      <c r="L132" s="443"/>
    </row>
    <row r="133" spans="1:12" ht="13.5">
      <c r="A133" s="443"/>
      <c r="B133" s="464"/>
      <c r="C133" s="713" t="s">
        <v>709</v>
      </c>
      <c r="D133" s="713"/>
      <c r="E133" s="455"/>
      <c r="F133" s="456" t="s">
        <v>710</v>
      </c>
      <c r="G133" s="455"/>
      <c r="H133" s="713" t="s">
        <v>695</v>
      </c>
      <c r="I133" s="713"/>
      <c r="J133" s="455"/>
      <c r="K133" s="458"/>
      <c r="L133" s="443"/>
    </row>
    <row r="134" spans="1:12" ht="13.5">
      <c r="A134" s="443"/>
      <c r="B134" s="464" t="s">
        <v>688</v>
      </c>
      <c r="C134" s="699">
        <v>100000</v>
      </c>
      <c r="D134" s="699"/>
      <c r="E134" s="456" t="s">
        <v>301</v>
      </c>
      <c r="F134" s="456">
        <v>0.115</v>
      </c>
      <c r="G134" s="456" t="s">
        <v>661</v>
      </c>
      <c r="H134" s="714">
        <f>C134*F134</f>
        <v>11500</v>
      </c>
      <c r="I134" s="714"/>
      <c r="J134" s="455"/>
      <c r="K134" s="458"/>
      <c r="L134" s="443"/>
    </row>
    <row r="135" spans="1:12" ht="13.5">
      <c r="A135" s="443"/>
      <c r="B135" s="464"/>
      <c r="C135" s="455"/>
      <c r="D135" s="455"/>
      <c r="E135" s="455"/>
      <c r="F135" s="455"/>
      <c r="G135" s="455"/>
      <c r="H135" s="455"/>
      <c r="I135" s="455"/>
      <c r="J135" s="455"/>
      <c r="K135" s="458"/>
      <c r="L135" s="443"/>
    </row>
    <row r="136" spans="1:12" ht="13.5">
      <c r="A136" s="443"/>
      <c r="B136" s="474"/>
      <c r="C136" s="715" t="s">
        <v>695</v>
      </c>
      <c r="D136" s="715"/>
      <c r="E136" s="475"/>
      <c r="F136" s="476" t="s">
        <v>711</v>
      </c>
      <c r="G136" s="476"/>
      <c r="H136" s="475"/>
      <c r="I136" s="475"/>
      <c r="J136" s="475" t="s">
        <v>712</v>
      </c>
      <c r="K136" s="477"/>
      <c r="L136" s="443"/>
    </row>
    <row r="137" spans="1:12" ht="13.5">
      <c r="A137" s="443"/>
      <c r="B137" s="464" t="s">
        <v>691</v>
      </c>
      <c r="C137" s="714">
        <f>H134</f>
        <v>11500</v>
      </c>
      <c r="D137" s="714"/>
      <c r="E137" s="456" t="s">
        <v>301</v>
      </c>
      <c r="F137" s="499">
        <v>52.869</v>
      </c>
      <c r="G137" s="456" t="s">
        <v>662</v>
      </c>
      <c r="H137" s="456">
        <v>1000</v>
      </c>
      <c r="I137" s="456" t="s">
        <v>661</v>
      </c>
      <c r="J137" s="500">
        <f>C137*F137/H137</f>
        <v>607.9935</v>
      </c>
      <c r="K137" s="458"/>
      <c r="L137" s="443"/>
    </row>
    <row r="138" spans="1:12" ht="14.2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3.5">
      <c r="A140" s="443"/>
      <c r="B140" s="510" t="s">
        <v>713</v>
      </c>
      <c r="C140" s="511"/>
      <c r="D140" s="511"/>
      <c r="E140" s="512"/>
      <c r="F140" s="513"/>
      <c r="G140" s="512"/>
      <c r="H140" s="512"/>
      <c r="I140" s="512"/>
      <c r="J140" s="514"/>
      <c r="K140" s="515"/>
      <c r="L140" s="443"/>
    </row>
    <row r="141" spans="1:12" ht="13.5">
      <c r="A141" s="443"/>
      <c r="B141" s="464"/>
      <c r="C141" s="473"/>
      <c r="D141" s="473"/>
      <c r="E141" s="456"/>
      <c r="F141" s="516"/>
      <c r="G141" s="456"/>
      <c r="H141" s="456"/>
      <c r="I141" s="456"/>
      <c r="J141" s="500"/>
      <c r="K141" s="458"/>
      <c r="L141" s="443"/>
    </row>
    <row r="142" spans="1:12" ht="13.5">
      <c r="A142" s="443"/>
      <c r="B142" s="510" t="s">
        <v>714</v>
      </c>
      <c r="C142" s="511"/>
      <c r="D142" s="511"/>
      <c r="E142" s="512"/>
      <c r="F142" s="513"/>
      <c r="G142" s="512"/>
      <c r="H142" s="512"/>
      <c r="I142" s="512"/>
      <c r="J142" s="514"/>
      <c r="K142" s="515"/>
      <c r="L142" s="443"/>
    </row>
    <row r="143" spans="1:12" ht="13.5">
      <c r="A143" s="443"/>
      <c r="B143" s="464"/>
      <c r="C143" s="473"/>
      <c r="D143" s="473"/>
      <c r="E143" s="456"/>
      <c r="F143" s="516"/>
      <c r="G143" s="456"/>
      <c r="H143" s="456"/>
      <c r="I143" s="456"/>
      <c r="J143" s="500"/>
      <c r="K143" s="458"/>
      <c r="L143" s="443"/>
    </row>
    <row r="144" spans="1:12" ht="76.5" customHeight="1">
      <c r="A144" s="443"/>
      <c r="B144" s="716" t="s">
        <v>715</v>
      </c>
      <c r="C144" s="717"/>
      <c r="D144" s="717"/>
      <c r="E144" s="717"/>
      <c r="F144" s="717"/>
      <c r="G144" s="717"/>
      <c r="H144" s="717"/>
      <c r="I144" s="717"/>
      <c r="J144" s="717"/>
      <c r="K144" s="718"/>
      <c r="L144" s="443"/>
    </row>
    <row r="145" spans="1:12" ht="14.25" thickBot="1">
      <c r="A145" s="443"/>
      <c r="B145" s="464"/>
      <c r="C145" s="473"/>
      <c r="D145" s="473"/>
      <c r="E145" s="456"/>
      <c r="F145" s="516"/>
      <c r="G145" s="456"/>
      <c r="H145" s="456"/>
      <c r="I145" s="456"/>
      <c r="J145" s="500"/>
      <c r="K145" s="458"/>
      <c r="L145" s="443"/>
    </row>
    <row r="146" spans="1:12" ht="13.5">
      <c r="A146" s="443"/>
      <c r="B146" s="451" t="s">
        <v>655</v>
      </c>
      <c r="C146" s="517"/>
      <c r="D146" s="517"/>
      <c r="E146" s="518"/>
      <c r="F146" s="519"/>
      <c r="G146" s="518"/>
      <c r="H146" s="518"/>
      <c r="I146" s="518"/>
      <c r="J146" s="520"/>
      <c r="K146" s="453"/>
      <c r="L146" s="443"/>
    </row>
    <row r="147" spans="1:12" ht="13.5">
      <c r="A147" s="443"/>
      <c r="B147" s="464"/>
      <c r="C147" s="714" t="s">
        <v>716</v>
      </c>
      <c r="D147" s="714"/>
      <c r="E147" s="456"/>
      <c r="F147" s="516" t="s">
        <v>717</v>
      </c>
      <c r="G147" s="456"/>
      <c r="H147" s="456"/>
      <c r="I147" s="456"/>
      <c r="J147" s="719" t="s">
        <v>718</v>
      </c>
      <c r="K147" s="720"/>
      <c r="L147" s="443"/>
    </row>
    <row r="148" spans="1:12" ht="13.5">
      <c r="A148" s="443"/>
      <c r="B148" s="464"/>
      <c r="C148" s="721">
        <v>52.869</v>
      </c>
      <c r="D148" s="721"/>
      <c r="E148" s="456" t="s">
        <v>301</v>
      </c>
      <c r="F148" s="521">
        <v>133685008</v>
      </c>
      <c r="G148" s="522" t="s">
        <v>662</v>
      </c>
      <c r="H148" s="456">
        <v>1000</v>
      </c>
      <c r="I148" s="456" t="s">
        <v>661</v>
      </c>
      <c r="J148" s="714">
        <f>C148*(F148/1000)</f>
        <v>7067792.687952</v>
      </c>
      <c r="K148" s="722"/>
      <c r="L148" s="443"/>
    </row>
    <row r="149" spans="1:12" ht="14.25" thickBot="1">
      <c r="A149" s="443"/>
      <c r="B149" s="459"/>
      <c r="C149" s="501"/>
      <c r="D149" s="501"/>
      <c r="E149" s="480"/>
      <c r="F149" s="502"/>
      <c r="G149" s="480"/>
      <c r="H149" s="480"/>
      <c r="I149" s="480"/>
      <c r="J149" s="503"/>
      <c r="K149" s="461"/>
      <c r="L149" s="443"/>
    </row>
    <row r="150" spans="1:12" ht="14.25" thickBot="1">
      <c r="A150" s="443"/>
      <c r="B150" s="459"/>
      <c r="C150" s="460"/>
      <c r="D150" s="460"/>
      <c r="E150" s="460"/>
      <c r="F150" s="460"/>
      <c r="G150" s="460"/>
      <c r="H150" s="460"/>
      <c r="I150" s="460"/>
      <c r="J150" s="460"/>
      <c r="K150" s="461"/>
      <c r="L150" s="443"/>
    </row>
    <row r="151" spans="1:12" ht="13.5">
      <c r="A151" s="443"/>
      <c r="B151" s="443"/>
      <c r="C151" s="443"/>
      <c r="D151" s="443"/>
      <c r="E151" s="443"/>
      <c r="F151" s="443"/>
      <c r="G151" s="443"/>
      <c r="H151" s="443"/>
      <c r="I151" s="443"/>
      <c r="J151" s="443"/>
      <c r="K151" s="443"/>
      <c r="L151" s="443"/>
    </row>
    <row r="152" spans="1:12" ht="13.5">
      <c r="A152" s="443"/>
      <c r="B152" s="443"/>
      <c r="C152" s="443"/>
      <c r="D152" s="443"/>
      <c r="E152" s="443"/>
      <c r="F152" s="443"/>
      <c r="G152" s="443"/>
      <c r="H152" s="443"/>
      <c r="I152" s="443"/>
      <c r="J152" s="443"/>
      <c r="K152" s="443"/>
      <c r="L152" s="443"/>
    </row>
    <row r="153" spans="1:12" ht="13.5">
      <c r="A153" s="443"/>
      <c r="B153" s="443"/>
      <c r="C153" s="443"/>
      <c r="D153" s="443"/>
      <c r="E153" s="443"/>
      <c r="F153" s="443"/>
      <c r="G153" s="443"/>
      <c r="H153" s="443"/>
      <c r="I153" s="443"/>
      <c r="J153" s="443"/>
      <c r="K153" s="443"/>
      <c r="L153" s="443"/>
    </row>
    <row r="154" spans="1:12" ht="13.5">
      <c r="A154" s="523"/>
      <c r="B154" s="523"/>
      <c r="C154" s="523"/>
      <c r="D154" s="523"/>
      <c r="E154" s="523"/>
      <c r="F154" s="523"/>
      <c r="G154" s="523"/>
      <c r="H154" s="523"/>
      <c r="I154" s="523"/>
      <c r="J154" s="523"/>
      <c r="K154" s="523"/>
      <c r="L154" s="523"/>
    </row>
    <row r="155" spans="1:12" ht="13.5">
      <c r="A155" s="523"/>
      <c r="B155" s="523"/>
      <c r="C155" s="523"/>
      <c r="D155" s="523"/>
      <c r="E155" s="523"/>
      <c r="F155" s="523"/>
      <c r="G155" s="523"/>
      <c r="H155" s="523"/>
      <c r="I155" s="523"/>
      <c r="J155" s="523"/>
      <c r="K155" s="523"/>
      <c r="L155" s="523"/>
    </row>
    <row r="156" spans="1:12" ht="13.5">
      <c r="A156" s="523"/>
      <c r="B156" s="523"/>
      <c r="C156" s="523"/>
      <c r="D156" s="523"/>
      <c r="E156" s="523"/>
      <c r="F156" s="523"/>
      <c r="G156" s="523"/>
      <c r="H156" s="523"/>
      <c r="I156" s="523"/>
      <c r="J156" s="523"/>
      <c r="K156" s="523"/>
      <c r="L156" s="523"/>
    </row>
    <row r="157" spans="1:12" ht="13.5">
      <c r="A157" s="523"/>
      <c r="B157" s="523"/>
      <c r="C157" s="523"/>
      <c r="D157" s="523"/>
      <c r="E157" s="523"/>
      <c r="F157" s="523"/>
      <c r="G157" s="523"/>
      <c r="H157" s="523"/>
      <c r="I157" s="523"/>
      <c r="J157" s="523"/>
      <c r="K157" s="523"/>
      <c r="L157" s="523"/>
    </row>
    <row r="158" spans="1:12" ht="13.5">
      <c r="A158" s="523"/>
      <c r="B158" s="523"/>
      <c r="C158" s="523"/>
      <c r="D158" s="523"/>
      <c r="E158" s="523"/>
      <c r="F158" s="523"/>
      <c r="G158" s="523"/>
      <c r="H158" s="523"/>
      <c r="I158" s="523"/>
      <c r="J158" s="523"/>
      <c r="K158" s="523"/>
      <c r="L158" s="523"/>
    </row>
    <row r="159" spans="1:12" ht="13.5">
      <c r="A159" s="523"/>
      <c r="B159" s="523"/>
      <c r="C159" s="523"/>
      <c r="D159" s="523"/>
      <c r="E159" s="523"/>
      <c r="F159" s="523"/>
      <c r="G159" s="523"/>
      <c r="H159" s="523"/>
      <c r="I159" s="523"/>
      <c r="J159" s="523"/>
      <c r="K159" s="523"/>
      <c r="L159" s="523"/>
    </row>
    <row r="160" spans="1:12" ht="13.5">
      <c r="A160" s="523"/>
      <c r="B160" s="523"/>
      <c r="C160" s="523"/>
      <c r="D160" s="523"/>
      <c r="E160" s="523"/>
      <c r="F160" s="523"/>
      <c r="G160" s="523"/>
      <c r="H160" s="523"/>
      <c r="I160" s="523"/>
      <c r="J160" s="523"/>
      <c r="K160" s="523"/>
      <c r="L160" s="523"/>
    </row>
    <row r="161" spans="1:12" ht="13.5">
      <c r="A161" s="523"/>
      <c r="B161" s="523"/>
      <c r="C161" s="523"/>
      <c r="D161" s="523"/>
      <c r="E161" s="523"/>
      <c r="F161" s="523"/>
      <c r="G161" s="523"/>
      <c r="H161" s="523"/>
      <c r="I161" s="523"/>
      <c r="J161" s="523"/>
      <c r="K161" s="523"/>
      <c r="L161" s="523"/>
    </row>
    <row r="162" spans="1:12" ht="13.5">
      <c r="A162" s="523"/>
      <c r="B162" s="523"/>
      <c r="C162" s="523"/>
      <c r="D162" s="523"/>
      <c r="E162" s="523"/>
      <c r="F162" s="523"/>
      <c r="G162" s="523"/>
      <c r="H162" s="523"/>
      <c r="I162" s="523"/>
      <c r="J162" s="523"/>
      <c r="K162" s="523"/>
      <c r="L162" s="523"/>
    </row>
    <row r="163" spans="1:12" ht="13.5">
      <c r="A163" s="523"/>
      <c r="B163" s="523"/>
      <c r="C163" s="523"/>
      <c r="D163" s="523"/>
      <c r="E163" s="523"/>
      <c r="F163" s="523"/>
      <c r="G163" s="523"/>
      <c r="H163" s="523"/>
      <c r="I163" s="523"/>
      <c r="J163" s="523"/>
      <c r="K163" s="523"/>
      <c r="L163" s="523"/>
    </row>
    <row r="164" spans="1:12" ht="13.5">
      <c r="A164" s="523"/>
      <c r="B164" s="523"/>
      <c r="C164" s="523"/>
      <c r="D164" s="523"/>
      <c r="E164" s="523"/>
      <c r="F164" s="523"/>
      <c r="G164" s="523"/>
      <c r="H164" s="523"/>
      <c r="I164" s="523"/>
      <c r="J164" s="523"/>
      <c r="K164" s="523"/>
      <c r="L164" s="523"/>
    </row>
    <row r="165" spans="1:12" ht="13.5">
      <c r="A165" s="523"/>
      <c r="B165" s="523"/>
      <c r="C165" s="523"/>
      <c r="D165" s="523"/>
      <c r="E165" s="523"/>
      <c r="F165" s="523"/>
      <c r="G165" s="523"/>
      <c r="H165" s="523"/>
      <c r="I165" s="523"/>
      <c r="J165" s="523"/>
      <c r="K165" s="523"/>
      <c r="L165" s="523"/>
    </row>
    <row r="166" spans="1:12" ht="13.5">
      <c r="A166" s="523"/>
      <c r="B166" s="523"/>
      <c r="C166" s="523"/>
      <c r="D166" s="523"/>
      <c r="E166" s="523"/>
      <c r="F166" s="523"/>
      <c r="G166" s="523"/>
      <c r="H166" s="523"/>
      <c r="I166" s="523"/>
      <c r="J166" s="523"/>
      <c r="K166" s="523"/>
      <c r="L166" s="523"/>
    </row>
    <row r="167" spans="1:12" ht="13.5">
      <c r="A167" s="523"/>
      <c r="B167" s="523"/>
      <c r="C167" s="523"/>
      <c r="D167" s="523"/>
      <c r="E167" s="523"/>
      <c r="F167" s="523"/>
      <c r="G167" s="523"/>
      <c r="H167" s="523"/>
      <c r="I167" s="523"/>
      <c r="J167" s="523"/>
      <c r="K167" s="523"/>
      <c r="L167" s="523"/>
    </row>
    <row r="168" spans="1:12" ht="13.5">
      <c r="A168" s="523"/>
      <c r="B168" s="523"/>
      <c r="C168" s="523"/>
      <c r="D168" s="523"/>
      <c r="E168" s="523"/>
      <c r="F168" s="523"/>
      <c r="G168" s="523"/>
      <c r="H168" s="523"/>
      <c r="I168" s="523"/>
      <c r="J168" s="523"/>
      <c r="K168" s="523"/>
      <c r="L168" s="523"/>
    </row>
    <row r="169" spans="1:12" ht="13.5">
      <c r="A169" s="523"/>
      <c r="B169" s="523"/>
      <c r="C169" s="523"/>
      <c r="D169" s="523"/>
      <c r="E169" s="523"/>
      <c r="F169" s="523"/>
      <c r="G169" s="523"/>
      <c r="H169" s="523"/>
      <c r="I169" s="523"/>
      <c r="J169" s="523"/>
      <c r="K169" s="523"/>
      <c r="L169" s="523"/>
    </row>
    <row r="170" spans="1:12" ht="13.5">
      <c r="A170" s="523"/>
      <c r="B170" s="523"/>
      <c r="C170" s="523"/>
      <c r="D170" s="523"/>
      <c r="E170" s="523"/>
      <c r="F170" s="523"/>
      <c r="G170" s="523"/>
      <c r="H170" s="523"/>
      <c r="I170" s="523"/>
      <c r="J170" s="523"/>
      <c r="K170" s="523"/>
      <c r="L170" s="523"/>
    </row>
    <row r="171" spans="1:12" ht="13.5">
      <c r="A171" s="523"/>
      <c r="B171" s="523"/>
      <c r="C171" s="523"/>
      <c r="D171" s="523"/>
      <c r="E171" s="523"/>
      <c r="F171" s="523"/>
      <c r="G171" s="523"/>
      <c r="H171" s="523"/>
      <c r="I171" s="523"/>
      <c r="J171" s="523"/>
      <c r="K171" s="523"/>
      <c r="L171" s="523"/>
    </row>
    <row r="172" spans="1:12" ht="13.5">
      <c r="A172" s="523"/>
      <c r="B172" s="523"/>
      <c r="C172" s="523"/>
      <c r="D172" s="523"/>
      <c r="E172" s="523"/>
      <c r="F172" s="523"/>
      <c r="G172" s="523"/>
      <c r="H172" s="523"/>
      <c r="I172" s="523"/>
      <c r="J172" s="523"/>
      <c r="K172" s="523"/>
      <c r="L172" s="523"/>
    </row>
    <row r="173" spans="1:12" ht="13.5">
      <c r="A173" s="523"/>
      <c r="B173" s="523"/>
      <c r="C173" s="523"/>
      <c r="D173" s="523"/>
      <c r="E173" s="523"/>
      <c r="F173" s="523"/>
      <c r="G173" s="523"/>
      <c r="H173" s="523"/>
      <c r="I173" s="523"/>
      <c r="J173" s="523"/>
      <c r="K173" s="523"/>
      <c r="L173" s="523"/>
    </row>
    <row r="174" spans="1:12" ht="13.5">
      <c r="A174" s="523"/>
      <c r="B174" s="523"/>
      <c r="C174" s="523"/>
      <c r="D174" s="523"/>
      <c r="E174" s="523"/>
      <c r="F174" s="523"/>
      <c r="G174" s="523"/>
      <c r="H174" s="523"/>
      <c r="I174" s="523"/>
      <c r="J174" s="523"/>
      <c r="K174" s="523"/>
      <c r="L174" s="523"/>
    </row>
    <row r="175" spans="1:12" ht="13.5">
      <c r="A175" s="523"/>
      <c r="B175" s="523"/>
      <c r="C175" s="523"/>
      <c r="D175" s="523"/>
      <c r="E175" s="523"/>
      <c r="F175" s="523"/>
      <c r="G175" s="523"/>
      <c r="H175" s="523"/>
      <c r="I175" s="523"/>
      <c r="J175" s="523"/>
      <c r="K175" s="523"/>
      <c r="L175" s="523"/>
    </row>
    <row r="176" spans="1:12" ht="13.5">
      <c r="A176" s="523"/>
      <c r="B176" s="523"/>
      <c r="C176" s="523"/>
      <c r="D176" s="523"/>
      <c r="E176" s="523"/>
      <c r="F176" s="523"/>
      <c r="G176" s="523"/>
      <c r="H176" s="523"/>
      <c r="I176" s="523"/>
      <c r="J176" s="523"/>
      <c r="K176" s="523"/>
      <c r="L176" s="523"/>
    </row>
    <row r="177" spans="1:12" ht="13.5">
      <c r="A177" s="523"/>
      <c r="B177" s="523"/>
      <c r="C177" s="523"/>
      <c r="D177" s="523"/>
      <c r="E177" s="523"/>
      <c r="F177" s="523"/>
      <c r="G177" s="523"/>
      <c r="H177" s="523"/>
      <c r="I177" s="523"/>
      <c r="J177" s="523"/>
      <c r="K177" s="523"/>
      <c r="L177" s="523"/>
    </row>
    <row r="178" spans="1:12" ht="13.5">
      <c r="A178" s="523"/>
      <c r="B178" s="523"/>
      <c r="C178" s="523"/>
      <c r="D178" s="523"/>
      <c r="E178" s="523"/>
      <c r="F178" s="523"/>
      <c r="G178" s="523"/>
      <c r="H178" s="523"/>
      <c r="I178" s="523"/>
      <c r="J178" s="523"/>
      <c r="K178" s="523"/>
      <c r="L178" s="523"/>
    </row>
    <row r="179" spans="1:12" ht="13.5">
      <c r="A179" s="523"/>
      <c r="B179" s="523"/>
      <c r="C179" s="523"/>
      <c r="D179" s="523"/>
      <c r="E179" s="523"/>
      <c r="F179" s="523"/>
      <c r="G179" s="523"/>
      <c r="H179" s="523"/>
      <c r="I179" s="523"/>
      <c r="J179" s="523"/>
      <c r="K179" s="523"/>
      <c r="L179" s="523"/>
    </row>
    <row r="180" spans="1:12" ht="13.5">
      <c r="A180" s="523"/>
      <c r="B180" s="523"/>
      <c r="C180" s="523"/>
      <c r="D180" s="523"/>
      <c r="E180" s="523"/>
      <c r="F180" s="523"/>
      <c r="G180" s="523"/>
      <c r="H180" s="523"/>
      <c r="I180" s="523"/>
      <c r="J180" s="523"/>
      <c r="K180" s="523"/>
      <c r="L180" s="523"/>
    </row>
    <row r="181" spans="1:12" ht="13.5">
      <c r="A181" s="523"/>
      <c r="B181" s="523"/>
      <c r="C181" s="523"/>
      <c r="D181" s="523"/>
      <c r="E181" s="523"/>
      <c r="F181" s="523"/>
      <c r="G181" s="523"/>
      <c r="H181" s="523"/>
      <c r="I181" s="523"/>
      <c r="J181" s="523"/>
      <c r="K181" s="523"/>
      <c r="L181" s="523"/>
    </row>
    <row r="182" spans="1:12" ht="13.5">
      <c r="A182" s="523"/>
      <c r="B182" s="523"/>
      <c r="C182" s="523"/>
      <c r="D182" s="523"/>
      <c r="E182" s="523"/>
      <c r="F182" s="523"/>
      <c r="G182" s="523"/>
      <c r="H182" s="523"/>
      <c r="I182" s="523"/>
      <c r="J182" s="523"/>
      <c r="K182" s="523"/>
      <c r="L182" s="523"/>
    </row>
    <row r="183" spans="1:12" ht="13.5">
      <c r="A183" s="523"/>
      <c r="B183" s="523"/>
      <c r="C183" s="523"/>
      <c r="D183" s="523"/>
      <c r="E183" s="523"/>
      <c r="F183" s="523"/>
      <c r="G183" s="523"/>
      <c r="H183" s="523"/>
      <c r="I183" s="523"/>
      <c r="J183" s="523"/>
      <c r="K183" s="523"/>
      <c r="L183" s="523"/>
    </row>
    <row r="184" spans="1:12" ht="13.5">
      <c r="A184" s="523"/>
      <c r="B184" s="523"/>
      <c r="C184" s="523"/>
      <c r="D184" s="523"/>
      <c r="E184" s="523"/>
      <c r="F184" s="523"/>
      <c r="G184" s="523"/>
      <c r="H184" s="523"/>
      <c r="I184" s="523"/>
      <c r="J184" s="523"/>
      <c r="K184" s="523"/>
      <c r="L184" s="523"/>
    </row>
    <row r="185" spans="1:12" ht="13.5">
      <c r="A185" s="523"/>
      <c r="B185" s="523"/>
      <c r="C185" s="523"/>
      <c r="D185" s="523"/>
      <c r="E185" s="523"/>
      <c r="F185" s="523"/>
      <c r="G185" s="523"/>
      <c r="H185" s="523"/>
      <c r="I185" s="523"/>
      <c r="J185" s="523"/>
      <c r="K185" s="523"/>
      <c r="L185" s="523"/>
    </row>
    <row r="186" spans="1:12" ht="13.5">
      <c r="A186" s="523"/>
      <c r="B186" s="523"/>
      <c r="C186" s="523"/>
      <c r="D186" s="523"/>
      <c r="E186" s="523"/>
      <c r="F186" s="523"/>
      <c r="G186" s="523"/>
      <c r="H186" s="523"/>
      <c r="I186" s="523"/>
      <c r="J186" s="523"/>
      <c r="K186" s="523"/>
      <c r="L186" s="523"/>
    </row>
    <row r="187" spans="1:12" ht="13.5">
      <c r="A187" s="523"/>
      <c r="B187" s="523"/>
      <c r="C187" s="523"/>
      <c r="D187" s="523"/>
      <c r="E187" s="523"/>
      <c r="F187" s="523"/>
      <c r="G187" s="523"/>
      <c r="H187" s="523"/>
      <c r="I187" s="523"/>
      <c r="J187" s="523"/>
      <c r="K187" s="523"/>
      <c r="L187" s="523"/>
    </row>
    <row r="188" spans="1:12" ht="13.5">
      <c r="A188" s="523"/>
      <c r="B188" s="523"/>
      <c r="C188" s="523"/>
      <c r="D188" s="523"/>
      <c r="E188" s="523"/>
      <c r="F188" s="523"/>
      <c r="G188" s="523"/>
      <c r="H188" s="523"/>
      <c r="I188" s="523"/>
      <c r="J188" s="523"/>
      <c r="K188" s="523"/>
      <c r="L188" s="523"/>
    </row>
    <row r="189" spans="1:12" ht="13.5">
      <c r="A189" s="523"/>
      <c r="B189" s="523"/>
      <c r="C189" s="523"/>
      <c r="D189" s="523"/>
      <c r="E189" s="523"/>
      <c r="F189" s="523"/>
      <c r="G189" s="523"/>
      <c r="H189" s="523"/>
      <c r="I189" s="523"/>
      <c r="J189" s="523"/>
      <c r="K189" s="523"/>
      <c r="L189" s="523"/>
    </row>
    <row r="190" spans="1:12" ht="13.5">
      <c r="A190" s="523"/>
      <c r="B190" s="523"/>
      <c r="C190" s="523"/>
      <c r="D190" s="523"/>
      <c r="E190" s="523"/>
      <c r="F190" s="523"/>
      <c r="G190" s="523"/>
      <c r="H190" s="523"/>
      <c r="I190" s="523"/>
      <c r="J190" s="523"/>
      <c r="K190" s="523"/>
      <c r="L190" s="523"/>
    </row>
    <row r="191" spans="1:12" ht="13.5">
      <c r="A191" s="523"/>
      <c r="B191" s="523"/>
      <c r="C191" s="523"/>
      <c r="D191" s="523"/>
      <c r="E191" s="523"/>
      <c r="F191" s="523"/>
      <c r="G191" s="523"/>
      <c r="H191" s="523"/>
      <c r="I191" s="523"/>
      <c r="J191" s="523"/>
      <c r="K191" s="523"/>
      <c r="L191" s="523"/>
    </row>
    <row r="192" spans="1:12" ht="13.5">
      <c r="A192" s="523"/>
      <c r="B192" s="523"/>
      <c r="C192" s="523"/>
      <c r="D192" s="523"/>
      <c r="E192" s="523"/>
      <c r="F192" s="523"/>
      <c r="G192" s="523"/>
      <c r="H192" s="523"/>
      <c r="I192" s="523"/>
      <c r="J192" s="523"/>
      <c r="K192" s="523"/>
      <c r="L192" s="523"/>
    </row>
    <row r="193" spans="1:12" ht="13.5">
      <c r="A193" s="523"/>
      <c r="B193" s="523"/>
      <c r="C193" s="523"/>
      <c r="D193" s="523"/>
      <c r="E193" s="523"/>
      <c r="F193" s="523"/>
      <c r="G193" s="523"/>
      <c r="H193" s="523"/>
      <c r="I193" s="523"/>
      <c r="J193" s="523"/>
      <c r="K193" s="523"/>
      <c r="L193" s="523"/>
    </row>
    <row r="194" spans="1:12" ht="13.5">
      <c r="A194" s="523"/>
      <c r="B194" s="523"/>
      <c r="C194" s="523"/>
      <c r="D194" s="523"/>
      <c r="E194" s="523"/>
      <c r="F194" s="523"/>
      <c r="G194" s="523"/>
      <c r="H194" s="523"/>
      <c r="I194" s="523"/>
      <c r="J194" s="523"/>
      <c r="K194" s="523"/>
      <c r="L194" s="523"/>
    </row>
    <row r="195" spans="1:12" ht="13.5">
      <c r="A195" s="523"/>
      <c r="B195" s="523"/>
      <c r="C195" s="523"/>
      <c r="D195" s="523"/>
      <c r="E195" s="523"/>
      <c r="F195" s="523"/>
      <c r="G195" s="523"/>
      <c r="H195" s="523"/>
      <c r="I195" s="523"/>
      <c r="J195" s="523"/>
      <c r="K195" s="523"/>
      <c r="L195" s="523"/>
    </row>
    <row r="196" spans="1:12" ht="13.5">
      <c r="A196" s="523"/>
      <c r="B196" s="523"/>
      <c r="C196" s="523"/>
      <c r="D196" s="523"/>
      <c r="E196" s="523"/>
      <c r="F196" s="523"/>
      <c r="G196" s="523"/>
      <c r="H196" s="523"/>
      <c r="I196" s="523"/>
      <c r="J196" s="523"/>
      <c r="K196" s="523"/>
      <c r="L196" s="523"/>
    </row>
    <row r="197" spans="1:12" ht="13.5">
      <c r="A197" s="523"/>
      <c r="B197" s="523"/>
      <c r="C197" s="523"/>
      <c r="D197" s="523"/>
      <c r="E197" s="523"/>
      <c r="F197" s="523"/>
      <c r="G197" s="523"/>
      <c r="H197" s="523"/>
      <c r="I197" s="523"/>
      <c r="J197" s="523"/>
      <c r="K197" s="523"/>
      <c r="L197" s="523"/>
    </row>
    <row r="198" spans="1:12" ht="13.5">
      <c r="A198" s="523"/>
      <c r="B198" s="523"/>
      <c r="C198" s="523"/>
      <c r="D198" s="523"/>
      <c r="E198" s="523"/>
      <c r="F198" s="523"/>
      <c r="G198" s="523"/>
      <c r="H198" s="523"/>
      <c r="I198" s="523"/>
      <c r="J198" s="523"/>
      <c r="K198" s="523"/>
      <c r="L198" s="523"/>
    </row>
    <row r="199" spans="1:12" ht="13.5">
      <c r="A199" s="523"/>
      <c r="B199" s="523"/>
      <c r="C199" s="523"/>
      <c r="D199" s="523"/>
      <c r="E199" s="523"/>
      <c r="F199" s="523"/>
      <c r="G199" s="523"/>
      <c r="H199" s="523"/>
      <c r="I199" s="523"/>
      <c r="J199" s="523"/>
      <c r="K199" s="523"/>
      <c r="L199" s="523"/>
    </row>
    <row r="200" spans="1:12" ht="13.5">
      <c r="A200" s="523"/>
      <c r="B200" s="523"/>
      <c r="C200" s="523"/>
      <c r="D200" s="523"/>
      <c r="E200" s="523"/>
      <c r="F200" s="523"/>
      <c r="G200" s="523"/>
      <c r="H200" s="523"/>
      <c r="I200" s="523"/>
      <c r="J200" s="523"/>
      <c r="K200" s="523"/>
      <c r="L200" s="523"/>
    </row>
    <row r="201" spans="1:12" ht="13.5">
      <c r="A201" s="523"/>
      <c r="B201" s="523"/>
      <c r="C201" s="523"/>
      <c r="D201" s="523"/>
      <c r="E201" s="523"/>
      <c r="F201" s="523"/>
      <c r="G201" s="523"/>
      <c r="H201" s="523"/>
      <c r="I201" s="523"/>
      <c r="J201" s="523"/>
      <c r="K201" s="523"/>
      <c r="L201" s="523"/>
    </row>
    <row r="202" spans="1:12" ht="13.5">
      <c r="A202" s="523"/>
      <c r="B202" s="523"/>
      <c r="C202" s="523"/>
      <c r="D202" s="523"/>
      <c r="E202" s="523"/>
      <c r="F202" s="523"/>
      <c r="G202" s="523"/>
      <c r="H202" s="523"/>
      <c r="I202" s="523"/>
      <c r="J202" s="523"/>
      <c r="K202" s="523"/>
      <c r="L202" s="523"/>
    </row>
    <row r="203" spans="1:12" ht="13.5">
      <c r="A203" s="523"/>
      <c r="B203" s="523"/>
      <c r="C203" s="523"/>
      <c r="D203" s="523"/>
      <c r="E203" s="523"/>
      <c r="F203" s="523"/>
      <c r="G203" s="523"/>
      <c r="H203" s="523"/>
      <c r="I203" s="523"/>
      <c r="J203" s="523"/>
      <c r="K203" s="523"/>
      <c r="L203" s="523"/>
    </row>
    <row r="204" spans="1:12" ht="13.5">
      <c r="A204" s="523"/>
      <c r="B204" s="523"/>
      <c r="C204" s="523"/>
      <c r="D204" s="523"/>
      <c r="E204" s="523"/>
      <c r="F204" s="523"/>
      <c r="G204" s="523"/>
      <c r="H204" s="523"/>
      <c r="I204" s="523"/>
      <c r="J204" s="523"/>
      <c r="K204" s="523"/>
      <c r="L204" s="523"/>
    </row>
    <row r="205" spans="1:12" ht="13.5">
      <c r="A205" s="523"/>
      <c r="B205" s="523"/>
      <c r="C205" s="523"/>
      <c r="D205" s="523"/>
      <c r="E205" s="523"/>
      <c r="F205" s="523"/>
      <c r="G205" s="523"/>
      <c r="H205" s="523"/>
      <c r="I205" s="523"/>
      <c r="J205" s="523"/>
      <c r="K205" s="523"/>
      <c r="L205" s="523"/>
    </row>
    <row r="206" spans="1:12" ht="13.5">
      <c r="A206" s="523"/>
      <c r="B206" s="523"/>
      <c r="C206" s="523"/>
      <c r="D206" s="523"/>
      <c r="E206" s="523"/>
      <c r="F206" s="523"/>
      <c r="G206" s="523"/>
      <c r="H206" s="523"/>
      <c r="I206" s="523"/>
      <c r="J206" s="523"/>
      <c r="K206" s="523"/>
      <c r="L206" s="523"/>
    </row>
    <row r="207" spans="1:12" ht="13.5">
      <c r="A207" s="523"/>
      <c r="B207" s="523"/>
      <c r="C207" s="523"/>
      <c r="D207" s="523"/>
      <c r="E207" s="523"/>
      <c r="F207" s="523"/>
      <c r="G207" s="523"/>
      <c r="H207" s="523"/>
      <c r="I207" s="523"/>
      <c r="J207" s="523"/>
      <c r="K207" s="523"/>
      <c r="L207" s="523"/>
    </row>
    <row r="208" spans="1:12" ht="13.5">
      <c r="A208" s="523"/>
      <c r="B208" s="523"/>
      <c r="C208" s="523"/>
      <c r="D208" s="523"/>
      <c r="E208" s="523"/>
      <c r="F208" s="523"/>
      <c r="G208" s="523"/>
      <c r="H208" s="523"/>
      <c r="I208" s="523"/>
      <c r="J208" s="523"/>
      <c r="K208" s="523"/>
      <c r="L208" s="523"/>
    </row>
    <row r="209" spans="1:12" ht="13.5">
      <c r="A209" s="523"/>
      <c r="B209" s="523"/>
      <c r="C209" s="523"/>
      <c r="D209" s="523"/>
      <c r="E209" s="523"/>
      <c r="F209" s="523"/>
      <c r="G209" s="523"/>
      <c r="H209" s="523"/>
      <c r="I209" s="523"/>
      <c r="J209" s="523"/>
      <c r="K209" s="523"/>
      <c r="L209" s="523"/>
    </row>
    <row r="210" spans="1:12" ht="13.5">
      <c r="A210" s="523"/>
      <c r="B210" s="523"/>
      <c r="C210" s="523"/>
      <c r="D210" s="523"/>
      <c r="E210" s="523"/>
      <c r="F210" s="523"/>
      <c r="G210" s="523"/>
      <c r="H210" s="523"/>
      <c r="I210" s="523"/>
      <c r="J210" s="523"/>
      <c r="K210" s="523"/>
      <c r="L210" s="523"/>
    </row>
    <row r="211" spans="1:12" ht="13.5">
      <c r="A211" s="523"/>
      <c r="B211" s="523"/>
      <c r="C211" s="523"/>
      <c r="D211" s="523"/>
      <c r="E211" s="523"/>
      <c r="F211" s="523"/>
      <c r="G211" s="523"/>
      <c r="H211" s="523"/>
      <c r="I211" s="523"/>
      <c r="J211" s="523"/>
      <c r="K211" s="523"/>
      <c r="L211" s="523"/>
    </row>
    <row r="212" spans="1:12" ht="13.5">
      <c r="A212" s="523"/>
      <c r="B212" s="523"/>
      <c r="C212" s="523"/>
      <c r="D212" s="523"/>
      <c r="E212" s="523"/>
      <c r="F212" s="523"/>
      <c r="G212" s="523"/>
      <c r="H212" s="523"/>
      <c r="I212" s="523"/>
      <c r="J212" s="523"/>
      <c r="K212" s="523"/>
      <c r="L212" s="523"/>
    </row>
    <row r="213" spans="1:12" ht="13.5">
      <c r="A213" s="523"/>
      <c r="B213" s="523"/>
      <c r="C213" s="523"/>
      <c r="D213" s="523"/>
      <c r="E213" s="523"/>
      <c r="F213" s="523"/>
      <c r="G213" s="523"/>
      <c r="H213" s="523"/>
      <c r="I213" s="523"/>
      <c r="J213" s="523"/>
      <c r="K213" s="523"/>
      <c r="L213" s="523"/>
    </row>
    <row r="214" spans="1:12" ht="13.5">
      <c r="A214" s="523"/>
      <c r="B214" s="523"/>
      <c r="C214" s="523"/>
      <c r="D214" s="523"/>
      <c r="E214" s="523"/>
      <c r="F214" s="523"/>
      <c r="G214" s="523"/>
      <c r="H214" s="523"/>
      <c r="I214" s="523"/>
      <c r="J214" s="523"/>
      <c r="K214" s="523"/>
      <c r="L214" s="523"/>
    </row>
    <row r="215" spans="1:12" ht="13.5">
      <c r="A215" s="523"/>
      <c r="B215" s="523"/>
      <c r="C215" s="523"/>
      <c r="D215" s="523"/>
      <c r="E215" s="523"/>
      <c r="F215" s="523"/>
      <c r="G215" s="523"/>
      <c r="H215" s="523"/>
      <c r="I215" s="523"/>
      <c r="J215" s="523"/>
      <c r="K215" s="523"/>
      <c r="L215" s="523"/>
    </row>
    <row r="216" spans="1:12" ht="13.5">
      <c r="A216" s="523"/>
      <c r="B216" s="523"/>
      <c r="C216" s="523"/>
      <c r="D216" s="523"/>
      <c r="E216" s="523"/>
      <c r="F216" s="523"/>
      <c r="G216" s="523"/>
      <c r="H216" s="523"/>
      <c r="I216" s="523"/>
      <c r="J216" s="523"/>
      <c r="K216" s="523"/>
      <c r="L216" s="523"/>
    </row>
    <row r="217" spans="1:12" ht="13.5">
      <c r="A217" s="523"/>
      <c r="B217" s="523"/>
      <c r="C217" s="523"/>
      <c r="D217" s="523"/>
      <c r="E217" s="523"/>
      <c r="F217" s="523"/>
      <c r="G217" s="523"/>
      <c r="H217" s="523"/>
      <c r="I217" s="523"/>
      <c r="J217" s="523"/>
      <c r="K217" s="523"/>
      <c r="L217" s="523"/>
    </row>
    <row r="218" spans="1:12" ht="13.5">
      <c r="A218" s="523"/>
      <c r="B218" s="523"/>
      <c r="C218" s="523"/>
      <c r="D218" s="523"/>
      <c r="E218" s="523"/>
      <c r="F218" s="523"/>
      <c r="G218" s="523"/>
      <c r="H218" s="523"/>
      <c r="I218" s="523"/>
      <c r="J218" s="523"/>
      <c r="K218" s="523"/>
      <c r="L218" s="523"/>
    </row>
    <row r="219" spans="1:12" ht="13.5">
      <c r="A219" s="523"/>
      <c r="B219" s="523"/>
      <c r="C219" s="523"/>
      <c r="D219" s="523"/>
      <c r="E219" s="523"/>
      <c r="F219" s="523"/>
      <c r="G219" s="523"/>
      <c r="H219" s="523"/>
      <c r="I219" s="523"/>
      <c r="J219" s="523"/>
      <c r="K219" s="523"/>
      <c r="L219" s="523"/>
    </row>
    <row r="220" spans="1:12" ht="13.5">
      <c r="A220" s="523"/>
      <c r="B220" s="523"/>
      <c r="C220" s="523"/>
      <c r="D220" s="523"/>
      <c r="E220" s="523"/>
      <c r="F220" s="523"/>
      <c r="G220" s="523"/>
      <c r="H220" s="523"/>
      <c r="I220" s="523"/>
      <c r="J220" s="523"/>
      <c r="K220" s="523"/>
      <c r="L220" s="523"/>
    </row>
    <row r="221" spans="1:12" ht="13.5">
      <c r="A221" s="523"/>
      <c r="B221" s="523"/>
      <c r="C221" s="523"/>
      <c r="D221" s="523"/>
      <c r="E221" s="523"/>
      <c r="F221" s="523"/>
      <c r="G221" s="523"/>
      <c r="H221" s="523"/>
      <c r="I221" s="523"/>
      <c r="J221" s="523"/>
      <c r="K221" s="523"/>
      <c r="L221" s="523"/>
    </row>
    <row r="222" spans="1:12" ht="13.5">
      <c r="A222" s="523"/>
      <c r="B222" s="523"/>
      <c r="C222" s="523"/>
      <c r="D222" s="523"/>
      <c r="E222" s="523"/>
      <c r="F222" s="523"/>
      <c r="G222" s="523"/>
      <c r="H222" s="523"/>
      <c r="I222" s="523"/>
      <c r="J222" s="523"/>
      <c r="K222" s="523"/>
      <c r="L222" s="523"/>
    </row>
    <row r="223" spans="1:12" ht="13.5">
      <c r="A223" s="523"/>
      <c r="B223" s="523"/>
      <c r="C223" s="523"/>
      <c r="D223" s="523"/>
      <c r="E223" s="523"/>
      <c r="F223" s="523"/>
      <c r="G223" s="523"/>
      <c r="H223" s="523"/>
      <c r="I223" s="523"/>
      <c r="J223" s="523"/>
      <c r="K223" s="523"/>
      <c r="L223" s="523"/>
    </row>
    <row r="224" spans="1:12" ht="13.5">
      <c r="A224" s="523"/>
      <c r="B224" s="523"/>
      <c r="C224" s="523"/>
      <c r="D224" s="523"/>
      <c r="E224" s="523"/>
      <c r="F224" s="523"/>
      <c r="G224" s="523"/>
      <c r="H224" s="523"/>
      <c r="I224" s="523"/>
      <c r="J224" s="523"/>
      <c r="K224" s="523"/>
      <c r="L224" s="523"/>
    </row>
    <row r="225" spans="1:12" ht="13.5">
      <c r="A225" s="523"/>
      <c r="B225" s="523"/>
      <c r="C225" s="523"/>
      <c r="D225" s="523"/>
      <c r="E225" s="523"/>
      <c r="F225" s="523"/>
      <c r="G225" s="523"/>
      <c r="H225" s="523"/>
      <c r="I225" s="523"/>
      <c r="J225" s="523"/>
      <c r="K225" s="523"/>
      <c r="L225" s="523"/>
    </row>
    <row r="226" spans="1:12" ht="13.5">
      <c r="A226" s="523"/>
      <c r="B226" s="523"/>
      <c r="C226" s="523"/>
      <c r="D226" s="523"/>
      <c r="E226" s="523"/>
      <c r="F226" s="523"/>
      <c r="G226" s="523"/>
      <c r="H226" s="523"/>
      <c r="I226" s="523"/>
      <c r="J226" s="523"/>
      <c r="K226" s="523"/>
      <c r="L226" s="523"/>
    </row>
    <row r="227" spans="1:12" ht="13.5">
      <c r="A227" s="523"/>
      <c r="B227" s="523"/>
      <c r="C227" s="523"/>
      <c r="D227" s="523"/>
      <c r="E227" s="523"/>
      <c r="F227" s="523"/>
      <c r="G227" s="523"/>
      <c r="H227" s="523"/>
      <c r="I227" s="523"/>
      <c r="J227" s="523"/>
      <c r="K227" s="523"/>
      <c r="L227" s="523"/>
    </row>
    <row r="228" spans="1:12" ht="13.5">
      <c r="A228" s="523"/>
      <c r="B228" s="523"/>
      <c r="C228" s="523"/>
      <c r="D228" s="523"/>
      <c r="E228" s="523"/>
      <c r="F228" s="523"/>
      <c r="G228" s="523"/>
      <c r="H228" s="523"/>
      <c r="I228" s="523"/>
      <c r="J228" s="523"/>
      <c r="K228" s="523"/>
      <c r="L228" s="523"/>
    </row>
    <row r="229" spans="1:12" ht="13.5">
      <c r="A229" s="523"/>
      <c r="B229" s="523"/>
      <c r="C229" s="523"/>
      <c r="D229" s="523"/>
      <c r="E229" s="523"/>
      <c r="F229" s="523"/>
      <c r="G229" s="523"/>
      <c r="H229" s="523"/>
      <c r="I229" s="523"/>
      <c r="J229" s="523"/>
      <c r="K229" s="523"/>
      <c r="L229" s="523"/>
    </row>
    <row r="230" spans="1:12" ht="13.5">
      <c r="A230" s="523"/>
      <c r="B230" s="523"/>
      <c r="C230" s="523"/>
      <c r="D230" s="523"/>
      <c r="E230" s="523"/>
      <c r="F230" s="523"/>
      <c r="G230" s="523"/>
      <c r="H230" s="523"/>
      <c r="I230" s="523"/>
      <c r="J230" s="523"/>
      <c r="K230" s="523"/>
      <c r="L230" s="523"/>
    </row>
    <row r="231" spans="1:12" ht="13.5">
      <c r="A231" s="523"/>
      <c r="B231" s="523"/>
      <c r="C231" s="523"/>
      <c r="D231" s="523"/>
      <c r="E231" s="523"/>
      <c r="F231" s="523"/>
      <c r="G231" s="523"/>
      <c r="H231" s="523"/>
      <c r="I231" s="523"/>
      <c r="J231" s="523"/>
      <c r="K231" s="523"/>
      <c r="L231" s="523"/>
    </row>
    <row r="232" spans="1:12" ht="13.5">
      <c r="A232" s="523"/>
      <c r="B232" s="523"/>
      <c r="C232" s="523"/>
      <c r="D232" s="523"/>
      <c r="E232" s="523"/>
      <c r="F232" s="523"/>
      <c r="G232" s="523"/>
      <c r="H232" s="523"/>
      <c r="I232" s="523"/>
      <c r="J232" s="523"/>
      <c r="K232" s="523"/>
      <c r="L232" s="523"/>
    </row>
    <row r="233" spans="1:12" ht="13.5">
      <c r="A233" s="523"/>
      <c r="B233" s="523"/>
      <c r="C233" s="523"/>
      <c r="D233" s="523"/>
      <c r="E233" s="523"/>
      <c r="F233" s="523"/>
      <c r="G233" s="523"/>
      <c r="H233" s="523"/>
      <c r="I233" s="523"/>
      <c r="J233" s="523"/>
      <c r="K233" s="523"/>
      <c r="L233" s="523"/>
    </row>
    <row r="234" spans="1:12" ht="13.5">
      <c r="A234" s="523"/>
      <c r="B234" s="523"/>
      <c r="C234" s="523"/>
      <c r="D234" s="523"/>
      <c r="E234" s="523"/>
      <c r="F234" s="523"/>
      <c r="G234" s="523"/>
      <c r="H234" s="523"/>
      <c r="I234" s="523"/>
      <c r="J234" s="523"/>
      <c r="K234" s="523"/>
      <c r="L234" s="523"/>
    </row>
    <row r="235" spans="1:12" ht="13.5">
      <c r="A235" s="523"/>
      <c r="B235" s="523"/>
      <c r="C235" s="523"/>
      <c r="D235" s="523"/>
      <c r="E235" s="523"/>
      <c r="F235" s="523"/>
      <c r="G235" s="523"/>
      <c r="H235" s="523"/>
      <c r="I235" s="523"/>
      <c r="J235" s="523"/>
      <c r="K235" s="523"/>
      <c r="L235" s="523"/>
    </row>
    <row r="236" spans="1:12" ht="13.5">
      <c r="A236" s="523"/>
      <c r="B236" s="523"/>
      <c r="C236" s="523"/>
      <c r="D236" s="523"/>
      <c r="E236" s="523"/>
      <c r="F236" s="523"/>
      <c r="G236" s="523"/>
      <c r="H236" s="523"/>
      <c r="I236" s="523"/>
      <c r="J236" s="523"/>
      <c r="K236" s="523"/>
      <c r="L236" s="523"/>
    </row>
    <row r="237" spans="1:12" ht="13.5">
      <c r="A237" s="523"/>
      <c r="B237" s="523"/>
      <c r="C237" s="523"/>
      <c r="D237" s="523"/>
      <c r="E237" s="523"/>
      <c r="F237" s="523"/>
      <c r="G237" s="523"/>
      <c r="H237" s="523"/>
      <c r="I237" s="523"/>
      <c r="J237" s="523"/>
      <c r="K237" s="523"/>
      <c r="L237" s="523"/>
    </row>
    <row r="238" spans="1:12" ht="13.5">
      <c r="A238" s="523"/>
      <c r="B238" s="523"/>
      <c r="C238" s="523"/>
      <c r="D238" s="523"/>
      <c r="E238" s="523"/>
      <c r="F238" s="523"/>
      <c r="G238" s="523"/>
      <c r="H238" s="523"/>
      <c r="I238" s="523"/>
      <c r="J238" s="523"/>
      <c r="K238" s="523"/>
      <c r="L238" s="523"/>
    </row>
    <row r="239" spans="1:12" ht="13.5">
      <c r="A239" s="523"/>
      <c r="B239" s="523"/>
      <c r="C239" s="523"/>
      <c r="D239" s="523"/>
      <c r="E239" s="523"/>
      <c r="F239" s="523"/>
      <c r="G239" s="523"/>
      <c r="H239" s="523"/>
      <c r="I239" s="523"/>
      <c r="J239" s="523"/>
      <c r="K239" s="523"/>
      <c r="L239" s="523"/>
    </row>
    <row r="240" spans="1:12" ht="13.5">
      <c r="A240" s="523"/>
      <c r="B240" s="523"/>
      <c r="C240" s="523"/>
      <c r="D240" s="523"/>
      <c r="E240" s="523"/>
      <c r="F240" s="523"/>
      <c r="G240" s="523"/>
      <c r="H240" s="523"/>
      <c r="I240" s="523"/>
      <c r="J240" s="523"/>
      <c r="K240" s="523"/>
      <c r="L240" s="523"/>
    </row>
    <row r="241" spans="1:12" ht="13.5">
      <c r="A241" s="523"/>
      <c r="B241" s="523"/>
      <c r="C241" s="523"/>
      <c r="D241" s="523"/>
      <c r="E241" s="523"/>
      <c r="F241" s="523"/>
      <c r="G241" s="523"/>
      <c r="H241" s="523"/>
      <c r="I241" s="523"/>
      <c r="J241" s="523"/>
      <c r="K241" s="523"/>
      <c r="L241" s="523"/>
    </row>
    <row r="242" spans="1:12" ht="13.5">
      <c r="A242" s="523"/>
      <c r="B242" s="523"/>
      <c r="C242" s="523"/>
      <c r="D242" s="523"/>
      <c r="E242" s="523"/>
      <c r="F242" s="523"/>
      <c r="G242" s="523"/>
      <c r="H242" s="523"/>
      <c r="I242" s="523"/>
      <c r="J242" s="523"/>
      <c r="K242" s="523"/>
      <c r="L242" s="523"/>
    </row>
    <row r="243" spans="1:12" ht="13.5">
      <c r="A243" s="523"/>
      <c r="B243" s="523"/>
      <c r="C243" s="523"/>
      <c r="D243" s="523"/>
      <c r="E243" s="523"/>
      <c r="F243" s="523"/>
      <c r="G243" s="523"/>
      <c r="H243" s="523"/>
      <c r="I243" s="523"/>
      <c r="J243" s="523"/>
      <c r="K243" s="523"/>
      <c r="L243" s="523"/>
    </row>
    <row r="244" spans="1:12" ht="13.5">
      <c r="A244" s="523"/>
      <c r="B244" s="523"/>
      <c r="C244" s="523"/>
      <c r="D244" s="523"/>
      <c r="E244" s="523"/>
      <c r="F244" s="523"/>
      <c r="G244" s="523"/>
      <c r="H244" s="523"/>
      <c r="I244" s="523"/>
      <c r="J244" s="523"/>
      <c r="K244" s="523"/>
      <c r="L244" s="523"/>
    </row>
    <row r="245" spans="1:12" ht="13.5">
      <c r="A245" s="523"/>
      <c r="B245" s="523"/>
      <c r="C245" s="523"/>
      <c r="D245" s="523"/>
      <c r="E245" s="523"/>
      <c r="F245" s="523"/>
      <c r="G245" s="523"/>
      <c r="H245" s="523"/>
      <c r="I245" s="523"/>
      <c r="J245" s="523"/>
      <c r="K245" s="523"/>
      <c r="L245" s="523"/>
    </row>
    <row r="246" spans="1:12" ht="13.5">
      <c r="A246" s="523"/>
      <c r="B246" s="523"/>
      <c r="C246" s="523"/>
      <c r="D246" s="523"/>
      <c r="E246" s="523"/>
      <c r="F246" s="523"/>
      <c r="G246" s="523"/>
      <c r="H246" s="523"/>
      <c r="I246" s="523"/>
      <c r="J246" s="523"/>
      <c r="K246" s="523"/>
      <c r="L246" s="523"/>
    </row>
    <row r="247" spans="1:12" ht="13.5">
      <c r="A247" s="523"/>
      <c r="B247" s="523"/>
      <c r="C247" s="523"/>
      <c r="D247" s="523"/>
      <c r="E247" s="523"/>
      <c r="F247" s="523"/>
      <c r="G247" s="523"/>
      <c r="H247" s="523"/>
      <c r="I247" s="523"/>
      <c r="J247" s="523"/>
      <c r="K247" s="523"/>
      <c r="L247" s="523"/>
    </row>
    <row r="248" spans="1:12" ht="13.5">
      <c r="A248" s="523"/>
      <c r="B248" s="523"/>
      <c r="C248" s="523"/>
      <c r="D248" s="523"/>
      <c r="E248" s="523"/>
      <c r="F248" s="523"/>
      <c r="G248" s="523"/>
      <c r="H248" s="523"/>
      <c r="I248" s="523"/>
      <c r="J248" s="523"/>
      <c r="K248" s="523"/>
      <c r="L248" s="523"/>
    </row>
    <row r="249" spans="1:12" ht="13.5">
      <c r="A249" s="523"/>
      <c r="B249" s="523"/>
      <c r="C249" s="523"/>
      <c r="D249" s="523"/>
      <c r="E249" s="523"/>
      <c r="F249" s="523"/>
      <c r="G249" s="523"/>
      <c r="H249" s="523"/>
      <c r="I249" s="523"/>
      <c r="J249" s="523"/>
      <c r="K249" s="523"/>
      <c r="L249" s="523"/>
    </row>
    <row r="250" spans="1:12" ht="13.5">
      <c r="A250" s="523"/>
      <c r="B250" s="523"/>
      <c r="C250" s="523"/>
      <c r="D250" s="523"/>
      <c r="E250" s="523"/>
      <c r="F250" s="523"/>
      <c r="G250" s="523"/>
      <c r="H250" s="523"/>
      <c r="I250" s="523"/>
      <c r="J250" s="523"/>
      <c r="K250" s="523"/>
      <c r="L250" s="523"/>
    </row>
    <row r="251" spans="1:12" ht="13.5">
      <c r="A251" s="523"/>
      <c r="B251" s="523"/>
      <c r="C251" s="523"/>
      <c r="D251" s="523"/>
      <c r="E251" s="523"/>
      <c r="F251" s="523"/>
      <c r="G251" s="523"/>
      <c r="H251" s="523"/>
      <c r="I251" s="523"/>
      <c r="J251" s="523"/>
      <c r="K251" s="523"/>
      <c r="L251" s="523"/>
    </row>
    <row r="252" spans="1:12" ht="13.5">
      <c r="A252" s="523"/>
      <c r="B252" s="523"/>
      <c r="C252" s="523"/>
      <c r="D252" s="523"/>
      <c r="E252" s="523"/>
      <c r="F252" s="523"/>
      <c r="G252" s="523"/>
      <c r="H252" s="523"/>
      <c r="I252" s="523"/>
      <c r="J252" s="523"/>
      <c r="K252" s="523"/>
      <c r="L252" s="523"/>
    </row>
    <row r="253" spans="1:12" ht="13.5">
      <c r="A253" s="523"/>
      <c r="B253" s="523"/>
      <c r="C253" s="523"/>
      <c r="D253" s="523"/>
      <c r="E253" s="523"/>
      <c r="F253" s="523"/>
      <c r="G253" s="523"/>
      <c r="H253" s="523"/>
      <c r="I253" s="523"/>
      <c r="J253" s="523"/>
      <c r="K253" s="523"/>
      <c r="L253" s="523"/>
    </row>
    <row r="254" spans="1:12" ht="13.5">
      <c r="A254" s="523"/>
      <c r="B254" s="523"/>
      <c r="C254" s="523"/>
      <c r="D254" s="523"/>
      <c r="E254" s="523"/>
      <c r="F254" s="523"/>
      <c r="G254" s="523"/>
      <c r="H254" s="523"/>
      <c r="I254" s="523"/>
      <c r="J254" s="523"/>
      <c r="K254" s="523"/>
      <c r="L254" s="523"/>
    </row>
    <row r="255" spans="1:12" ht="13.5">
      <c r="A255" s="523"/>
      <c r="B255" s="523"/>
      <c r="C255" s="523"/>
      <c r="D255" s="523"/>
      <c r="E255" s="523"/>
      <c r="F255" s="523"/>
      <c r="G255" s="523"/>
      <c r="H255" s="523"/>
      <c r="I255" s="523"/>
      <c r="J255" s="523"/>
      <c r="K255" s="523"/>
      <c r="L255" s="523"/>
    </row>
    <row r="256" spans="1:12" ht="13.5">
      <c r="A256" s="523"/>
      <c r="B256" s="523"/>
      <c r="C256" s="523"/>
      <c r="D256" s="523"/>
      <c r="E256" s="523"/>
      <c r="F256" s="523"/>
      <c r="G256" s="523"/>
      <c r="H256" s="523"/>
      <c r="I256" s="523"/>
      <c r="J256" s="523"/>
      <c r="K256" s="523"/>
      <c r="L256" s="523"/>
    </row>
    <row r="257" spans="1:12" ht="13.5">
      <c r="A257" s="523"/>
      <c r="B257" s="523"/>
      <c r="C257" s="523"/>
      <c r="D257" s="523"/>
      <c r="E257" s="523"/>
      <c r="F257" s="523"/>
      <c r="G257" s="523"/>
      <c r="H257" s="523"/>
      <c r="I257" s="523"/>
      <c r="J257" s="523"/>
      <c r="K257" s="523"/>
      <c r="L257" s="523"/>
    </row>
    <row r="258" spans="1:12" ht="13.5">
      <c r="A258" s="523"/>
      <c r="B258" s="523"/>
      <c r="C258" s="523"/>
      <c r="D258" s="523"/>
      <c r="E258" s="523"/>
      <c r="F258" s="523"/>
      <c r="G258" s="523"/>
      <c r="H258" s="523"/>
      <c r="I258" s="523"/>
      <c r="J258" s="523"/>
      <c r="K258" s="523"/>
      <c r="L258" s="523"/>
    </row>
    <row r="259" spans="1:12" ht="13.5">
      <c r="A259" s="523"/>
      <c r="B259" s="523"/>
      <c r="C259" s="523"/>
      <c r="D259" s="523"/>
      <c r="E259" s="523"/>
      <c r="F259" s="523"/>
      <c r="G259" s="523"/>
      <c r="H259" s="523"/>
      <c r="I259" s="523"/>
      <c r="J259" s="523"/>
      <c r="K259" s="523"/>
      <c r="L259" s="523"/>
    </row>
    <row r="260" spans="1:12" ht="13.5">
      <c r="A260" s="523"/>
      <c r="B260" s="523"/>
      <c r="C260" s="523"/>
      <c r="D260" s="523"/>
      <c r="E260" s="523"/>
      <c r="F260" s="523"/>
      <c r="G260" s="523"/>
      <c r="H260" s="523"/>
      <c r="I260" s="523"/>
      <c r="J260" s="523"/>
      <c r="K260" s="523"/>
      <c r="L260" s="523"/>
    </row>
    <row r="261" spans="1:12" ht="13.5">
      <c r="A261" s="523"/>
      <c r="B261" s="523"/>
      <c r="C261" s="523"/>
      <c r="D261" s="523"/>
      <c r="E261" s="523"/>
      <c r="F261" s="523"/>
      <c r="G261" s="523"/>
      <c r="H261" s="523"/>
      <c r="I261" s="523"/>
      <c r="J261" s="523"/>
      <c r="K261" s="523"/>
      <c r="L261" s="523"/>
    </row>
    <row r="262" spans="1:12" ht="13.5">
      <c r="A262" s="523"/>
      <c r="B262" s="523"/>
      <c r="C262" s="523"/>
      <c r="D262" s="523"/>
      <c r="E262" s="523"/>
      <c r="F262" s="523"/>
      <c r="G262" s="523"/>
      <c r="H262" s="523"/>
      <c r="I262" s="523"/>
      <c r="J262" s="523"/>
      <c r="K262" s="523"/>
      <c r="L262" s="523"/>
    </row>
    <row r="263" spans="1:12" ht="13.5">
      <c r="A263" s="523"/>
      <c r="B263" s="523"/>
      <c r="C263" s="523"/>
      <c r="D263" s="523"/>
      <c r="E263" s="523"/>
      <c r="F263" s="523"/>
      <c r="G263" s="523"/>
      <c r="H263" s="523"/>
      <c r="I263" s="523"/>
      <c r="J263" s="523"/>
      <c r="K263" s="523"/>
      <c r="L263" s="523"/>
    </row>
    <row r="264" spans="1:12" ht="13.5">
      <c r="A264" s="523"/>
      <c r="B264" s="523"/>
      <c r="C264" s="523"/>
      <c r="D264" s="523"/>
      <c r="E264" s="523"/>
      <c r="F264" s="523"/>
      <c r="G264" s="523"/>
      <c r="H264" s="523"/>
      <c r="I264" s="523"/>
      <c r="J264" s="523"/>
      <c r="K264" s="523"/>
      <c r="L264" s="523"/>
    </row>
    <row r="265" spans="1:12" ht="13.5">
      <c r="A265" s="523"/>
      <c r="B265" s="523"/>
      <c r="C265" s="523"/>
      <c r="D265" s="523"/>
      <c r="E265" s="523"/>
      <c r="F265" s="523"/>
      <c r="G265" s="523"/>
      <c r="H265" s="523"/>
      <c r="I265" s="523"/>
      <c r="J265" s="523"/>
      <c r="K265" s="523"/>
      <c r="L265" s="523"/>
    </row>
    <row r="266" spans="1:12" ht="13.5">
      <c r="A266" s="523"/>
      <c r="B266" s="523"/>
      <c r="C266" s="523"/>
      <c r="D266" s="523"/>
      <c r="E266" s="523"/>
      <c r="F266" s="523"/>
      <c r="G266" s="523"/>
      <c r="H266" s="523"/>
      <c r="I266" s="523"/>
      <c r="J266" s="523"/>
      <c r="K266" s="523"/>
      <c r="L266" s="523"/>
    </row>
    <row r="267" spans="1:12" ht="13.5">
      <c r="A267" s="523"/>
      <c r="B267" s="523"/>
      <c r="C267" s="523"/>
      <c r="D267" s="523"/>
      <c r="E267" s="523"/>
      <c r="F267" s="523"/>
      <c r="G267" s="523"/>
      <c r="H267" s="523"/>
      <c r="I267" s="523"/>
      <c r="J267" s="523"/>
      <c r="K267" s="523"/>
      <c r="L267" s="523"/>
    </row>
    <row r="268" spans="1:12" ht="13.5">
      <c r="A268" s="523"/>
      <c r="B268" s="523"/>
      <c r="C268" s="523"/>
      <c r="D268" s="523"/>
      <c r="E268" s="523"/>
      <c r="F268" s="523"/>
      <c r="G268" s="523"/>
      <c r="H268" s="523"/>
      <c r="I268" s="523"/>
      <c r="J268" s="523"/>
      <c r="K268" s="523"/>
      <c r="L268" s="523"/>
    </row>
    <row r="269" spans="1:12" ht="13.5">
      <c r="A269" s="523"/>
      <c r="B269" s="523"/>
      <c r="C269" s="523"/>
      <c r="D269" s="523"/>
      <c r="E269" s="523"/>
      <c r="F269" s="523"/>
      <c r="G269" s="523"/>
      <c r="H269" s="523"/>
      <c r="I269" s="523"/>
      <c r="J269" s="523"/>
      <c r="K269" s="523"/>
      <c r="L269" s="523"/>
    </row>
    <row r="270" spans="1:12" ht="13.5">
      <c r="A270" s="523"/>
      <c r="B270" s="523"/>
      <c r="C270" s="523"/>
      <c r="D270" s="523"/>
      <c r="E270" s="523"/>
      <c r="F270" s="523"/>
      <c r="G270" s="523"/>
      <c r="H270" s="523"/>
      <c r="I270" s="523"/>
      <c r="J270" s="523"/>
      <c r="K270" s="523"/>
      <c r="L270" s="523"/>
    </row>
    <row r="271" spans="1:12" ht="13.5">
      <c r="A271" s="523"/>
      <c r="B271" s="523"/>
      <c r="C271" s="523"/>
      <c r="D271" s="523"/>
      <c r="E271" s="523"/>
      <c r="F271" s="523"/>
      <c r="G271" s="523"/>
      <c r="H271" s="523"/>
      <c r="I271" s="523"/>
      <c r="J271" s="523"/>
      <c r="K271" s="523"/>
      <c r="L271" s="523"/>
    </row>
    <row r="272" spans="1:12" ht="13.5">
      <c r="A272" s="523"/>
      <c r="B272" s="523"/>
      <c r="C272" s="523"/>
      <c r="D272" s="523"/>
      <c r="E272" s="523"/>
      <c r="F272" s="523"/>
      <c r="G272" s="523"/>
      <c r="H272" s="523"/>
      <c r="I272" s="523"/>
      <c r="J272" s="523"/>
      <c r="K272" s="523"/>
      <c r="L272" s="523"/>
    </row>
    <row r="273" spans="1:12" ht="13.5">
      <c r="A273" s="523"/>
      <c r="B273" s="523"/>
      <c r="C273" s="523"/>
      <c r="D273" s="523"/>
      <c r="E273" s="523"/>
      <c r="F273" s="523"/>
      <c r="G273" s="523"/>
      <c r="H273" s="523"/>
      <c r="I273" s="523"/>
      <c r="J273" s="523"/>
      <c r="K273" s="523"/>
      <c r="L273" s="523"/>
    </row>
    <row r="274" spans="1:12" ht="13.5">
      <c r="A274" s="523"/>
      <c r="B274" s="523"/>
      <c r="C274" s="523"/>
      <c r="D274" s="523"/>
      <c r="E274" s="523"/>
      <c r="F274" s="523"/>
      <c r="G274" s="523"/>
      <c r="H274" s="523"/>
      <c r="I274" s="523"/>
      <c r="J274" s="523"/>
      <c r="K274" s="523"/>
      <c r="L274" s="523"/>
    </row>
    <row r="275" spans="1:12" ht="13.5">
      <c r="A275" s="523"/>
      <c r="B275" s="523"/>
      <c r="C275" s="523"/>
      <c r="D275" s="523"/>
      <c r="E275" s="523"/>
      <c r="F275" s="523"/>
      <c r="G275" s="523"/>
      <c r="H275" s="523"/>
      <c r="I275" s="523"/>
      <c r="J275" s="523"/>
      <c r="K275" s="523"/>
      <c r="L275" s="523"/>
    </row>
    <row r="276" spans="1:12" ht="13.5">
      <c r="A276" s="523"/>
      <c r="B276" s="523"/>
      <c r="C276" s="523"/>
      <c r="D276" s="523"/>
      <c r="E276" s="523"/>
      <c r="F276" s="523"/>
      <c r="G276" s="523"/>
      <c r="H276" s="523"/>
      <c r="I276" s="523"/>
      <c r="J276" s="523"/>
      <c r="K276" s="523"/>
      <c r="L276" s="523"/>
    </row>
    <row r="277" spans="1:12" ht="13.5">
      <c r="A277" s="523"/>
      <c r="B277" s="523"/>
      <c r="C277" s="523"/>
      <c r="D277" s="523"/>
      <c r="E277" s="523"/>
      <c r="F277" s="523"/>
      <c r="G277" s="523"/>
      <c r="H277" s="523"/>
      <c r="I277" s="523"/>
      <c r="J277" s="523"/>
      <c r="K277" s="523"/>
      <c r="L277" s="523"/>
    </row>
    <row r="278" spans="1:12" ht="13.5">
      <c r="A278" s="523"/>
      <c r="B278" s="523"/>
      <c r="C278" s="523"/>
      <c r="D278" s="523"/>
      <c r="E278" s="523"/>
      <c r="F278" s="523"/>
      <c r="G278" s="523"/>
      <c r="H278" s="523"/>
      <c r="I278" s="523"/>
      <c r="J278" s="523"/>
      <c r="K278" s="523"/>
      <c r="L278" s="523"/>
    </row>
    <row r="279" spans="1:12" ht="13.5">
      <c r="A279" s="523"/>
      <c r="B279" s="523"/>
      <c r="C279" s="523"/>
      <c r="D279" s="523"/>
      <c r="E279" s="523"/>
      <c r="F279" s="523"/>
      <c r="G279" s="523"/>
      <c r="H279" s="523"/>
      <c r="I279" s="523"/>
      <c r="J279" s="523"/>
      <c r="K279" s="523"/>
      <c r="L279" s="523"/>
    </row>
    <row r="280" spans="1:12" ht="13.5">
      <c r="A280" s="523"/>
      <c r="B280" s="523"/>
      <c r="C280" s="523"/>
      <c r="D280" s="523"/>
      <c r="E280" s="523"/>
      <c r="F280" s="523"/>
      <c r="G280" s="523"/>
      <c r="H280" s="523"/>
      <c r="I280" s="523"/>
      <c r="J280" s="523"/>
      <c r="K280" s="523"/>
      <c r="L280" s="523"/>
    </row>
    <row r="281" spans="1:12" ht="13.5">
      <c r="A281" s="523"/>
      <c r="B281" s="523"/>
      <c r="C281" s="523"/>
      <c r="D281" s="523"/>
      <c r="E281" s="523"/>
      <c r="F281" s="523"/>
      <c r="G281" s="523"/>
      <c r="H281" s="523"/>
      <c r="I281" s="523"/>
      <c r="J281" s="523"/>
      <c r="K281" s="523"/>
      <c r="L281" s="523"/>
    </row>
    <row r="282" spans="1:12" ht="13.5">
      <c r="A282" s="523"/>
      <c r="B282" s="523"/>
      <c r="C282" s="523"/>
      <c r="D282" s="523"/>
      <c r="E282" s="523"/>
      <c r="F282" s="523"/>
      <c r="G282" s="523"/>
      <c r="H282" s="523"/>
      <c r="I282" s="523"/>
      <c r="J282" s="523"/>
      <c r="K282" s="523"/>
      <c r="L282" s="523"/>
    </row>
    <row r="283" spans="1:12" ht="13.5">
      <c r="A283" s="523"/>
      <c r="B283" s="523"/>
      <c r="C283" s="523"/>
      <c r="D283" s="523"/>
      <c r="E283" s="523"/>
      <c r="F283" s="523"/>
      <c r="G283" s="523"/>
      <c r="H283" s="523"/>
      <c r="I283" s="523"/>
      <c r="J283" s="523"/>
      <c r="K283" s="523"/>
      <c r="L283" s="523"/>
    </row>
    <row r="284" spans="1:12" ht="13.5">
      <c r="A284" s="523"/>
      <c r="B284" s="523"/>
      <c r="C284" s="523"/>
      <c r="D284" s="523"/>
      <c r="E284" s="523"/>
      <c r="F284" s="523"/>
      <c r="G284" s="523"/>
      <c r="H284" s="523"/>
      <c r="I284" s="523"/>
      <c r="J284" s="523"/>
      <c r="K284" s="523"/>
      <c r="L284" s="523"/>
    </row>
    <row r="285" spans="1:12" ht="13.5">
      <c r="A285" s="523"/>
      <c r="B285" s="523"/>
      <c r="C285" s="523"/>
      <c r="D285" s="523"/>
      <c r="E285" s="523"/>
      <c r="F285" s="523"/>
      <c r="G285" s="523"/>
      <c r="H285" s="523"/>
      <c r="I285" s="523"/>
      <c r="J285" s="523"/>
      <c r="K285" s="523"/>
      <c r="L285" s="523"/>
    </row>
    <row r="286" spans="1:12" ht="13.5">
      <c r="A286" s="523"/>
      <c r="B286" s="523"/>
      <c r="C286" s="523"/>
      <c r="D286" s="523"/>
      <c r="E286" s="523"/>
      <c r="F286" s="523"/>
      <c r="G286" s="523"/>
      <c r="H286" s="523"/>
      <c r="I286" s="523"/>
      <c r="J286" s="523"/>
      <c r="K286" s="523"/>
      <c r="L286" s="523"/>
    </row>
    <row r="287" spans="1:12" ht="13.5">
      <c r="A287" s="523"/>
      <c r="B287" s="523"/>
      <c r="C287" s="523"/>
      <c r="D287" s="523"/>
      <c r="E287" s="523"/>
      <c r="F287" s="523"/>
      <c r="G287" s="523"/>
      <c r="H287" s="523"/>
      <c r="I287" s="523"/>
      <c r="J287" s="523"/>
      <c r="K287" s="523"/>
      <c r="L287" s="523"/>
    </row>
    <row r="288" spans="1:12" ht="13.5">
      <c r="A288" s="523"/>
      <c r="B288" s="523"/>
      <c r="C288" s="523"/>
      <c r="D288" s="523"/>
      <c r="E288" s="523"/>
      <c r="F288" s="523"/>
      <c r="G288" s="523"/>
      <c r="H288" s="523"/>
      <c r="I288" s="523"/>
      <c r="J288" s="523"/>
      <c r="K288" s="523"/>
      <c r="L288" s="523"/>
    </row>
    <row r="289" spans="1:12" ht="13.5">
      <c r="A289" s="523"/>
      <c r="B289" s="523"/>
      <c r="C289" s="523"/>
      <c r="D289" s="523"/>
      <c r="E289" s="523"/>
      <c r="F289" s="523"/>
      <c r="G289" s="523"/>
      <c r="H289" s="523"/>
      <c r="I289" s="523"/>
      <c r="J289" s="523"/>
      <c r="K289" s="523"/>
      <c r="L289" s="523"/>
    </row>
    <row r="290" spans="1:12" ht="13.5">
      <c r="A290" s="523"/>
      <c r="B290" s="523"/>
      <c r="C290" s="523"/>
      <c r="D290" s="523"/>
      <c r="E290" s="523"/>
      <c r="F290" s="523"/>
      <c r="G290" s="523"/>
      <c r="H290" s="523"/>
      <c r="I290" s="523"/>
      <c r="J290" s="523"/>
      <c r="K290" s="523"/>
      <c r="L290" s="523"/>
    </row>
    <row r="291" spans="1:12" ht="13.5">
      <c r="A291" s="523"/>
      <c r="B291" s="523"/>
      <c r="C291" s="523"/>
      <c r="D291" s="523"/>
      <c r="E291" s="523"/>
      <c r="F291" s="523"/>
      <c r="G291" s="523"/>
      <c r="H291" s="523"/>
      <c r="I291" s="523"/>
      <c r="J291" s="523"/>
      <c r="K291" s="523"/>
      <c r="L291" s="523"/>
    </row>
    <row r="292" spans="1:12" ht="13.5">
      <c r="A292" s="523"/>
      <c r="B292" s="523"/>
      <c r="C292" s="523"/>
      <c r="D292" s="523"/>
      <c r="E292" s="523"/>
      <c r="F292" s="523"/>
      <c r="G292" s="523"/>
      <c r="H292" s="523"/>
      <c r="I292" s="523"/>
      <c r="J292" s="523"/>
      <c r="K292" s="523"/>
      <c r="L292" s="523"/>
    </row>
    <row r="293" spans="1:12" ht="13.5">
      <c r="A293" s="523"/>
      <c r="B293" s="523"/>
      <c r="C293" s="523"/>
      <c r="D293" s="523"/>
      <c r="E293" s="523"/>
      <c r="F293" s="523"/>
      <c r="G293" s="523"/>
      <c r="H293" s="523"/>
      <c r="I293" s="523"/>
      <c r="J293" s="523"/>
      <c r="K293" s="523"/>
      <c r="L293" s="523"/>
    </row>
    <row r="294" spans="1:12" ht="13.5">
      <c r="A294" s="523"/>
      <c r="B294" s="523"/>
      <c r="C294" s="523"/>
      <c r="D294" s="523"/>
      <c r="E294" s="523"/>
      <c r="F294" s="523"/>
      <c r="G294" s="523"/>
      <c r="H294" s="523"/>
      <c r="I294" s="523"/>
      <c r="J294" s="523"/>
      <c r="K294" s="523"/>
      <c r="L294" s="523"/>
    </row>
    <row r="295" spans="1:12" ht="13.5">
      <c r="A295" s="523"/>
      <c r="B295" s="523"/>
      <c r="C295" s="523"/>
      <c r="D295" s="523"/>
      <c r="E295" s="523"/>
      <c r="F295" s="523"/>
      <c r="G295" s="523"/>
      <c r="H295" s="523"/>
      <c r="I295" s="523"/>
      <c r="J295" s="523"/>
      <c r="K295" s="523"/>
      <c r="L295" s="523"/>
    </row>
    <row r="296" spans="1:12" ht="13.5">
      <c r="A296" s="523"/>
      <c r="B296" s="523"/>
      <c r="C296" s="523"/>
      <c r="D296" s="523"/>
      <c r="E296" s="523"/>
      <c r="F296" s="523"/>
      <c r="G296" s="523"/>
      <c r="H296" s="523"/>
      <c r="I296" s="523"/>
      <c r="J296" s="523"/>
      <c r="K296" s="523"/>
      <c r="L296" s="523"/>
    </row>
    <row r="297" spans="1:12" ht="13.5">
      <c r="A297" s="523"/>
      <c r="B297" s="523"/>
      <c r="C297" s="523"/>
      <c r="D297" s="523"/>
      <c r="E297" s="523"/>
      <c r="F297" s="523"/>
      <c r="G297" s="523"/>
      <c r="H297" s="523"/>
      <c r="I297" s="523"/>
      <c r="J297" s="523"/>
      <c r="K297" s="523"/>
      <c r="L297" s="523"/>
    </row>
    <row r="298" spans="1:12" ht="13.5">
      <c r="A298" s="523"/>
      <c r="B298" s="523"/>
      <c r="C298" s="523"/>
      <c r="D298" s="523"/>
      <c r="E298" s="523"/>
      <c r="F298" s="523"/>
      <c r="G298" s="523"/>
      <c r="H298" s="523"/>
      <c r="I298" s="523"/>
      <c r="J298" s="523"/>
      <c r="K298" s="523"/>
      <c r="L298" s="523"/>
    </row>
    <row r="299" spans="1:12" ht="13.5">
      <c r="A299" s="523"/>
      <c r="B299" s="523"/>
      <c r="C299" s="523"/>
      <c r="D299" s="523"/>
      <c r="E299" s="523"/>
      <c r="F299" s="523"/>
      <c r="G299" s="523"/>
      <c r="H299" s="523"/>
      <c r="I299" s="523"/>
      <c r="J299" s="523"/>
      <c r="K299" s="523"/>
      <c r="L299" s="523"/>
    </row>
    <row r="300" spans="1:12" ht="13.5">
      <c r="A300" s="523"/>
      <c r="B300" s="523"/>
      <c r="C300" s="523"/>
      <c r="D300" s="523"/>
      <c r="E300" s="523"/>
      <c r="F300" s="523"/>
      <c r="G300" s="523"/>
      <c r="H300" s="523"/>
      <c r="I300" s="523"/>
      <c r="J300" s="523"/>
      <c r="K300" s="523"/>
      <c r="L300" s="523"/>
    </row>
    <row r="301" spans="1:12" ht="13.5">
      <c r="A301" s="523"/>
      <c r="B301" s="523"/>
      <c r="C301" s="523"/>
      <c r="D301" s="523"/>
      <c r="E301" s="523"/>
      <c r="F301" s="523"/>
      <c r="G301" s="523"/>
      <c r="H301" s="523"/>
      <c r="I301" s="523"/>
      <c r="J301" s="523"/>
      <c r="K301" s="523"/>
      <c r="L301" s="523"/>
    </row>
    <row r="302" spans="1:12" ht="13.5">
      <c r="A302" s="523"/>
      <c r="B302" s="523"/>
      <c r="C302" s="523"/>
      <c r="D302" s="523"/>
      <c r="E302" s="523"/>
      <c r="F302" s="523"/>
      <c r="G302" s="523"/>
      <c r="H302" s="523"/>
      <c r="I302" s="523"/>
      <c r="J302" s="523"/>
      <c r="K302" s="523"/>
      <c r="L302" s="523"/>
    </row>
    <row r="303" spans="1:12" ht="13.5">
      <c r="A303" s="523"/>
      <c r="B303" s="523"/>
      <c r="C303" s="523"/>
      <c r="D303" s="523"/>
      <c r="E303" s="523"/>
      <c r="F303" s="523"/>
      <c r="G303" s="523"/>
      <c r="H303" s="523"/>
      <c r="I303" s="523"/>
      <c r="J303" s="523"/>
      <c r="K303" s="523"/>
      <c r="L303" s="523"/>
    </row>
    <row r="304" spans="1:12" ht="13.5">
      <c r="A304" s="523"/>
      <c r="B304" s="523"/>
      <c r="C304" s="523"/>
      <c r="D304" s="523"/>
      <c r="E304" s="523"/>
      <c r="F304" s="523"/>
      <c r="G304" s="523"/>
      <c r="H304" s="523"/>
      <c r="I304" s="523"/>
      <c r="J304" s="523"/>
      <c r="K304" s="523"/>
      <c r="L304" s="523"/>
    </row>
    <row r="305" spans="1:12" ht="13.5">
      <c r="A305" s="523"/>
      <c r="B305" s="523"/>
      <c r="C305" s="523"/>
      <c r="D305" s="523"/>
      <c r="E305" s="523"/>
      <c r="F305" s="523"/>
      <c r="G305" s="523"/>
      <c r="H305" s="523"/>
      <c r="I305" s="523"/>
      <c r="J305" s="523"/>
      <c r="K305" s="523"/>
      <c r="L305" s="523"/>
    </row>
    <row r="306" spans="1:12" ht="13.5">
      <c r="A306" s="523"/>
      <c r="B306" s="523"/>
      <c r="C306" s="523"/>
      <c r="D306" s="523"/>
      <c r="E306" s="523"/>
      <c r="F306" s="523"/>
      <c r="G306" s="523"/>
      <c r="H306" s="523"/>
      <c r="I306" s="523"/>
      <c r="J306" s="523"/>
      <c r="K306" s="523"/>
      <c r="L306" s="523"/>
    </row>
    <row r="307" spans="1:12" ht="13.5">
      <c r="A307" s="523"/>
      <c r="B307" s="523"/>
      <c r="C307" s="523"/>
      <c r="D307" s="523"/>
      <c r="E307" s="523"/>
      <c r="F307" s="523"/>
      <c r="G307" s="523"/>
      <c r="H307" s="523"/>
      <c r="I307" s="523"/>
      <c r="J307" s="523"/>
      <c r="K307" s="523"/>
      <c r="L307" s="523"/>
    </row>
    <row r="308" spans="1:12" ht="13.5">
      <c r="A308" s="523"/>
      <c r="B308" s="523"/>
      <c r="C308" s="523"/>
      <c r="D308" s="523"/>
      <c r="E308" s="523"/>
      <c r="F308" s="523"/>
      <c r="G308" s="523"/>
      <c r="H308" s="523"/>
      <c r="I308" s="523"/>
      <c r="J308" s="523"/>
      <c r="K308" s="523"/>
      <c r="L308" s="523"/>
    </row>
    <row r="309" spans="1:12" ht="13.5">
      <c r="A309" s="523"/>
      <c r="B309" s="523"/>
      <c r="C309" s="523"/>
      <c r="D309" s="523"/>
      <c r="E309" s="523"/>
      <c r="F309" s="523"/>
      <c r="G309" s="523"/>
      <c r="H309" s="523"/>
      <c r="I309" s="523"/>
      <c r="J309" s="523"/>
      <c r="K309" s="523"/>
      <c r="L309" s="523"/>
    </row>
    <row r="310" spans="1:12" ht="13.5">
      <c r="A310" s="523"/>
      <c r="B310" s="523"/>
      <c r="C310" s="523"/>
      <c r="D310" s="523"/>
      <c r="E310" s="523"/>
      <c r="F310" s="523"/>
      <c r="G310" s="523"/>
      <c r="H310" s="523"/>
      <c r="I310" s="523"/>
      <c r="J310" s="523"/>
      <c r="K310" s="523"/>
      <c r="L310" s="523"/>
    </row>
    <row r="311" spans="1:12" ht="13.5">
      <c r="A311" s="523"/>
      <c r="B311" s="523"/>
      <c r="C311" s="523"/>
      <c r="D311" s="523"/>
      <c r="E311" s="523"/>
      <c r="F311" s="523"/>
      <c r="G311" s="523"/>
      <c r="H311" s="523"/>
      <c r="I311" s="523"/>
      <c r="J311" s="523"/>
      <c r="K311" s="523"/>
      <c r="L311" s="523"/>
    </row>
    <row r="312" spans="1:12" ht="13.5">
      <c r="A312" s="523"/>
      <c r="B312" s="523"/>
      <c r="C312" s="523"/>
      <c r="D312" s="523"/>
      <c r="E312" s="523"/>
      <c r="F312" s="523"/>
      <c r="G312" s="523"/>
      <c r="H312" s="523"/>
      <c r="I312" s="523"/>
      <c r="J312" s="523"/>
      <c r="K312" s="523"/>
      <c r="L312" s="523"/>
    </row>
    <row r="313" spans="1:12" ht="13.5">
      <c r="A313" s="523"/>
      <c r="B313" s="523"/>
      <c r="C313" s="523"/>
      <c r="D313" s="523"/>
      <c r="E313" s="523"/>
      <c r="F313" s="523"/>
      <c r="G313" s="523"/>
      <c r="H313" s="523"/>
      <c r="I313" s="523"/>
      <c r="J313" s="523"/>
      <c r="K313" s="523"/>
      <c r="L313" s="523"/>
    </row>
    <row r="314" spans="1:12" ht="13.5">
      <c r="A314" s="523"/>
      <c r="B314" s="523"/>
      <c r="C314" s="523"/>
      <c r="D314" s="523"/>
      <c r="E314" s="523"/>
      <c r="F314" s="523"/>
      <c r="G314" s="523"/>
      <c r="H314" s="523"/>
      <c r="I314" s="523"/>
      <c r="J314" s="523"/>
      <c r="K314" s="523"/>
      <c r="L314" s="523"/>
    </row>
    <row r="315" spans="1:12" ht="13.5">
      <c r="A315" s="523"/>
      <c r="B315" s="523"/>
      <c r="C315" s="523"/>
      <c r="D315" s="523"/>
      <c r="E315" s="523"/>
      <c r="F315" s="523"/>
      <c r="G315" s="523"/>
      <c r="H315" s="523"/>
      <c r="I315" s="523"/>
      <c r="J315" s="523"/>
      <c r="K315" s="523"/>
      <c r="L315" s="523"/>
    </row>
    <row r="316" spans="1:12" ht="13.5">
      <c r="A316" s="523"/>
      <c r="B316" s="523"/>
      <c r="C316" s="523"/>
      <c r="D316" s="523"/>
      <c r="E316" s="523"/>
      <c r="F316" s="523"/>
      <c r="G316" s="523"/>
      <c r="H316" s="523"/>
      <c r="I316" s="523"/>
      <c r="J316" s="523"/>
      <c r="K316" s="523"/>
      <c r="L316" s="523"/>
    </row>
    <row r="317" spans="1:12" ht="13.5">
      <c r="A317" s="523"/>
      <c r="B317" s="523"/>
      <c r="C317" s="523"/>
      <c r="D317" s="523"/>
      <c r="E317" s="523"/>
      <c r="F317" s="523"/>
      <c r="G317" s="523"/>
      <c r="H317" s="523"/>
      <c r="I317" s="523"/>
      <c r="J317" s="523"/>
      <c r="K317" s="523"/>
      <c r="L317" s="523"/>
    </row>
    <row r="318" spans="1:12" ht="13.5">
      <c r="A318" s="523"/>
      <c r="B318" s="523"/>
      <c r="C318" s="523"/>
      <c r="D318" s="523"/>
      <c r="E318" s="523"/>
      <c r="F318" s="523"/>
      <c r="G318" s="523"/>
      <c r="H318" s="523"/>
      <c r="I318" s="523"/>
      <c r="J318" s="523"/>
      <c r="K318" s="523"/>
      <c r="L318" s="523"/>
    </row>
    <row r="319" spans="1:12" ht="13.5">
      <c r="A319" s="523"/>
      <c r="B319" s="523"/>
      <c r="C319" s="523"/>
      <c r="D319" s="523"/>
      <c r="E319" s="523"/>
      <c r="F319" s="523"/>
      <c r="G319" s="523"/>
      <c r="H319" s="523"/>
      <c r="I319" s="523"/>
      <c r="J319" s="523"/>
      <c r="K319" s="523"/>
      <c r="L319" s="523"/>
    </row>
    <row r="320" spans="1:12" ht="13.5">
      <c r="A320" s="523"/>
      <c r="B320" s="523"/>
      <c r="C320" s="523"/>
      <c r="D320" s="523"/>
      <c r="E320" s="523"/>
      <c r="F320" s="523"/>
      <c r="G320" s="523"/>
      <c r="H320" s="523"/>
      <c r="I320" s="523"/>
      <c r="J320" s="523"/>
      <c r="K320" s="523"/>
      <c r="L320" s="523"/>
    </row>
    <row r="321" spans="1:12" ht="13.5">
      <c r="A321" s="523"/>
      <c r="B321" s="523"/>
      <c r="C321" s="523"/>
      <c r="D321" s="523"/>
      <c r="E321" s="523"/>
      <c r="F321" s="523"/>
      <c r="G321" s="523"/>
      <c r="H321" s="523"/>
      <c r="I321" s="523"/>
      <c r="J321" s="523"/>
      <c r="K321" s="523"/>
      <c r="L321" s="523"/>
    </row>
    <row r="322" spans="1:12" ht="13.5">
      <c r="A322" s="523"/>
      <c r="B322" s="523"/>
      <c r="C322" s="523"/>
      <c r="D322" s="523"/>
      <c r="E322" s="523"/>
      <c r="F322" s="523"/>
      <c r="G322" s="523"/>
      <c r="H322" s="523"/>
      <c r="I322" s="523"/>
      <c r="J322" s="523"/>
      <c r="K322" s="523"/>
      <c r="L322" s="523"/>
    </row>
    <row r="323" spans="1:12" ht="13.5">
      <c r="A323" s="523"/>
      <c r="B323" s="523"/>
      <c r="C323" s="523"/>
      <c r="D323" s="523"/>
      <c r="E323" s="523"/>
      <c r="F323" s="523"/>
      <c r="G323" s="523"/>
      <c r="H323" s="523"/>
      <c r="I323" s="523"/>
      <c r="J323" s="523"/>
      <c r="K323" s="523"/>
      <c r="L323" s="523"/>
    </row>
    <row r="324" spans="1:12" ht="13.5">
      <c r="A324" s="523"/>
      <c r="B324" s="523"/>
      <c r="C324" s="523"/>
      <c r="D324" s="523"/>
      <c r="E324" s="523"/>
      <c r="F324" s="523"/>
      <c r="G324" s="523"/>
      <c r="H324" s="523"/>
      <c r="I324" s="523"/>
      <c r="J324" s="523"/>
      <c r="K324" s="523"/>
      <c r="L324" s="523"/>
    </row>
    <row r="325" spans="1:12" ht="13.5">
      <c r="A325" s="523"/>
      <c r="B325" s="523"/>
      <c r="C325" s="523"/>
      <c r="D325" s="523"/>
      <c r="E325" s="523"/>
      <c r="F325" s="523"/>
      <c r="G325" s="523"/>
      <c r="H325" s="523"/>
      <c r="I325" s="523"/>
      <c r="J325" s="523"/>
      <c r="K325" s="523"/>
      <c r="L325" s="523"/>
    </row>
    <row r="326" spans="1:12" ht="13.5">
      <c r="A326" s="523"/>
      <c r="B326" s="523"/>
      <c r="C326" s="523"/>
      <c r="D326" s="523"/>
      <c r="E326" s="523"/>
      <c r="F326" s="523"/>
      <c r="G326" s="523"/>
      <c r="H326" s="523"/>
      <c r="I326" s="523"/>
      <c r="J326" s="523"/>
      <c r="K326" s="523"/>
      <c r="L326" s="523"/>
    </row>
    <row r="327" spans="1:12" ht="13.5">
      <c r="A327" s="523"/>
      <c r="B327" s="523"/>
      <c r="C327" s="523"/>
      <c r="D327" s="523"/>
      <c r="E327" s="523"/>
      <c r="F327" s="523"/>
      <c r="G327" s="523"/>
      <c r="H327" s="523"/>
      <c r="I327" s="523"/>
      <c r="J327" s="523"/>
      <c r="K327" s="523"/>
      <c r="L327" s="523"/>
    </row>
    <row r="328" spans="1:12" ht="13.5">
      <c r="A328" s="523"/>
      <c r="B328" s="523"/>
      <c r="C328" s="523"/>
      <c r="D328" s="523"/>
      <c r="E328" s="523"/>
      <c r="F328" s="523"/>
      <c r="G328" s="523"/>
      <c r="H328" s="523"/>
      <c r="I328" s="523"/>
      <c r="J328" s="523"/>
      <c r="K328" s="523"/>
      <c r="L328" s="523"/>
    </row>
    <row r="329" spans="1:12" ht="13.5">
      <c r="A329" s="523"/>
      <c r="B329" s="523"/>
      <c r="C329" s="523"/>
      <c r="D329" s="523"/>
      <c r="E329" s="523"/>
      <c r="F329" s="523"/>
      <c r="G329" s="523"/>
      <c r="H329" s="523"/>
      <c r="I329" s="523"/>
      <c r="J329" s="523"/>
      <c r="K329" s="523"/>
      <c r="L329" s="523"/>
    </row>
    <row r="330" spans="1:12" ht="13.5">
      <c r="A330" s="523"/>
      <c r="B330" s="523"/>
      <c r="C330" s="523"/>
      <c r="D330" s="523"/>
      <c r="E330" s="523"/>
      <c r="F330" s="523"/>
      <c r="G330" s="523"/>
      <c r="H330" s="523"/>
      <c r="I330" s="523"/>
      <c r="J330" s="523"/>
      <c r="K330" s="523"/>
      <c r="L330" s="523"/>
    </row>
    <row r="331" spans="1:12" ht="13.5">
      <c r="A331" s="523"/>
      <c r="B331" s="523"/>
      <c r="C331" s="523"/>
      <c r="D331" s="523"/>
      <c r="E331" s="523"/>
      <c r="F331" s="523"/>
      <c r="G331" s="523"/>
      <c r="H331" s="523"/>
      <c r="I331" s="523"/>
      <c r="J331" s="523"/>
      <c r="K331" s="523"/>
      <c r="L331" s="523"/>
    </row>
    <row r="332" spans="1:12" ht="13.5">
      <c r="A332" s="523"/>
      <c r="B332" s="523"/>
      <c r="C332" s="523"/>
      <c r="D332" s="523"/>
      <c r="E332" s="523"/>
      <c r="F332" s="523"/>
      <c r="G332" s="523"/>
      <c r="H332" s="523"/>
      <c r="I332" s="523"/>
      <c r="J332" s="523"/>
      <c r="K332" s="523"/>
      <c r="L332" s="523"/>
    </row>
    <row r="333" spans="1:12" ht="13.5">
      <c r="A333" s="523"/>
      <c r="B333" s="523"/>
      <c r="C333" s="523"/>
      <c r="D333" s="523"/>
      <c r="E333" s="523"/>
      <c r="F333" s="523"/>
      <c r="G333" s="523"/>
      <c r="H333" s="523"/>
      <c r="I333" s="523"/>
      <c r="J333" s="523"/>
      <c r="K333" s="523"/>
      <c r="L333" s="523"/>
    </row>
    <row r="334" spans="1:12" ht="13.5">
      <c r="A334" s="523"/>
      <c r="B334" s="523"/>
      <c r="C334" s="523"/>
      <c r="D334" s="523"/>
      <c r="E334" s="523"/>
      <c r="F334" s="523"/>
      <c r="G334" s="523"/>
      <c r="H334" s="523"/>
      <c r="I334" s="523"/>
      <c r="J334" s="523"/>
      <c r="K334" s="523"/>
      <c r="L334" s="523"/>
    </row>
    <row r="335" spans="1:12" ht="13.5">
      <c r="A335" s="523"/>
      <c r="B335" s="523"/>
      <c r="C335" s="523"/>
      <c r="D335" s="523"/>
      <c r="E335" s="523"/>
      <c r="F335" s="523"/>
      <c r="G335" s="523"/>
      <c r="H335" s="523"/>
      <c r="I335" s="523"/>
      <c r="J335" s="523"/>
      <c r="K335" s="523"/>
      <c r="L335" s="523"/>
    </row>
    <row r="336" spans="1:12" ht="13.5">
      <c r="A336" s="523"/>
      <c r="B336" s="523"/>
      <c r="C336" s="523"/>
      <c r="D336" s="523"/>
      <c r="E336" s="523"/>
      <c r="F336" s="523"/>
      <c r="G336" s="523"/>
      <c r="H336" s="523"/>
      <c r="I336" s="523"/>
      <c r="J336" s="523"/>
      <c r="K336" s="523"/>
      <c r="L336" s="523"/>
    </row>
    <row r="337" spans="1:12" ht="13.5">
      <c r="A337" s="523"/>
      <c r="B337" s="523"/>
      <c r="C337" s="523"/>
      <c r="D337" s="523"/>
      <c r="E337" s="523"/>
      <c r="F337" s="523"/>
      <c r="G337" s="523"/>
      <c r="H337" s="523"/>
      <c r="I337" s="523"/>
      <c r="J337" s="523"/>
      <c r="K337" s="523"/>
      <c r="L337" s="523"/>
    </row>
    <row r="338" spans="1:12" ht="13.5">
      <c r="A338" s="523"/>
      <c r="B338" s="523"/>
      <c r="C338" s="523"/>
      <c r="D338" s="523"/>
      <c r="E338" s="523"/>
      <c r="F338" s="523"/>
      <c r="G338" s="523"/>
      <c r="H338" s="523"/>
      <c r="I338" s="523"/>
      <c r="J338" s="523"/>
      <c r="K338" s="523"/>
      <c r="L338" s="523"/>
    </row>
    <row r="339" spans="1:12" ht="13.5">
      <c r="A339" s="523"/>
      <c r="B339" s="523"/>
      <c r="C339" s="523"/>
      <c r="D339" s="523"/>
      <c r="E339" s="523"/>
      <c r="F339" s="523"/>
      <c r="G339" s="523"/>
      <c r="H339" s="523"/>
      <c r="I339" s="523"/>
      <c r="J339" s="523"/>
      <c r="K339" s="523"/>
      <c r="L339" s="523"/>
    </row>
    <row r="340" spans="1:12" ht="13.5">
      <c r="A340" s="523"/>
      <c r="B340" s="523"/>
      <c r="C340" s="523"/>
      <c r="D340" s="523"/>
      <c r="E340" s="523"/>
      <c r="F340" s="523"/>
      <c r="G340" s="523"/>
      <c r="H340" s="523"/>
      <c r="I340" s="523"/>
      <c r="J340" s="523"/>
      <c r="K340" s="523"/>
      <c r="L340" s="523"/>
    </row>
    <row r="341" spans="1:12" ht="13.5">
      <c r="A341" s="523"/>
      <c r="B341" s="523"/>
      <c r="C341" s="523"/>
      <c r="D341" s="523"/>
      <c r="E341" s="523"/>
      <c r="F341" s="523"/>
      <c r="G341" s="523"/>
      <c r="H341" s="523"/>
      <c r="I341" s="523"/>
      <c r="J341" s="523"/>
      <c r="K341" s="523"/>
      <c r="L341" s="523"/>
    </row>
    <row r="342" spans="1:12" ht="13.5">
      <c r="A342" s="523"/>
      <c r="B342" s="523"/>
      <c r="C342" s="523"/>
      <c r="D342" s="523"/>
      <c r="E342" s="523"/>
      <c r="F342" s="523"/>
      <c r="G342" s="523"/>
      <c r="H342" s="523"/>
      <c r="I342" s="523"/>
      <c r="J342" s="523"/>
      <c r="K342" s="523"/>
      <c r="L342" s="523"/>
    </row>
    <row r="343" spans="1:12" ht="13.5">
      <c r="A343" s="523"/>
      <c r="B343" s="523"/>
      <c r="C343" s="523"/>
      <c r="D343" s="523"/>
      <c r="E343" s="523"/>
      <c r="F343" s="523"/>
      <c r="G343" s="523"/>
      <c r="H343" s="523"/>
      <c r="I343" s="523"/>
      <c r="J343" s="523"/>
      <c r="K343" s="523"/>
      <c r="L343" s="523"/>
    </row>
    <row r="344" spans="1:12" ht="13.5">
      <c r="A344" s="523"/>
      <c r="B344" s="523"/>
      <c r="C344" s="523"/>
      <c r="D344" s="523"/>
      <c r="E344" s="523"/>
      <c r="F344" s="523"/>
      <c r="G344" s="523"/>
      <c r="H344" s="523"/>
      <c r="I344" s="523"/>
      <c r="J344" s="523"/>
      <c r="K344" s="523"/>
      <c r="L344" s="523"/>
    </row>
    <row r="345" spans="1:12" ht="13.5">
      <c r="A345" s="523"/>
      <c r="B345" s="523"/>
      <c r="C345" s="523"/>
      <c r="D345" s="523"/>
      <c r="E345" s="523"/>
      <c r="F345" s="523"/>
      <c r="G345" s="523"/>
      <c r="H345" s="523"/>
      <c r="I345" s="523"/>
      <c r="J345" s="523"/>
      <c r="K345" s="523"/>
      <c r="L345" s="523"/>
    </row>
    <row r="346" spans="1:12" ht="13.5">
      <c r="A346" s="523"/>
      <c r="B346" s="523"/>
      <c r="C346" s="523"/>
      <c r="D346" s="523"/>
      <c r="E346" s="523"/>
      <c r="F346" s="523"/>
      <c r="G346" s="523"/>
      <c r="H346" s="523"/>
      <c r="I346" s="523"/>
      <c r="J346" s="523"/>
      <c r="K346" s="523"/>
      <c r="L346" s="523"/>
    </row>
    <row r="347" spans="1:12" ht="13.5">
      <c r="A347" s="523"/>
      <c r="B347" s="523"/>
      <c r="C347" s="523"/>
      <c r="D347" s="523"/>
      <c r="E347" s="523"/>
      <c r="F347" s="523"/>
      <c r="G347" s="523"/>
      <c r="H347" s="523"/>
      <c r="I347" s="523"/>
      <c r="J347" s="523"/>
      <c r="K347" s="523"/>
      <c r="L347" s="523"/>
    </row>
    <row r="348" spans="1:12" ht="13.5">
      <c r="A348" s="523"/>
      <c r="B348" s="523"/>
      <c r="C348" s="523"/>
      <c r="D348" s="523"/>
      <c r="E348" s="523"/>
      <c r="F348" s="523"/>
      <c r="G348" s="523"/>
      <c r="H348" s="523"/>
      <c r="I348" s="523"/>
      <c r="J348" s="523"/>
      <c r="K348" s="523"/>
      <c r="L348" s="523"/>
    </row>
    <row r="349" spans="1:12" ht="13.5">
      <c r="A349" s="523"/>
      <c r="B349" s="523"/>
      <c r="C349" s="523"/>
      <c r="D349" s="523"/>
      <c r="E349" s="523"/>
      <c r="F349" s="523"/>
      <c r="G349" s="523"/>
      <c r="H349" s="523"/>
      <c r="I349" s="523"/>
      <c r="J349" s="523"/>
      <c r="K349" s="523"/>
      <c r="L349" s="523"/>
    </row>
    <row r="350" spans="1:12" ht="13.5">
      <c r="A350" s="523"/>
      <c r="B350" s="523"/>
      <c r="C350" s="523"/>
      <c r="D350" s="523"/>
      <c r="E350" s="523"/>
      <c r="F350" s="523"/>
      <c r="G350" s="523"/>
      <c r="H350" s="523"/>
      <c r="I350" s="523"/>
      <c r="J350" s="523"/>
      <c r="K350" s="523"/>
      <c r="L350" s="523"/>
    </row>
    <row r="351" spans="1:12" ht="13.5">
      <c r="A351" s="523"/>
      <c r="B351" s="523"/>
      <c r="C351" s="523"/>
      <c r="D351" s="523"/>
      <c r="E351" s="523"/>
      <c r="F351" s="523"/>
      <c r="G351" s="523"/>
      <c r="H351" s="523"/>
      <c r="I351" s="523"/>
      <c r="J351" s="523"/>
      <c r="K351" s="523"/>
      <c r="L351" s="523"/>
    </row>
    <row r="352" spans="1:12" ht="13.5">
      <c r="A352" s="523"/>
      <c r="B352" s="523"/>
      <c r="C352" s="523"/>
      <c r="D352" s="523"/>
      <c r="E352" s="523"/>
      <c r="F352" s="523"/>
      <c r="G352" s="523"/>
      <c r="H352" s="523"/>
      <c r="I352" s="523"/>
      <c r="J352" s="523"/>
      <c r="K352" s="523"/>
      <c r="L352" s="523"/>
    </row>
    <row r="353" spans="1:12" ht="13.5">
      <c r="A353" s="523"/>
      <c r="B353" s="523"/>
      <c r="C353" s="523"/>
      <c r="D353" s="523"/>
      <c r="E353" s="523"/>
      <c r="F353" s="523"/>
      <c r="G353" s="523"/>
      <c r="H353" s="523"/>
      <c r="I353" s="523"/>
      <c r="J353" s="523"/>
      <c r="K353" s="523"/>
      <c r="L353" s="523"/>
    </row>
    <row r="354" spans="1:12" ht="13.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0.75">
      <c r="A3" s="526" t="s">
        <v>720</v>
      </c>
    </row>
    <row r="4" ht="15">
      <c r="A4" s="527" t="s">
        <v>721</v>
      </c>
    </row>
    <row r="7" ht="30.75">
      <c r="A7" s="526" t="s">
        <v>722</v>
      </c>
    </row>
    <row r="8" ht="15">
      <c r="A8" s="527" t="s">
        <v>723</v>
      </c>
    </row>
    <row r="11" ht="15">
      <c r="A11" s="525" t="s">
        <v>724</v>
      </c>
    </row>
    <row r="12" ht="15">
      <c r="A12" s="527" t="s">
        <v>725</v>
      </c>
    </row>
    <row r="15" ht="15">
      <c r="A15" s="525" t="s">
        <v>726</v>
      </c>
    </row>
    <row r="16" ht="15">
      <c r="A16" s="527" t="s">
        <v>727</v>
      </c>
    </row>
    <row r="19" ht="15">
      <c r="A19" s="525" t="s">
        <v>728</v>
      </c>
    </row>
    <row r="20" ht="15">
      <c r="A20" s="527" t="s">
        <v>729</v>
      </c>
    </row>
    <row r="23" ht="15">
      <c r="A23" s="525" t="s">
        <v>730</v>
      </c>
    </row>
    <row r="24" ht="15">
      <c r="A24" s="527" t="s">
        <v>731</v>
      </c>
    </row>
    <row r="27" ht="15">
      <c r="A27" s="525" t="s">
        <v>732</v>
      </c>
    </row>
    <row r="28" ht="15">
      <c r="A28" s="527" t="s">
        <v>733</v>
      </c>
    </row>
    <row r="31" ht="15">
      <c r="A31" s="525" t="s">
        <v>734</v>
      </c>
    </row>
    <row r="32" ht="15">
      <c r="A32" s="527" t="s">
        <v>735</v>
      </c>
    </row>
    <row r="35" ht="15">
      <c r="A35" s="525" t="s">
        <v>736</v>
      </c>
    </row>
    <row r="36" ht="15">
      <c r="A36" s="527" t="s">
        <v>737</v>
      </c>
    </row>
    <row r="39" ht="15">
      <c r="A39" s="525" t="s">
        <v>738</v>
      </c>
    </row>
    <row r="40" ht="1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3" sqref="E13"/>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
      <c r="A1" s="99" t="str">
        <f>inputPrYr!D2</f>
        <v>Palacky Township</v>
      </c>
      <c r="B1" s="101"/>
      <c r="C1" s="101"/>
      <c r="D1" s="101"/>
      <c r="E1" s="101">
        <f>inputPrYr!D5</f>
        <v>2012</v>
      </c>
    </row>
    <row r="2" spans="1:5" ht="15">
      <c r="A2" s="99" t="str">
        <f>inputPrYr!D3</f>
        <v>Ellsworth County</v>
      </c>
      <c r="B2" s="101"/>
      <c r="C2" s="101"/>
      <c r="D2" s="101"/>
      <c r="E2" s="101"/>
    </row>
    <row r="3" spans="1:5" ht="15">
      <c r="A3" s="101"/>
      <c r="B3" s="101"/>
      <c r="C3" s="101"/>
      <c r="D3" s="101"/>
      <c r="E3" s="101"/>
    </row>
    <row r="4" spans="1:5" ht="15">
      <c r="A4" s="613" t="s">
        <v>162</v>
      </c>
      <c r="B4" s="614"/>
      <c r="C4" s="614"/>
      <c r="D4" s="614"/>
      <c r="E4" s="614"/>
    </row>
    <row r="5" spans="1:5" ht="15">
      <c r="A5" s="101"/>
      <c r="B5" s="101"/>
      <c r="C5" s="101"/>
      <c r="D5" s="101"/>
      <c r="E5" s="101"/>
    </row>
    <row r="6" spans="1:5" ht="15">
      <c r="A6" s="306" t="str">
        <f>CONCATENATE("From the County Clerks Budget Information for ",E1,":")</f>
        <v>From the County Clerks Budget Information for 2012:</v>
      </c>
      <c r="B6" s="307"/>
      <c r="C6" s="307"/>
      <c r="D6" s="14"/>
      <c r="E6" s="55"/>
    </row>
    <row r="7" spans="1:5" ht="15">
      <c r="A7" s="22" t="str">
        <f>CONCATENATE("Total Assessed Valuation for ",E1-1,"")</f>
        <v>Total Assessed Valuation for 2011</v>
      </c>
      <c r="B7" s="19"/>
      <c r="C7" s="19"/>
      <c r="D7" s="19"/>
      <c r="E7" s="308">
        <v>2491545</v>
      </c>
    </row>
    <row r="8" spans="1:5" ht="15">
      <c r="A8" s="22" t="str">
        <f>CONCATENATE("New Improvements for ",E1-1,"")</f>
        <v>New Improvements for 2011</v>
      </c>
      <c r="B8" s="19"/>
      <c r="C8" s="19"/>
      <c r="D8" s="19"/>
      <c r="E8" s="309">
        <v>0</v>
      </c>
    </row>
    <row r="9" spans="1:5" ht="15">
      <c r="A9" s="22" t="str">
        <f>CONCATENATE("Personal Property excluding oil, gas, and mobile homes - ",E1-1,"")</f>
        <v>Personal Property excluding oil, gas, and mobile homes - 2011</v>
      </c>
      <c r="B9" s="19"/>
      <c r="C9" s="19"/>
      <c r="D9" s="19"/>
      <c r="E9" s="309">
        <v>29917</v>
      </c>
    </row>
    <row r="10" spans="1:5" ht="15">
      <c r="A10" s="22" t="str">
        <f>CONCATENATE("Property that has changed in use for ",E1-1,"")</f>
        <v>Property that has changed in use for 2011</v>
      </c>
      <c r="B10" s="19"/>
      <c r="C10" s="19"/>
      <c r="D10" s="19"/>
      <c r="E10" s="309">
        <v>967</v>
      </c>
    </row>
    <row r="11" spans="1:5" ht="15">
      <c r="A11" s="22" t="str">
        <f>CONCATENATE("Personal Property excluding oil, gas, and mobile homes- ",E1-2,"")</f>
        <v>Personal Property excluding oil, gas, and mobile homes- 2010</v>
      </c>
      <c r="B11" s="19"/>
      <c r="C11" s="19"/>
      <c r="D11" s="19"/>
      <c r="E11" s="309">
        <v>23743</v>
      </c>
    </row>
    <row r="12" spans="1:5" ht="15">
      <c r="A12" s="22" t="str">
        <f>CONCATENATE("Gross earnings (intangible) tax estimate for ",E1,"")</f>
        <v>Gross earnings (intangible) tax estimate for 2012</v>
      </c>
      <c r="B12" s="19"/>
      <c r="C12" s="19"/>
      <c r="D12" s="19"/>
      <c r="E12" s="309"/>
    </row>
    <row r="13" spans="1:5" ht="15">
      <c r="A13" s="22" t="str">
        <f>CONCATENATE("Neighborhood Revitalization - ",E1,"")</f>
        <v>Neighborhood Revitalization - 2012</v>
      </c>
      <c r="B13" s="19"/>
      <c r="C13" s="19"/>
      <c r="D13" s="19"/>
      <c r="E13" s="309"/>
    </row>
    <row r="14" spans="1:5" ht="15">
      <c r="A14" s="22"/>
      <c r="B14" s="19"/>
      <c r="C14" s="19"/>
      <c r="D14" s="19"/>
      <c r="E14" s="310"/>
    </row>
    <row r="15" spans="1:5" ht="15">
      <c r="A15" s="311" t="str">
        <f>CONCATENATE("Actual Tax Rates for the ",E1-1," Budget:")</f>
        <v>Actual Tax Rates for the 2011 Budget:</v>
      </c>
      <c r="B15" s="19"/>
      <c r="C15" s="19"/>
      <c r="D15" s="19"/>
      <c r="E15" s="312"/>
    </row>
    <row r="16" spans="1:5" ht="15">
      <c r="A16" s="615" t="s">
        <v>297</v>
      </c>
      <c r="B16" s="616"/>
      <c r="C16" s="101"/>
      <c r="D16" s="313" t="s">
        <v>3</v>
      </c>
      <c r="E16" s="312"/>
    </row>
    <row r="17" spans="1:5" ht="15">
      <c r="A17" s="82" t="str">
        <f>inputPrYr!B16</f>
        <v>General</v>
      </c>
      <c r="B17" s="20"/>
      <c r="C17" s="19"/>
      <c r="D17" s="314"/>
      <c r="E17" s="312"/>
    </row>
    <row r="18" spans="1:5" ht="15">
      <c r="A18" s="82" t="str">
        <f>inputPrYr!B17</f>
        <v>Debt Service</v>
      </c>
      <c r="B18" s="291"/>
      <c r="C18" s="19"/>
      <c r="D18" s="315"/>
      <c r="E18" s="312"/>
    </row>
    <row r="19" spans="1:5" ht="15">
      <c r="A19" s="82" t="str">
        <f>inputPrYr!B18</f>
        <v>Road</v>
      </c>
      <c r="B19" s="291"/>
      <c r="C19" s="19"/>
      <c r="D19" s="315">
        <v>20.451</v>
      </c>
      <c r="E19" s="312"/>
    </row>
    <row r="20" spans="1:5" ht="15">
      <c r="A20" s="82">
        <f>inputPrYr!B19</f>
        <v>0</v>
      </c>
      <c r="B20" s="291"/>
      <c r="C20" s="19"/>
      <c r="D20" s="315"/>
      <c r="E20" s="312"/>
    </row>
    <row r="21" spans="1:5" ht="15">
      <c r="A21" s="82">
        <f>inputPrYr!B20</f>
        <v>0</v>
      </c>
      <c r="B21" s="291"/>
      <c r="C21" s="19"/>
      <c r="D21" s="315"/>
      <c r="E21" s="312"/>
    </row>
    <row r="22" spans="1:5" ht="15">
      <c r="A22" s="82">
        <f>inputPrYr!B21</f>
        <v>0</v>
      </c>
      <c r="B22" s="291"/>
      <c r="C22" s="19"/>
      <c r="D22" s="316"/>
      <c r="E22" s="312"/>
    </row>
    <row r="23" spans="1:5" ht="15">
      <c r="A23" s="82">
        <f>inputPrYr!B22</f>
        <v>0</v>
      </c>
      <c r="B23" s="291"/>
      <c r="C23" s="19"/>
      <c r="D23" s="316"/>
      <c r="E23" s="312"/>
    </row>
    <row r="24" spans="1:5" ht="15">
      <c r="A24" s="82">
        <f>inputPrYr!B23</f>
        <v>0</v>
      </c>
      <c r="B24" s="291"/>
      <c r="C24" s="19"/>
      <c r="D24" s="316"/>
      <c r="E24" s="312"/>
    </row>
    <row r="25" spans="1:5" ht="15">
      <c r="A25" s="82">
        <f>inputPrYr!B24</f>
        <v>0</v>
      </c>
      <c r="B25" s="291"/>
      <c r="C25" s="19"/>
      <c r="D25" s="316"/>
      <c r="E25" s="312"/>
    </row>
    <row r="26" spans="1:5" ht="15">
      <c r="A26" s="14"/>
      <c r="B26" s="20" t="s">
        <v>287</v>
      </c>
      <c r="C26" s="283"/>
      <c r="D26" s="317">
        <f>SUM(D17:D25)</f>
        <v>20.451</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6">
        <v>2626623</v>
      </c>
    </row>
    <row r="29" spans="1:5" ht="15">
      <c r="A29" s="14"/>
      <c r="B29" s="14"/>
      <c r="C29" s="14"/>
      <c r="D29" s="14"/>
      <c r="E29" s="14"/>
    </row>
    <row r="30" spans="1:5" ht="15">
      <c r="A30" s="318" t="str">
        <f>CONCATENATE("From the County Treasurer's Budget Information - ",E1," Budget Year Estimates:")</f>
        <v>From the County Treasurer's Budget Information - 2012 Budget Year Estimates:</v>
      </c>
      <c r="B30" s="319"/>
      <c r="C30" s="319"/>
      <c r="D30" s="320"/>
      <c r="E30" s="55"/>
    </row>
    <row r="31" spans="1:5" ht="15">
      <c r="A31" s="82" t="s">
        <v>163</v>
      </c>
      <c r="B31" s="20"/>
      <c r="C31" s="20"/>
      <c r="D31" s="321"/>
      <c r="E31" s="34">
        <v>2259</v>
      </c>
    </row>
    <row r="32" spans="1:5" ht="15">
      <c r="A32" s="322" t="s">
        <v>288</v>
      </c>
      <c r="B32" s="291"/>
      <c r="C32" s="291"/>
      <c r="D32" s="31"/>
      <c r="E32" s="34">
        <v>16</v>
      </c>
    </row>
    <row r="33" spans="1:5" ht="15">
      <c r="A33" s="322" t="s">
        <v>164</v>
      </c>
      <c r="B33" s="291"/>
      <c r="C33" s="291"/>
      <c r="D33" s="31"/>
      <c r="E33" s="34">
        <v>377</v>
      </c>
    </row>
    <row r="34" spans="1:5" ht="15">
      <c r="A34" s="322" t="s">
        <v>165</v>
      </c>
      <c r="B34" s="291"/>
      <c r="C34" s="291"/>
      <c r="D34" s="31"/>
      <c r="E34" s="34"/>
    </row>
    <row r="35" spans="1:5" ht="15">
      <c r="A35" s="322" t="s">
        <v>166</v>
      </c>
      <c r="B35" s="291"/>
      <c r="C35" s="291"/>
      <c r="D35" s="31"/>
      <c r="E35" s="34"/>
    </row>
    <row r="36" spans="1:5" ht="15">
      <c r="A36" s="322" t="s">
        <v>103</v>
      </c>
      <c r="B36" s="20"/>
      <c r="C36" s="20"/>
      <c r="D36" s="321"/>
      <c r="E36" s="34">
        <v>2405</v>
      </c>
    </row>
    <row r="37" spans="1:5" ht="15">
      <c r="A37" s="14" t="s">
        <v>167</v>
      </c>
      <c r="B37" s="14"/>
      <c r="C37" s="14"/>
      <c r="D37" s="14"/>
      <c r="E37" s="14"/>
    </row>
    <row r="38" spans="1:5" ht="15">
      <c r="A38" s="79" t="s">
        <v>168</v>
      </c>
      <c r="B38" s="156"/>
      <c r="C38" s="156"/>
      <c r="D38" s="14"/>
      <c r="E38" s="14"/>
    </row>
    <row r="39" spans="1:5" ht="15">
      <c r="A39" s="300" t="str">
        <f>CONCATENATE("Actual Delinquency for ",E1-3," Tax (round to three decimal places)")</f>
        <v>Actual Delinquency for 2009 Tax (round to three decimal places)</v>
      </c>
      <c r="B39" s="19"/>
      <c r="C39" s="14"/>
      <c r="D39" s="14"/>
      <c r="E39" s="430">
        <v>0</v>
      </c>
    </row>
    <row r="40" spans="1:5" ht="15">
      <c r="A40" s="300" t="s">
        <v>169</v>
      </c>
      <c r="B40" s="300"/>
      <c r="C40" s="19"/>
      <c r="D40" s="19"/>
      <c r="E40" s="431"/>
    </row>
    <row r="41" spans="1:5" ht="15">
      <c r="A41" s="323" t="s">
        <v>170</v>
      </c>
      <c r="B41" s="323"/>
      <c r="C41" s="324"/>
      <c r="D41" s="324"/>
      <c r="E41" s="325"/>
    </row>
    <row r="42" spans="1:5" ht="15">
      <c r="A42" s="151"/>
      <c r="B42" s="151"/>
      <c r="C42" s="151"/>
      <c r="D42" s="151"/>
      <c r="E42" s="151"/>
    </row>
    <row r="43" spans="1:5" ht="15">
      <c r="A43" s="617" t="str">
        <f>CONCATENATE("From the ",E1-2," Budget Certificate Page")</f>
        <v>From the 2010 Budget Certificate Page</v>
      </c>
      <c r="B43" s="618"/>
      <c r="C43" s="151"/>
      <c r="D43" s="151"/>
      <c r="E43" s="151"/>
    </row>
    <row r="44" spans="1:5" ht="15">
      <c r="A44" s="326"/>
      <c r="B44" s="326" t="str">
        <f>CONCATENATE("",E1-2," Expenditure Amounts")</f>
        <v>2010 Expenditure Amounts</v>
      </c>
      <c r="C44" s="619" t="str">
        <f>CONCATENATE("Note: If the ",E1-2," budget was amended, then the")</f>
        <v>Note: If the 2010 budget was amended, then the</v>
      </c>
      <c r="D44" s="620"/>
      <c r="E44" s="620"/>
    </row>
    <row r="45" spans="1:5" ht="15">
      <c r="A45" s="327" t="s">
        <v>218</v>
      </c>
      <c r="B45" s="327" t="s">
        <v>219</v>
      </c>
      <c r="C45" s="328" t="s">
        <v>220</v>
      </c>
      <c r="D45" s="329"/>
      <c r="E45" s="329"/>
    </row>
    <row r="46" spans="1:5" ht="15">
      <c r="A46" s="330" t="str">
        <f>inputPrYr!B16</f>
        <v>General</v>
      </c>
      <c r="B46" s="36">
        <v>50611</v>
      </c>
      <c r="C46" s="328" t="s">
        <v>221</v>
      </c>
      <c r="D46" s="329"/>
      <c r="E46" s="329"/>
    </row>
    <row r="47" spans="1:5" ht="15">
      <c r="A47" s="330" t="str">
        <f>inputPrYr!B17</f>
        <v>Debt Service</v>
      </c>
      <c r="B47" s="36"/>
      <c r="C47" s="328"/>
      <c r="D47" s="329"/>
      <c r="E47" s="329"/>
    </row>
    <row r="48" spans="1:5" ht="15">
      <c r="A48" s="330" t="str">
        <f>inputPrYr!B18</f>
        <v>Road</v>
      </c>
      <c r="B48" s="36"/>
      <c r="C48" s="151"/>
      <c r="D48" s="151"/>
      <c r="E48" s="151"/>
    </row>
    <row r="49" spans="1:5" ht="15">
      <c r="A49" s="330">
        <f>inputPrYr!B19</f>
        <v>0</v>
      </c>
      <c r="B49" s="36"/>
      <c r="C49" s="151"/>
      <c r="D49" s="151"/>
      <c r="E49" s="151"/>
    </row>
    <row r="50" spans="1:5" ht="15">
      <c r="A50" s="330">
        <f>inputPrYr!B20</f>
        <v>0</v>
      </c>
      <c r="B50" s="36"/>
      <c r="C50" s="151"/>
      <c r="D50" s="151"/>
      <c r="E50" s="151"/>
    </row>
    <row r="51" spans="1:5" ht="15">
      <c r="A51" s="330">
        <f>inputPrYr!B21</f>
        <v>0</v>
      </c>
      <c r="B51" s="36"/>
      <c r="C51" s="151"/>
      <c r="D51" s="151"/>
      <c r="E51" s="151"/>
    </row>
    <row r="52" spans="1:5" ht="15">
      <c r="A52" s="330">
        <f>inputPrYr!B22</f>
        <v>0</v>
      </c>
      <c r="B52" s="36"/>
      <c r="C52" s="151"/>
      <c r="D52" s="151"/>
      <c r="E52" s="151"/>
    </row>
    <row r="53" spans="1:5" ht="15">
      <c r="A53" s="330">
        <f>inputPrYr!B23</f>
        <v>0</v>
      </c>
      <c r="B53" s="36"/>
      <c r="C53" s="151"/>
      <c r="D53" s="151"/>
      <c r="E53" s="151"/>
    </row>
    <row r="54" spans="1:5" ht="15">
      <c r="A54" s="330">
        <f>inputPrYr!B24</f>
        <v>0</v>
      </c>
      <c r="B54" s="36"/>
      <c r="C54" s="151"/>
      <c r="D54" s="151"/>
      <c r="E54" s="151"/>
    </row>
    <row r="55" spans="1:5" ht="15">
      <c r="A55" s="330">
        <f>inputPrYr!B28</f>
        <v>0</v>
      </c>
      <c r="B55" s="36"/>
      <c r="C55" s="151"/>
      <c r="D55" s="151"/>
      <c r="E55" s="151"/>
    </row>
    <row r="56" spans="1:5" ht="1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
      <c r="A1" s="401" t="s">
        <v>807</v>
      </c>
    </row>
    <row r="2" ht="15">
      <c r="A2" s="605" t="s">
        <v>808</v>
      </c>
    </row>
    <row r="4" ht="15">
      <c r="A4" s="401" t="s">
        <v>804</v>
      </c>
    </row>
    <row r="5" ht="15">
      <c r="A5" s="91" t="s">
        <v>805</v>
      </c>
    </row>
    <row r="6" ht="15">
      <c r="A6" s="91" t="s">
        <v>806</v>
      </c>
    </row>
    <row r="8" ht="15">
      <c r="A8" s="401" t="s">
        <v>777</v>
      </c>
    </row>
    <row r="9" ht="15">
      <c r="A9" s="605" t="s">
        <v>778</v>
      </c>
    </row>
    <row r="10" ht="15">
      <c r="A10" s="605" t="s">
        <v>779</v>
      </c>
    </row>
    <row r="11" ht="30.75">
      <c r="A11" s="604" t="s">
        <v>780</v>
      </c>
    </row>
    <row r="12" ht="15">
      <c r="A12" s="605" t="s">
        <v>781</v>
      </c>
    </row>
    <row r="13" ht="15">
      <c r="A13" s="605" t="s">
        <v>782</v>
      </c>
    </row>
    <row r="14" ht="15">
      <c r="A14" s="605" t="s">
        <v>783</v>
      </c>
    </row>
    <row r="15" ht="15">
      <c r="A15" s="605" t="s">
        <v>784</v>
      </c>
    </row>
    <row r="16" ht="15">
      <c r="A16" s="605" t="s">
        <v>785</v>
      </c>
    </row>
    <row r="17" ht="15">
      <c r="A17" s="605" t="s">
        <v>786</v>
      </c>
    </row>
    <row r="18" ht="15">
      <c r="A18" s="605" t="s">
        <v>787</v>
      </c>
    </row>
    <row r="19" ht="15">
      <c r="A19" s="605" t="s">
        <v>788</v>
      </c>
    </row>
    <row r="20" ht="15">
      <c r="A20" s="605" t="s">
        <v>789</v>
      </c>
    </row>
    <row r="21" ht="15">
      <c r="A21" s="605" t="s">
        <v>800</v>
      </c>
    </row>
    <row r="22" ht="15">
      <c r="A22" s="605" t="s">
        <v>790</v>
      </c>
    </row>
    <row r="23" ht="15">
      <c r="A23" s="605" t="s">
        <v>791</v>
      </c>
    </row>
    <row r="24" ht="15">
      <c r="A24" s="605" t="s">
        <v>792</v>
      </c>
    </row>
    <row r="25" ht="15">
      <c r="A25" s="605" t="s">
        <v>793</v>
      </c>
    </row>
    <row r="26" ht="15">
      <c r="A26" s="605" t="s">
        <v>794</v>
      </c>
    </row>
    <row r="27" ht="15">
      <c r="A27" s="605" t="s">
        <v>795</v>
      </c>
    </row>
    <row r="28" ht="15">
      <c r="A28" s="605" t="s">
        <v>796</v>
      </c>
    </row>
    <row r="29" ht="15">
      <c r="A29" s="605" t="s">
        <v>797</v>
      </c>
    </row>
    <row r="30" ht="15">
      <c r="A30" s="605" t="s">
        <v>798</v>
      </c>
    </row>
    <row r="31" ht="15">
      <c r="A31" s="605" t="s">
        <v>803</v>
      </c>
    </row>
    <row r="33" ht="15">
      <c r="A33" s="401" t="s">
        <v>642</v>
      </c>
    </row>
    <row r="34" ht="39" customHeight="1">
      <c r="A34" s="360" t="s">
        <v>643</v>
      </c>
    </row>
    <row r="35" ht="23.25" customHeight="1"/>
    <row r="36" ht="15">
      <c r="A36" s="401" t="s">
        <v>638</v>
      </c>
    </row>
    <row r="37" ht="15">
      <c r="A37" s="91" t="s">
        <v>639</v>
      </c>
    </row>
    <row r="38" ht="15">
      <c r="A38" s="91" t="s">
        <v>640</v>
      </c>
    </row>
    <row r="39" ht="15">
      <c r="A39" s="91" t="s">
        <v>641</v>
      </c>
    </row>
    <row r="41" ht="15">
      <c r="A41" s="404" t="s">
        <v>627</v>
      </c>
    </row>
    <row r="42" ht="15">
      <c r="A42" s="91" t="s">
        <v>637</v>
      </c>
    </row>
    <row r="44" ht="15">
      <c r="A44" s="401" t="s">
        <v>601</v>
      </c>
    </row>
    <row r="45" ht="15">
      <c r="A45" s="402" t="s">
        <v>602</v>
      </c>
    </row>
    <row r="46" ht="15">
      <c r="A46" s="402" t="s">
        <v>603</v>
      </c>
    </row>
    <row r="47" ht="15">
      <c r="A47" s="402" t="s">
        <v>604</v>
      </c>
    </row>
    <row r="48" ht="15">
      <c r="A48" s="400" t="s">
        <v>605</v>
      </c>
    </row>
    <row r="50" ht="15">
      <c r="A50" s="373" t="s">
        <v>328</v>
      </c>
    </row>
    <row r="51" ht="15">
      <c r="A51" s="91" t="s">
        <v>330</v>
      </c>
    </row>
    <row r="52" ht="15">
      <c r="A52" s="91" t="s">
        <v>331</v>
      </c>
    </row>
    <row r="53" ht="15">
      <c r="A53" s="91" t="s">
        <v>332</v>
      </c>
    </row>
    <row r="54" ht="15">
      <c r="A54" s="91" t="s">
        <v>333</v>
      </c>
    </row>
    <row r="55" ht="15">
      <c r="A55" s="91" t="s">
        <v>334</v>
      </c>
    </row>
    <row r="56" ht="15">
      <c r="A56" s="91" t="s">
        <v>335</v>
      </c>
    </row>
    <row r="57" ht="15">
      <c r="A57" s="91" t="s">
        <v>350</v>
      </c>
    </row>
    <row r="58" ht="15">
      <c r="A58" s="91" t="s">
        <v>351</v>
      </c>
    </row>
    <row r="59" ht="15">
      <c r="A59" s="91" t="s">
        <v>352</v>
      </c>
    </row>
    <row r="60" ht="15">
      <c r="A60" s="91" t="s">
        <v>353</v>
      </c>
    </row>
    <row r="61" ht="15">
      <c r="A61" s="91" t="s">
        <v>369</v>
      </c>
    </row>
    <row r="62" ht="30.75">
      <c r="A62" s="360" t="s">
        <v>370</v>
      </c>
    </row>
    <row r="63" ht="15">
      <c r="A63" s="360" t="s">
        <v>379</v>
      </c>
    </row>
    <row r="64" ht="15">
      <c r="A64" s="375" t="s">
        <v>382</v>
      </c>
    </row>
    <row r="65" ht="15">
      <c r="A65" s="376" t="s">
        <v>383</v>
      </c>
    </row>
    <row r="67" ht="15">
      <c r="A67" s="373" t="s">
        <v>323</v>
      </c>
    </row>
    <row r="68" ht="15">
      <c r="A68" s="91" t="s">
        <v>324</v>
      </c>
    </row>
    <row r="69" ht="15">
      <c r="A69" s="91" t="s">
        <v>325</v>
      </c>
    </row>
    <row r="71" ht="15">
      <c r="A71" s="373" t="s">
        <v>321</v>
      </c>
    </row>
    <row r="72" ht="15">
      <c r="A72" s="91" t="s">
        <v>322</v>
      </c>
    </row>
    <row r="74" ht="15">
      <c r="A74" s="373" t="s">
        <v>319</v>
      </c>
    </row>
    <row r="75" ht="15">
      <c r="A75" s="91" t="s">
        <v>320</v>
      </c>
    </row>
    <row r="77" ht="15">
      <c r="A77" s="373" t="s">
        <v>316</v>
      </c>
    </row>
    <row r="78" ht="15">
      <c r="A78" s="91" t="s">
        <v>317</v>
      </c>
    </row>
    <row r="79" ht="15">
      <c r="A79" s="91" t="s">
        <v>318</v>
      </c>
    </row>
    <row r="81" ht="15">
      <c r="A81" s="91" t="s">
        <v>312</v>
      </c>
    </row>
    <row r="82" ht="15">
      <c r="A82" s="91" t="s">
        <v>313</v>
      </c>
    </row>
    <row r="83" ht="15">
      <c r="A83" s="91" t="s">
        <v>314</v>
      </c>
    </row>
    <row r="84" ht="15">
      <c r="A84" s="91" t="s">
        <v>315</v>
      </c>
    </row>
    <row r="86" ht="15">
      <c r="A86" s="91" t="s">
        <v>308</v>
      </c>
    </row>
    <row r="87" ht="15">
      <c r="A87" s="91" t="s">
        <v>309</v>
      </c>
    </row>
    <row r="88" ht="15">
      <c r="A88" s="91" t="s">
        <v>310</v>
      </c>
    </row>
    <row r="90" ht="15">
      <c r="A90" s="91" t="s">
        <v>306</v>
      </c>
    </row>
    <row r="91" ht="34.5" customHeight="1">
      <c r="A91" s="91" t="s">
        <v>307</v>
      </c>
    </row>
    <row r="93" ht="15">
      <c r="A93" s="91" t="s">
        <v>261</v>
      </c>
    </row>
    <row r="94" ht="15">
      <c r="A94" s="91" t="s">
        <v>262</v>
      </c>
    </row>
    <row r="95" ht="30.75">
      <c r="A95" s="360" t="s">
        <v>278</v>
      </c>
    </row>
    <row r="96" ht="15">
      <c r="A96" s="91" t="s">
        <v>263</v>
      </c>
    </row>
    <row r="97" ht="15">
      <c r="A97" s="91" t="s">
        <v>264</v>
      </c>
    </row>
    <row r="98" ht="15">
      <c r="A98" s="91" t="s">
        <v>265</v>
      </c>
    </row>
    <row r="99" ht="15">
      <c r="A99" s="91" t="s">
        <v>266</v>
      </c>
    </row>
    <row r="100" ht="30.75">
      <c r="A100" s="360" t="s">
        <v>246</v>
      </c>
    </row>
    <row r="101" ht="30.75">
      <c r="A101" s="360" t="s">
        <v>274</v>
      </c>
    </row>
    <row r="102" ht="30.75">
      <c r="A102" s="360" t="s">
        <v>267</v>
      </c>
    </row>
    <row r="103" ht="15">
      <c r="A103" s="360" t="s">
        <v>268</v>
      </c>
    </row>
    <row r="104" ht="30.75">
      <c r="A104" s="360" t="s">
        <v>269</v>
      </c>
    </row>
    <row r="105" ht="33.75" customHeight="1">
      <c r="A105" s="91" t="s">
        <v>270</v>
      </c>
    </row>
    <row r="106" ht="26.25" customHeight="1">
      <c r="A106" s="91" t="s">
        <v>271</v>
      </c>
    </row>
    <row r="107" ht="33.75" customHeight="1">
      <c r="A107" s="91" t="s">
        <v>272</v>
      </c>
    </row>
    <row r="108" ht="30.75" customHeight="1">
      <c r="A108" s="91" t="s">
        <v>277</v>
      </c>
    </row>
    <row r="109" ht="21" customHeight="1">
      <c r="A109" s="360" t="s">
        <v>275</v>
      </c>
    </row>
    <row r="110" ht="38.25" customHeight="1">
      <c r="A110" s="360" t="s">
        <v>240</v>
      </c>
    </row>
    <row r="111" ht="33.75" customHeight="1">
      <c r="A111" s="360" t="s">
        <v>247</v>
      </c>
    </row>
    <row r="112" ht="33.75" customHeight="1">
      <c r="A112" s="360" t="s">
        <v>241</v>
      </c>
    </row>
    <row r="113" ht="33.75" customHeight="1">
      <c r="A113" s="360" t="s">
        <v>242</v>
      </c>
    </row>
    <row r="114" ht="33.75" customHeight="1">
      <c r="A114" s="360" t="s">
        <v>243</v>
      </c>
    </row>
    <row r="115" ht="30.75">
      <c r="A115" s="360" t="s">
        <v>244</v>
      </c>
    </row>
    <row r="116" ht="30.75">
      <c r="A116" s="360" t="s">
        <v>248</v>
      </c>
    </row>
    <row r="117" ht="30.75">
      <c r="A117" s="360" t="s">
        <v>245</v>
      </c>
    </row>
    <row r="118" ht="46.5">
      <c r="A118" s="360" t="s">
        <v>249</v>
      </c>
    </row>
    <row r="119" ht="15">
      <c r="A119" s="360" t="s">
        <v>255</v>
      </c>
    </row>
    <row r="121" ht="15">
      <c r="A121" s="91" t="s">
        <v>195</v>
      </c>
    </row>
    <row r="122" ht="46.5">
      <c r="A122" s="360" t="s">
        <v>250</v>
      </c>
    </row>
    <row r="123" ht="15">
      <c r="A123" s="91" t="s">
        <v>196</v>
      </c>
    </row>
    <row r="124" ht="15">
      <c r="A124" s="91" t="s">
        <v>200</v>
      </c>
    </row>
    <row r="125" ht="15">
      <c r="A125" s="91" t="s">
        <v>201</v>
      </c>
    </row>
    <row r="126" ht="15">
      <c r="A126" s="91" t="s">
        <v>197</v>
      </c>
    </row>
    <row r="127" ht="15">
      <c r="A127" s="91" t="s">
        <v>198</v>
      </c>
    </row>
    <row r="128" ht="15">
      <c r="A128" s="91" t="s">
        <v>199</v>
      </c>
    </row>
    <row r="129" ht="15">
      <c r="A129" s="360" t="s">
        <v>202</v>
      </c>
    </row>
    <row r="130" ht="15">
      <c r="A130" s="91" t="s">
        <v>203</v>
      </c>
    </row>
    <row r="131" ht="15">
      <c r="A131" s="91" t="s">
        <v>204</v>
      </c>
    </row>
    <row r="132" ht="15">
      <c r="A132" s="91" t="s">
        <v>251</v>
      </c>
    </row>
    <row r="133" ht="15">
      <c r="A133" s="91" t="s">
        <v>205</v>
      </c>
    </row>
    <row r="134" ht="15">
      <c r="A134" s="91" t="s">
        <v>252</v>
      </c>
    </row>
    <row r="135" ht="15">
      <c r="A135" s="91" t="s">
        <v>206</v>
      </c>
    </row>
    <row r="136" ht="15">
      <c r="A136" s="91" t="s">
        <v>253</v>
      </c>
    </row>
    <row r="137" ht="15">
      <c r="A137" s="91" t="s">
        <v>207</v>
      </c>
    </row>
    <row r="138" ht="15">
      <c r="A138" s="91" t="s">
        <v>211</v>
      </c>
    </row>
    <row r="139" ht="15">
      <c r="A139" s="91" t="s">
        <v>254</v>
      </c>
    </row>
    <row r="140" ht="15">
      <c r="A140" s="91" t="s">
        <v>229</v>
      </c>
    </row>
    <row r="141" ht="15">
      <c r="A141" s="91" t="s">
        <v>230</v>
      </c>
    </row>
    <row r="142" ht="15">
      <c r="A142" s="91" t="s">
        <v>231</v>
      </c>
    </row>
    <row r="143" ht="15">
      <c r="A143" s="91" t="s">
        <v>215</v>
      </c>
    </row>
    <row r="144" ht="15">
      <c r="A144" s="91" t="s">
        <v>216</v>
      </c>
    </row>
    <row r="145" ht="15">
      <c r="A145" s="91" t="s">
        <v>217</v>
      </c>
    </row>
    <row r="146" ht="15">
      <c r="A146" s="91" t="s">
        <v>226</v>
      </c>
    </row>
    <row r="147" ht="15">
      <c r="A147" s="91" t="s">
        <v>227</v>
      </c>
    </row>
    <row r="148" ht="15">
      <c r="A148" s="91" t="s">
        <v>228</v>
      </c>
    </row>
    <row r="149" ht="15">
      <c r="A149" s="91" t="s">
        <v>239</v>
      </c>
    </row>
    <row r="150" ht="15">
      <c r="A150"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8">
      <selection activeCell="B12" sqref="B12"/>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
      <c r="A4" s="383"/>
      <c r="B4" s="383"/>
      <c r="C4" s="383"/>
      <c r="D4" s="385"/>
      <c r="E4" s="383"/>
      <c r="F4" s="383"/>
    </row>
    <row r="5" spans="1:6" ht="15">
      <c r="A5" s="384" t="s">
        <v>385</v>
      </c>
      <c r="B5" s="386" t="s">
        <v>821</v>
      </c>
      <c r="C5" s="387"/>
      <c r="D5" s="384" t="s">
        <v>802</v>
      </c>
      <c r="E5" s="383"/>
      <c r="F5" s="383"/>
    </row>
    <row r="6" spans="1:6" ht="15">
      <c r="A6" s="384"/>
      <c r="B6" s="388"/>
      <c r="C6" s="389"/>
      <c r="D6" s="384" t="s">
        <v>801</v>
      </c>
      <c r="E6" s="383"/>
      <c r="F6" s="383"/>
    </row>
    <row r="7" spans="1:6" ht="15">
      <c r="A7" s="384" t="s">
        <v>386</v>
      </c>
      <c r="B7" s="386" t="s">
        <v>822</v>
      </c>
      <c r="C7" s="390"/>
      <c r="D7" s="384"/>
      <c r="E7" s="383"/>
      <c r="F7" s="383"/>
    </row>
    <row r="8" spans="1:6" ht="15">
      <c r="A8" s="384"/>
      <c r="B8" s="384"/>
      <c r="C8" s="384"/>
      <c r="D8" s="384"/>
      <c r="E8" s="383"/>
      <c r="F8" s="383"/>
    </row>
    <row r="9" spans="1:6" ht="15">
      <c r="A9" s="384" t="s">
        <v>387</v>
      </c>
      <c r="B9" s="391" t="s">
        <v>823</v>
      </c>
      <c r="C9" s="391"/>
      <c r="D9" s="391"/>
      <c r="E9" s="392"/>
      <c r="F9" s="383"/>
    </row>
    <row r="10" spans="1:6" ht="15">
      <c r="A10" s="384"/>
      <c r="B10" s="384"/>
      <c r="C10" s="384"/>
      <c r="D10" s="384"/>
      <c r="E10" s="383"/>
      <c r="F10" s="383"/>
    </row>
    <row r="11" spans="1:6" ht="15">
      <c r="A11" s="384"/>
      <c r="B11" s="384"/>
      <c r="C11" s="384"/>
      <c r="D11" s="384"/>
      <c r="E11" s="383"/>
      <c r="F11" s="383"/>
    </row>
    <row r="12" spans="1:6" ht="15">
      <c r="A12" s="384" t="s">
        <v>388</v>
      </c>
      <c r="B12" s="391" t="s">
        <v>824</v>
      </c>
      <c r="C12" s="391"/>
      <c r="D12" s="391"/>
      <c r="E12" s="392"/>
      <c r="F12" s="383"/>
    </row>
    <row r="15" spans="1:6" ht="15">
      <c r="A15" s="623" t="s">
        <v>389</v>
      </c>
      <c r="B15" s="623"/>
      <c r="C15" s="384"/>
      <c r="D15" s="384"/>
      <c r="E15" s="384"/>
      <c r="F15" s="383"/>
    </row>
    <row r="16" spans="1:6" ht="15">
      <c r="A16" s="384"/>
      <c r="B16" s="384"/>
      <c r="C16" s="384"/>
      <c r="D16" s="384"/>
      <c r="E16" s="384"/>
      <c r="F16" s="383"/>
    </row>
    <row r="17" spans="1:5" ht="15">
      <c r="A17" s="384" t="s">
        <v>385</v>
      </c>
      <c r="B17" s="388" t="s">
        <v>390</v>
      </c>
      <c r="C17" s="384"/>
      <c r="D17" s="384"/>
      <c r="E17" s="384"/>
    </row>
    <row r="18" spans="1:5" ht="15">
      <c r="A18" s="384"/>
      <c r="B18" s="384"/>
      <c r="C18" s="384"/>
      <c r="D18" s="384"/>
      <c r="E18" s="384"/>
    </row>
    <row r="19" spans="1:5" ht="15">
      <c r="A19" s="384" t="s">
        <v>386</v>
      </c>
      <c r="B19" s="384" t="s">
        <v>391</v>
      </c>
      <c r="C19" s="384"/>
      <c r="D19" s="384"/>
      <c r="E19" s="384"/>
    </row>
    <row r="20" spans="1:5" ht="15">
      <c r="A20" s="384"/>
      <c r="B20" s="384"/>
      <c r="C20" s="384"/>
      <c r="D20" s="384"/>
      <c r="E20" s="384"/>
    </row>
    <row r="21" spans="1:5" ht="15">
      <c r="A21" s="384" t="s">
        <v>387</v>
      </c>
      <c r="B21" s="384" t="s">
        <v>393</v>
      </c>
      <c r="C21" s="384"/>
      <c r="D21" s="384"/>
      <c r="E21" s="384"/>
    </row>
    <row r="22" spans="1:5" ht="15">
      <c r="A22" s="384"/>
      <c r="B22" s="384"/>
      <c r="C22" s="384"/>
      <c r="D22" s="384"/>
      <c r="E22" s="384"/>
    </row>
    <row r="23" spans="1:5" ht="1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B4">
      <selection activeCell="G23" sqref="G23"/>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
      <c r="B1" s="626" t="s">
        <v>72</v>
      </c>
      <c r="C1" s="626"/>
      <c r="D1" s="626"/>
      <c r="E1" s="626"/>
      <c r="F1" s="626"/>
      <c r="G1" s="626"/>
      <c r="H1" s="14">
        <f>inputPrYr!D5</f>
        <v>2012</v>
      </c>
    </row>
    <row r="2" spans="3:7" s="14" customFormat="1" ht="15">
      <c r="C2" s="156"/>
      <c r="D2" s="156"/>
      <c r="E2" s="156"/>
      <c r="F2" s="156"/>
      <c r="G2" s="63"/>
    </row>
    <row r="3" spans="2:8" s="14" customFormat="1" ht="15">
      <c r="B3" s="635" t="str">
        <f>CONCATENATE("To the Clerk of ",inputPrYr!D3,", State of Kansas")</f>
        <v>To the Clerk of Ellsworth County, State of Kansas</v>
      </c>
      <c r="C3" s="634"/>
      <c r="D3" s="634"/>
      <c r="E3" s="634"/>
      <c r="F3" s="634"/>
      <c r="G3" s="634"/>
      <c r="H3" s="634"/>
    </row>
    <row r="4" spans="2:7" s="14" customFormat="1" ht="15">
      <c r="B4" s="158" t="s">
        <v>155</v>
      </c>
      <c r="C4" s="156"/>
      <c r="D4" s="156"/>
      <c r="E4" s="156"/>
      <c r="F4" s="156"/>
      <c r="G4" s="156"/>
    </row>
    <row r="5" s="14" customFormat="1" ht="15">
      <c r="D5" s="427" t="str">
        <f>inputPrYr!D2</f>
        <v>Palacky Township</v>
      </c>
    </row>
    <row r="6" spans="2:7" s="14" customFormat="1" ht="1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
      <c r="D11" s="19"/>
      <c r="E11" s="630" t="str">
        <f>CONCATENATE("",H1," Adopted Budget")</f>
        <v>2012 Adopted Budget</v>
      </c>
      <c r="F11" s="631"/>
      <c r="G11" s="632"/>
    </row>
    <row r="12" spans="2:7" s="14" customFormat="1" ht="15">
      <c r="B12" s="22"/>
      <c r="D12" s="77"/>
      <c r="E12" s="279" t="s">
        <v>289</v>
      </c>
      <c r="F12" s="627" t="str">
        <f>CONCATENATE("Amount of ",H1-1," Ad Valorem Tax")</f>
        <v>Amount of 2011 Ad Valorem Tax</v>
      </c>
      <c r="G12" s="23" t="s">
        <v>290</v>
      </c>
    </row>
    <row r="13" spans="4:7" s="14" customFormat="1" ht="15">
      <c r="D13" s="23" t="s">
        <v>291</v>
      </c>
      <c r="E13" s="590" t="s">
        <v>219</v>
      </c>
      <c r="F13" s="628"/>
      <c r="G13" s="167" t="s">
        <v>292</v>
      </c>
    </row>
    <row r="14" spans="2:7" s="14" customFormat="1" ht="15">
      <c r="B14" s="82" t="s">
        <v>293</v>
      </c>
      <c r="C14" s="20"/>
      <c r="D14" s="26" t="s">
        <v>294</v>
      </c>
      <c r="E14" s="591" t="s">
        <v>749</v>
      </c>
      <c r="F14" s="629"/>
      <c r="G14" s="26" t="s">
        <v>296</v>
      </c>
    </row>
    <row r="15" spans="2:7" s="14" customFormat="1" ht="15">
      <c r="B15" s="27" t="str">
        <f>CONCATENATE("Computation to Determine Limit for ",H1,"")</f>
        <v>Computation to Determine Limit for 2012</v>
      </c>
      <c r="C15" s="28"/>
      <c r="D15" s="23">
        <v>2</v>
      </c>
      <c r="E15" s="19"/>
      <c r="F15" s="19"/>
      <c r="G15" s="280"/>
    </row>
    <row r="16" spans="2:7" s="14" customFormat="1" ht="15">
      <c r="B16" s="27" t="s">
        <v>214</v>
      </c>
      <c r="C16" s="28"/>
      <c r="D16" s="172">
        <v>3</v>
      </c>
      <c r="E16" s="19"/>
      <c r="F16" s="19"/>
      <c r="G16" s="281"/>
    </row>
    <row r="17" spans="2:7" s="14" customFormat="1" ht="15">
      <c r="B17" s="74" t="s">
        <v>175</v>
      </c>
      <c r="C17" s="28"/>
      <c r="D17" s="172">
        <v>4</v>
      </c>
      <c r="E17" s="19"/>
      <c r="F17" s="19"/>
      <c r="G17" s="281"/>
    </row>
    <row r="18" spans="2:7" s="14" customFormat="1" ht="15">
      <c r="B18" s="74" t="s">
        <v>144</v>
      </c>
      <c r="C18" s="28"/>
      <c r="D18" s="172">
        <v>5</v>
      </c>
      <c r="E18" s="19"/>
      <c r="F18" s="19"/>
      <c r="G18" s="281"/>
    </row>
    <row r="19" spans="2:7" s="14" customFormat="1" ht="15">
      <c r="B19" s="282" t="s">
        <v>297</v>
      </c>
      <c r="C19" s="157" t="s">
        <v>298</v>
      </c>
      <c r="D19" s="192"/>
      <c r="G19" s="283"/>
    </row>
    <row r="20" spans="2:7" s="14" customFormat="1" ht="15">
      <c r="B20" s="96" t="str">
        <f>inputPrYr!B16</f>
        <v>General</v>
      </c>
      <c r="C20" s="284" t="str">
        <f>inputPrYr!C16</f>
        <v>79-1962</v>
      </c>
      <c r="D20" s="285">
        <f>IF(gen!C61&gt;0,gen!C61,"  ")</f>
        <v>6</v>
      </c>
      <c r="E20" s="172" t="str">
        <f>IF(gen!$E$50&lt;&gt;0,gen!$E$50,"  ")</f>
        <v>  </v>
      </c>
      <c r="F20" s="172">
        <f>IF(gen!$E$57&lt;&gt;0,gen!$E$57,0)</f>
        <v>0</v>
      </c>
      <c r="G20" s="168" t="str">
        <f>IF(AND(gen!E57=0,$C$38&gt;=0)," ",IF(AND(F20&gt;0,$C$38=0)," ",IF(AND(F20&gt;0,$C$38&gt;0),ROUND(F20/$C$38*1000,3))))</f>
        <v> </v>
      </c>
    </row>
    <row r="21" spans="2:7" s="14" customFormat="1" ht="15">
      <c r="B21" s="96" t="s">
        <v>311</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
      <c r="B22" s="96" t="str">
        <f>IF(inputPrYr!$B18&gt;"  ",inputPrYr!$B18,"  ")</f>
        <v>Road</v>
      </c>
      <c r="C22" s="284" t="str">
        <f>IF(inputPrYr!C18&gt;0,inputPrYr!C18,"  ")</f>
        <v>68-518c</v>
      </c>
      <c r="D22" s="285" t="str">
        <f>IF(road!C67&gt;0,road!C67,"  ")</f>
        <v>  </v>
      </c>
      <c r="E22" s="172">
        <f>IF(road!$E$43&lt;&gt;0,road!$E$43,"  ")</f>
        <v>61501</v>
      </c>
      <c r="F22" s="172">
        <f>IF(road!$E$50&lt;&gt;0,road!$E$50,"  ")</f>
        <v>53871</v>
      </c>
      <c r="G22" s="168">
        <v>21.622</v>
      </c>
    </row>
    <row r="23" spans="2:7" s="14" customFormat="1" ht="1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
      <c r="B29" s="286" t="str">
        <f>IF(inputPrYr!$B28&gt;"  ",inputPrYr!$B28,"  ")</f>
        <v>  </v>
      </c>
      <c r="C29" s="287"/>
      <c r="D29" s="288" t="str">
        <f>IF(nolevypage12!$C$65&gt;0,nolevypage12!$C$65,"  ")</f>
        <v>  </v>
      </c>
      <c r="E29" s="172" t="str">
        <f>IF(nolevypage12!$E$28&lt;&gt;0,nolevypage12!$E$28,"  ")</f>
        <v>  </v>
      </c>
      <c r="F29" s="172"/>
      <c r="G29" s="168"/>
    </row>
    <row r="30" spans="2:7" s="14" customFormat="1" ht="15">
      <c r="B30" s="289" t="str">
        <f>IF(inputPrYr!$B29&gt;"  ",inputPrYr!$B29,"  ")</f>
        <v>  </v>
      </c>
      <c r="C30" s="25"/>
      <c r="D30" s="288" t="str">
        <f>IF(nolevypage12!$C$65&gt;0,nolevypage12!$C$65,"  ")</f>
        <v>  </v>
      </c>
      <c r="E30" s="172" t="str">
        <f>IF(nolevypage12!$E$59&lt;&gt;0,nolevypage12!$E$59,"  ")</f>
        <v>  </v>
      </c>
      <c r="F30" s="172"/>
      <c r="G30" s="168"/>
    </row>
    <row r="31" spans="2:7" s="14" customFormat="1" ht="15">
      <c r="B31" s="286" t="str">
        <f>IF((inputPrYr!$B33&gt;"  "),(nonbud!$A3),"  ")</f>
        <v>  </v>
      </c>
      <c r="C31" s="25"/>
      <c r="D31" s="288" t="str">
        <f>IF(nonbud!$F$33&gt;0,nonbud!$F$33,"  ")</f>
        <v>  </v>
      </c>
      <c r="E31" s="172"/>
      <c r="F31" s="172"/>
      <c r="G31" s="168"/>
    </row>
    <row r="32" spans="2:7" s="14" customFormat="1" ht="15">
      <c r="B32" s="27" t="s">
        <v>299</v>
      </c>
      <c r="C32" s="287"/>
      <c r="D32" s="288" t="str">
        <f>IF(road!C67&gt;0,road!C67,"  ")</f>
        <v>  </v>
      </c>
      <c r="E32" s="192"/>
      <c r="F32" s="192"/>
      <c r="G32" s="168"/>
    </row>
    <row r="33" spans="2:7" s="14" customFormat="1" ht="15.75" thickBot="1">
      <c r="B33" s="290" t="s">
        <v>300</v>
      </c>
      <c r="C33" s="291"/>
      <c r="D33" s="170" t="s">
        <v>301</v>
      </c>
      <c r="E33" s="292">
        <f>SUM(E20:E28)</f>
        <v>61501</v>
      </c>
      <c r="F33" s="292">
        <f>SUM(F20:F28)</f>
        <v>53871</v>
      </c>
      <c r="G33" s="293">
        <f>IF(SUM(G20:G28)&gt;0,SUM(G20:G28),"")</f>
        <v>21.622</v>
      </c>
    </row>
    <row r="34" spans="2:4" s="14" customFormat="1" ht="15.75" thickTop="1">
      <c r="B34" s="27" t="s">
        <v>174</v>
      </c>
      <c r="C34" s="283"/>
      <c r="D34" s="288">
        <f>summ!D47</f>
        <v>0</v>
      </c>
    </row>
    <row r="35" spans="2:6" s="14" customFormat="1" ht="15">
      <c r="B35" s="27" t="s">
        <v>225</v>
      </c>
      <c r="C35" s="28"/>
      <c r="D35" s="288">
        <f>IF(nhood!C37&gt;0,nhood!C37,"")</f>
      </c>
      <c r="E35" s="294" t="s">
        <v>161</v>
      </c>
      <c r="F35" s="295" t="str">
        <f>IF(F33&gt;computation!J34,"Yes","No")</f>
        <v>No</v>
      </c>
    </row>
    <row r="36" spans="2:6" s="14" customFormat="1" ht="15">
      <c r="B36" s="27" t="s">
        <v>160</v>
      </c>
      <c r="C36" s="28"/>
      <c r="D36" s="288">
        <f>IF(Resolution!D50&gt;0,Resolution!D50,"")</f>
      </c>
      <c r="E36" s="296"/>
      <c r="F36" s="297"/>
    </row>
    <row r="37" spans="2:7" s="14" customFormat="1" ht="15">
      <c r="B37" s="74" t="s">
        <v>100</v>
      </c>
      <c r="C37" s="637" t="s">
        <v>127</v>
      </c>
      <c r="D37" s="638"/>
      <c r="E37" s="298"/>
      <c r="G37" s="22" t="s">
        <v>302</v>
      </c>
    </row>
    <row r="38" spans="2:7" s="14" customFormat="1" ht="15">
      <c r="B38" s="27" t="s">
        <v>101</v>
      </c>
      <c r="C38" s="639"/>
      <c r="D38" s="640"/>
      <c r="E38" s="299"/>
      <c r="G38" s="22"/>
    </row>
    <row r="39" spans="2:7" s="14" customFormat="1" ht="15">
      <c r="B39" s="300"/>
      <c r="C39" s="641" t="str">
        <f>CONCATENATE("Nov. 1, ",H1-1," Valuation")</f>
        <v>Nov. 1, 2011 Valuation</v>
      </c>
      <c r="D39" s="642"/>
      <c r="E39" s="298"/>
      <c r="G39" s="22"/>
    </row>
    <row r="40" spans="2:7" s="14" customFormat="1" ht="15">
      <c r="B40" s="300" t="s">
        <v>303</v>
      </c>
      <c r="E40" s="19"/>
      <c r="G40" s="22"/>
    </row>
    <row r="41" spans="2:7" s="14" customFormat="1" ht="15">
      <c r="B41" s="301"/>
      <c r="C41" s="301"/>
      <c r="E41" s="298"/>
      <c r="F41" s="19"/>
      <c r="G41" s="19"/>
    </row>
    <row r="42" spans="2:3" s="14" customFormat="1" ht="15">
      <c r="B42" s="302"/>
      <c r="C42" s="302"/>
    </row>
    <row r="43" spans="2:7" s="14" customFormat="1" ht="15">
      <c r="B43" s="300" t="s">
        <v>148</v>
      </c>
      <c r="E43" s="20"/>
      <c r="F43" s="20"/>
      <c r="G43" s="20"/>
    </row>
    <row r="44" spans="2:4" s="14" customFormat="1" ht="15">
      <c r="B44" s="301"/>
      <c r="C44" s="301"/>
      <c r="D44" s="22"/>
    </row>
    <row r="45" spans="2:7" s="14" customFormat="1" ht="15">
      <c r="B45" s="302"/>
      <c r="C45" s="302"/>
      <c r="D45" s="22"/>
      <c r="E45" s="82"/>
      <c r="F45" s="174"/>
      <c r="G45" s="174"/>
    </row>
    <row r="46" spans="2:8" ht="15">
      <c r="B46" s="302"/>
      <c r="C46" s="302"/>
      <c r="D46" s="22"/>
      <c r="E46" s="22"/>
      <c r="F46" s="14"/>
      <c r="G46" s="14"/>
      <c r="H46" s="101"/>
    </row>
    <row r="47" spans="2:8" ht="15">
      <c r="B47" s="77"/>
      <c r="C47" s="77"/>
      <c r="D47" s="22"/>
      <c r="E47" s="82"/>
      <c r="F47" s="174"/>
      <c r="G47" s="174"/>
      <c r="H47" s="101"/>
    </row>
    <row r="48" spans="2:8" ht="15">
      <c r="B48" s="77"/>
      <c r="C48" s="14"/>
      <c r="D48" s="22"/>
      <c r="E48" s="22"/>
      <c r="F48" s="14"/>
      <c r="G48" s="14"/>
      <c r="H48" s="101"/>
    </row>
    <row r="49" spans="2:8" ht="15">
      <c r="B49" s="599" t="s">
        <v>152</v>
      </c>
      <c r="C49" s="305">
        <f>H1-1</f>
        <v>2011</v>
      </c>
      <c r="D49" s="22"/>
      <c r="E49" s="82"/>
      <c r="F49" s="174"/>
      <c r="G49" s="174"/>
      <c r="H49" s="101"/>
    </row>
    <row r="50" spans="2:8" ht="15">
      <c r="B50" s="14"/>
      <c r="C50" s="14"/>
      <c r="D50" s="14"/>
      <c r="E50" s="14"/>
      <c r="F50" s="22"/>
      <c r="G50" s="14"/>
      <c r="H50" s="101"/>
    </row>
    <row r="51" spans="2:8" ht="15">
      <c r="B51" s="589"/>
      <c r="C51" s="14"/>
      <c r="D51" s="14"/>
      <c r="E51" s="20"/>
      <c r="F51" s="20"/>
      <c r="G51" s="20"/>
      <c r="H51" s="101"/>
    </row>
    <row r="52" spans="2:7" ht="15">
      <c r="B52" s="49" t="s">
        <v>305</v>
      </c>
      <c r="C52" s="14"/>
      <c r="D52" s="14"/>
      <c r="E52" s="624" t="s">
        <v>304</v>
      </c>
      <c r="F52" s="625"/>
      <c r="G52" s="625"/>
    </row>
    <row r="53" spans="2:7" ht="15">
      <c r="B53" s="14"/>
      <c r="C53" s="14"/>
      <c r="D53" s="14"/>
      <c r="E53" s="14"/>
      <c r="F53" s="14"/>
      <c r="G53" s="14"/>
    </row>
    <row r="54" spans="2:7" ht="15">
      <c r="B54" s="14"/>
      <c r="C54" s="14"/>
      <c r="D54" s="14"/>
      <c r="E54" s="14"/>
      <c r="F54" s="14"/>
      <c r="G54" s="14"/>
    </row>
    <row r="55" spans="2:7" ht="15">
      <c r="B55" s="14"/>
      <c r="C55" s="14"/>
      <c r="D55" s="14"/>
      <c r="E55" s="14"/>
      <c r="F55" s="14"/>
      <c r="G55" s="14"/>
    </row>
    <row r="56" spans="2:7" ht="15">
      <c r="B56" s="304" t="s">
        <v>0</v>
      </c>
      <c r="C56" s="303"/>
      <c r="D56" s="303"/>
      <c r="E56" s="303"/>
      <c r="F56" s="428"/>
      <c r="G56" s="14"/>
    </row>
    <row r="57" spans="2:7" ht="15">
      <c r="B57" s="304" t="s">
        <v>1</v>
      </c>
      <c r="C57" s="303"/>
      <c r="D57" s="303"/>
      <c r="E57" s="303"/>
      <c r="F57" s="428"/>
      <c r="G57" s="14"/>
    </row>
    <row r="58" spans="2:7" ht="15">
      <c r="B58" s="304"/>
      <c r="C58" s="303"/>
      <c r="D58" s="303"/>
      <c r="E58" s="303"/>
      <c r="F58" s="428"/>
      <c r="G58" s="14"/>
    </row>
    <row r="59" spans="2:7" ht="15">
      <c r="B59" s="14"/>
      <c r="C59" s="14"/>
      <c r="D59" s="14"/>
      <c r="E59" s="14"/>
      <c r="F59" s="14"/>
      <c r="G59" s="14"/>
    </row>
    <row r="60" spans="2:7" ht="15">
      <c r="B60" s="607"/>
      <c r="C60" s="608"/>
      <c r="D60" s="608"/>
      <c r="E60" s="608"/>
      <c r="F60" s="608"/>
      <c r="G60" s="608"/>
    </row>
    <row r="61" spans="2:7" ht="15">
      <c r="B61" s="607"/>
      <c r="C61" s="608"/>
      <c r="D61" s="608"/>
      <c r="E61" s="608"/>
      <c r="F61" s="608"/>
      <c r="G61" s="608"/>
    </row>
    <row r="62" spans="2:7" ht="15">
      <c r="B62" s="607"/>
      <c r="C62" s="608"/>
      <c r="D62" s="608"/>
      <c r="E62" s="609"/>
      <c r="F62" s="610"/>
      <c r="G62" s="608"/>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
      <c r="A1" s="14"/>
      <c r="B1" s="14"/>
      <c r="C1" s="13" t="str">
        <f>inputPrYr!D2</f>
        <v>Palacky Township</v>
      </c>
      <c r="D1" s="14"/>
      <c r="E1" s="14"/>
      <c r="F1" s="14"/>
      <c r="G1" s="14"/>
      <c r="H1" s="14"/>
      <c r="I1" s="14"/>
      <c r="J1" s="14">
        <f>inputPrYr!D5</f>
        <v>2012</v>
      </c>
    </row>
    <row r="2" spans="1:10" ht="15">
      <c r="A2" s="14"/>
      <c r="B2" s="14"/>
      <c r="C2" s="14"/>
      <c r="D2" s="14"/>
      <c r="E2" s="14"/>
      <c r="F2" s="14"/>
      <c r="G2" s="14"/>
      <c r="H2" s="14"/>
      <c r="I2" s="14"/>
      <c r="J2" s="14"/>
    </row>
    <row r="3" spans="1:10" ht="15">
      <c r="A3" s="644" t="str">
        <f>CONCATENATE("Computation to Determine Limit for ",J1,"")</f>
        <v>Computation to Determine Limit for 2012</v>
      </c>
      <c r="B3" s="626"/>
      <c r="C3" s="626"/>
      <c r="D3" s="626"/>
      <c r="E3" s="626"/>
      <c r="F3" s="626"/>
      <c r="G3" s="626"/>
      <c r="H3" s="626"/>
      <c r="I3" s="626"/>
      <c r="J3" s="626"/>
    </row>
    <row r="4" spans="1:10" ht="15">
      <c r="A4" s="14"/>
      <c r="B4" s="14"/>
      <c r="C4" s="14"/>
      <c r="D4" s="14"/>
      <c r="E4" s="626"/>
      <c r="F4" s="626"/>
      <c r="G4" s="626"/>
      <c r="H4" s="136"/>
      <c r="I4" s="14"/>
      <c r="J4" s="268" t="s">
        <v>82</v>
      </c>
    </row>
    <row r="5" spans="1:10" ht="15">
      <c r="A5" s="269" t="s">
        <v>83</v>
      </c>
      <c r="B5" s="14" t="str">
        <f>CONCATENATE("Total Tax Levy Amount in ",J1-1,"")</f>
        <v>Total Tax Levy Amount in 2011</v>
      </c>
      <c r="C5" s="14"/>
      <c r="D5" s="14"/>
      <c r="E5" s="55"/>
      <c r="F5" s="55"/>
      <c r="G5" s="55"/>
      <c r="H5" s="270" t="s">
        <v>15</v>
      </c>
      <c r="I5" s="55" t="s">
        <v>2</v>
      </c>
      <c r="J5" s="271">
        <f>inputPrYr!E25</f>
        <v>53717</v>
      </c>
    </row>
    <row r="6" spans="1:10" ht="15">
      <c r="A6" s="269" t="s">
        <v>84</v>
      </c>
      <c r="B6" s="14" t="str">
        <f>CONCATENATE("Debt Service Levy in ",J1-1,"")</f>
        <v>Debt Service Levy in 2011</v>
      </c>
      <c r="C6" s="14"/>
      <c r="D6" s="14"/>
      <c r="E6" s="55"/>
      <c r="F6" s="55"/>
      <c r="G6" s="55"/>
      <c r="H6" s="270" t="s">
        <v>85</v>
      </c>
      <c r="I6" s="55" t="s">
        <v>2</v>
      </c>
      <c r="J6" s="272">
        <f>inputPrYr!E17</f>
        <v>0</v>
      </c>
    </row>
    <row r="7" spans="1:10" ht="15">
      <c r="A7" s="269" t="s">
        <v>86</v>
      </c>
      <c r="B7" s="17" t="s">
        <v>110</v>
      </c>
      <c r="C7" s="14"/>
      <c r="D7" s="14"/>
      <c r="E7" s="55"/>
      <c r="F7" s="55"/>
      <c r="G7" s="55"/>
      <c r="H7" s="55"/>
      <c r="I7" s="55" t="s">
        <v>2</v>
      </c>
      <c r="J7" s="273">
        <f>J5-J6</f>
        <v>53717</v>
      </c>
    </row>
    <row r="8" spans="1:10" ht="15">
      <c r="A8" s="14"/>
      <c r="B8" s="14"/>
      <c r="C8" s="14"/>
      <c r="D8" s="14"/>
      <c r="E8" s="55"/>
      <c r="F8" s="55"/>
      <c r="G8" s="55"/>
      <c r="H8" s="55"/>
      <c r="I8" s="55"/>
      <c r="J8" s="55"/>
    </row>
    <row r="9" spans="1:10" ht="15">
      <c r="A9" s="14"/>
      <c r="B9" s="17" t="str">
        <f>CONCATENATE("",J1-1," Valuation Information for Valuation Adjustments:")</f>
        <v>2011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69" t="s">
        <v>87</v>
      </c>
      <c r="B11" s="17" t="str">
        <f>CONCATENATE("New Improvements for ",J1-1,":")</f>
        <v>New Improvements for 2011:</v>
      </c>
      <c r="C11" s="14"/>
      <c r="D11" s="14"/>
      <c r="E11" s="270"/>
      <c r="F11" s="270" t="s">
        <v>15</v>
      </c>
      <c r="G11" s="271">
        <f>inputOth!E8</f>
        <v>0</v>
      </c>
      <c r="H11" s="53"/>
      <c r="I11" s="55"/>
      <c r="J11" s="55"/>
    </row>
    <row r="12" spans="1:10" ht="15">
      <c r="A12" s="269"/>
      <c r="B12" s="269"/>
      <c r="C12" s="14"/>
      <c r="D12" s="14"/>
      <c r="E12" s="270"/>
      <c r="F12" s="270"/>
      <c r="G12" s="53"/>
      <c r="H12" s="53"/>
      <c r="I12" s="55"/>
      <c r="J12" s="55"/>
    </row>
    <row r="13" spans="1:10" ht="15">
      <c r="A13" s="269" t="s">
        <v>88</v>
      </c>
      <c r="B13" s="17" t="str">
        <f>CONCATENATE("Increase in Personal Property for ",J1-1,":")</f>
        <v>Increase in Personal Property for 2011:</v>
      </c>
      <c r="C13" s="14"/>
      <c r="D13" s="14"/>
      <c r="E13" s="270"/>
      <c r="F13" s="270"/>
      <c r="G13" s="53"/>
      <c r="H13" s="53"/>
      <c r="I13" s="55"/>
      <c r="J13" s="55"/>
    </row>
    <row r="14" spans="1:10" ht="15">
      <c r="A14" s="14"/>
      <c r="B14" s="14" t="s">
        <v>89</v>
      </c>
      <c r="C14" s="14" t="str">
        <f>CONCATENATE("Personal Property ",J1-1,"")</f>
        <v>Personal Property 2011</v>
      </c>
      <c r="D14" s="269" t="s">
        <v>15</v>
      </c>
      <c r="E14" s="271">
        <f>inputOth!E9</f>
        <v>29917</v>
      </c>
      <c r="F14" s="270"/>
      <c r="G14" s="55"/>
      <c r="H14" s="55"/>
      <c r="I14" s="53"/>
      <c r="J14" s="55"/>
    </row>
    <row r="15" spans="1:10" ht="15">
      <c r="A15" s="269"/>
      <c r="B15" s="14" t="s">
        <v>90</v>
      </c>
      <c r="C15" s="14" t="str">
        <f>CONCATENATE("Personal Property ",J1-2,"")</f>
        <v>Personal Property 2010</v>
      </c>
      <c r="D15" s="269" t="s">
        <v>85</v>
      </c>
      <c r="E15" s="273">
        <f>inputOth!E11</f>
        <v>23743</v>
      </c>
      <c r="F15" s="270"/>
      <c r="G15" s="53"/>
      <c r="H15" s="53"/>
      <c r="I15" s="55"/>
      <c r="J15" s="55"/>
    </row>
    <row r="16" spans="1:10" ht="15">
      <c r="A16" s="269"/>
      <c r="B16" s="14" t="s">
        <v>91</v>
      </c>
      <c r="C16" s="14" t="s">
        <v>111</v>
      </c>
      <c r="D16" s="14"/>
      <c r="E16" s="55"/>
      <c r="F16" s="55" t="s">
        <v>15</v>
      </c>
      <c r="G16" s="271">
        <f>IF(E14&gt;E15,E14-E15,0)</f>
        <v>6174</v>
      </c>
      <c r="H16" s="53"/>
      <c r="I16" s="55"/>
      <c r="J16" s="55"/>
    </row>
    <row r="17" spans="1:10" ht="15">
      <c r="A17" s="269"/>
      <c r="B17" s="269"/>
      <c r="C17" s="14"/>
      <c r="D17" s="14"/>
      <c r="E17" s="55"/>
      <c r="F17" s="55"/>
      <c r="G17" s="53" t="s">
        <v>99</v>
      </c>
      <c r="H17" s="53"/>
      <c r="I17" s="55"/>
      <c r="J17" s="55"/>
    </row>
    <row r="18" spans="1:10" ht="15">
      <c r="A18" s="269" t="s">
        <v>92</v>
      </c>
      <c r="B18" s="17" t="str">
        <f>CONCATENATE("Valuation of Property that Changed in Use during ",J1-1,":")</f>
        <v>Valuation of Property that Changed in Use during 2011:</v>
      </c>
      <c r="C18" s="14"/>
      <c r="D18" s="14"/>
      <c r="E18" s="55"/>
      <c r="F18" s="270" t="s">
        <v>15</v>
      </c>
      <c r="G18" s="271">
        <f>inputOth!E10</f>
        <v>967</v>
      </c>
      <c r="H18" s="55"/>
      <c r="I18" s="55"/>
      <c r="J18" s="55"/>
    </row>
    <row r="19" spans="1:10" ht="15">
      <c r="A19" s="14" t="s">
        <v>289</v>
      </c>
      <c r="B19" s="14"/>
      <c r="C19" s="14"/>
      <c r="D19" s="269"/>
      <c r="E19" s="53"/>
      <c r="F19" s="53"/>
      <c r="G19" s="53"/>
      <c r="H19" s="55"/>
      <c r="I19" s="55"/>
      <c r="J19" s="55"/>
    </row>
    <row r="20" spans="1:10" ht="15">
      <c r="A20" s="269" t="s">
        <v>93</v>
      </c>
      <c r="B20" s="17" t="s">
        <v>112</v>
      </c>
      <c r="C20" s="14"/>
      <c r="D20" s="14"/>
      <c r="E20" s="55"/>
      <c r="F20" s="55"/>
      <c r="G20" s="271">
        <f>G11+G16+G18</f>
        <v>7141</v>
      </c>
      <c r="H20" s="53"/>
      <c r="I20" s="55"/>
      <c r="J20" s="55"/>
    </row>
    <row r="21" spans="1:10" ht="15">
      <c r="A21" s="269"/>
      <c r="B21" s="269"/>
      <c r="C21" s="17"/>
      <c r="D21" s="14"/>
      <c r="E21" s="55"/>
      <c r="F21" s="55"/>
      <c r="G21" s="53"/>
      <c r="H21" s="53"/>
      <c r="I21" s="55"/>
      <c r="J21" s="55"/>
    </row>
    <row r="22" spans="1:10" ht="15">
      <c r="A22" s="269" t="s">
        <v>94</v>
      </c>
      <c r="B22" s="14" t="str">
        <f>CONCATENATE("Total Estimated Valuation July 1,",J1-1,"")</f>
        <v>Total Estimated Valuation July 1,2011</v>
      </c>
      <c r="C22" s="14"/>
      <c r="D22" s="14"/>
      <c r="E22" s="271">
        <f>inputOth!E7</f>
        <v>2491545</v>
      </c>
      <c r="F22" s="55"/>
      <c r="G22" s="55"/>
      <c r="H22" s="55"/>
      <c r="I22" s="270"/>
      <c r="J22" s="55"/>
    </row>
    <row r="23" spans="1:10" ht="15">
      <c r="A23" s="269"/>
      <c r="B23" s="269"/>
      <c r="C23" s="14"/>
      <c r="D23" s="14"/>
      <c r="E23" s="53"/>
      <c r="F23" s="55"/>
      <c r="G23" s="55"/>
      <c r="H23" s="55"/>
      <c r="I23" s="270"/>
      <c r="J23" s="55"/>
    </row>
    <row r="24" spans="1:10" ht="15">
      <c r="A24" s="269" t="s">
        <v>95</v>
      </c>
      <c r="B24" s="17" t="s">
        <v>113</v>
      </c>
      <c r="C24" s="14"/>
      <c r="D24" s="14"/>
      <c r="E24" s="55"/>
      <c r="F24" s="55"/>
      <c r="G24" s="271">
        <f>E22-G20</f>
        <v>2484404</v>
      </c>
      <c r="H24" s="53"/>
      <c r="I24" s="270"/>
      <c r="J24" s="55"/>
    </row>
    <row r="25" spans="1:10" ht="15">
      <c r="A25" s="269"/>
      <c r="B25" s="269"/>
      <c r="C25" s="17"/>
      <c r="D25" s="14"/>
      <c r="E25" s="14"/>
      <c r="F25" s="14"/>
      <c r="G25" s="274"/>
      <c r="H25" s="19"/>
      <c r="I25" s="269"/>
      <c r="J25" s="14"/>
    </row>
    <row r="26" spans="1:10" ht="15">
      <c r="A26" s="269" t="s">
        <v>96</v>
      </c>
      <c r="B26" s="14" t="s">
        <v>114</v>
      </c>
      <c r="C26" s="14"/>
      <c r="D26" s="14"/>
      <c r="E26" s="14"/>
      <c r="F26" s="14"/>
      <c r="G26" s="275">
        <f>IF(G20&gt;0,G20/G24,0)</f>
        <v>0.002874331227932333</v>
      </c>
      <c r="H26" s="19"/>
      <c r="I26" s="14"/>
      <c r="J26" s="14"/>
    </row>
    <row r="27" spans="1:10" ht="15">
      <c r="A27" s="269"/>
      <c r="B27" s="269"/>
      <c r="C27" s="14"/>
      <c r="D27" s="14"/>
      <c r="E27" s="14"/>
      <c r="F27" s="14"/>
      <c r="G27" s="19"/>
      <c r="H27" s="19"/>
      <c r="I27" s="14"/>
      <c r="J27" s="14"/>
    </row>
    <row r="28" spans="1:10" ht="15">
      <c r="A28" s="269" t="s">
        <v>97</v>
      </c>
      <c r="B28" s="14" t="s">
        <v>115</v>
      </c>
      <c r="C28" s="14"/>
      <c r="D28" s="14"/>
      <c r="E28" s="14"/>
      <c r="F28" s="14"/>
      <c r="G28" s="19"/>
      <c r="H28" s="276" t="s">
        <v>15</v>
      </c>
      <c r="I28" s="14" t="s">
        <v>2</v>
      </c>
      <c r="J28" s="271">
        <f>ROUND(G26*J7,0)</f>
        <v>154</v>
      </c>
    </row>
    <row r="29" spans="1:10" ht="15">
      <c r="A29" s="269"/>
      <c r="B29" s="269"/>
      <c r="C29" s="14"/>
      <c r="D29" s="14"/>
      <c r="E29" s="14"/>
      <c r="F29" s="14"/>
      <c r="G29" s="19"/>
      <c r="H29" s="276"/>
      <c r="I29" s="14"/>
      <c r="J29" s="53"/>
    </row>
    <row r="30" spans="1:10" ht="15.75" thickBot="1">
      <c r="A30" s="269" t="s">
        <v>98</v>
      </c>
      <c r="B30" s="17" t="s">
        <v>119</v>
      </c>
      <c r="C30" s="14"/>
      <c r="D30" s="14"/>
      <c r="E30" s="14"/>
      <c r="F30" s="14"/>
      <c r="G30" s="14"/>
      <c r="H30" s="14"/>
      <c r="I30" s="14" t="s">
        <v>2</v>
      </c>
      <c r="J30" s="277">
        <f>J7+J28</f>
        <v>53871</v>
      </c>
    </row>
    <row r="31" spans="1:10" ht="15.75" thickTop="1">
      <c r="A31" s="14"/>
      <c r="B31" s="14"/>
      <c r="C31" s="14"/>
      <c r="D31" s="14"/>
      <c r="E31" s="14"/>
      <c r="F31" s="14"/>
      <c r="G31" s="14"/>
      <c r="H31" s="14"/>
      <c r="I31" s="14"/>
      <c r="J31" s="14"/>
    </row>
    <row r="32" spans="1:10" ht="15">
      <c r="A32" s="269" t="s">
        <v>117</v>
      </c>
      <c r="B32" s="17" t="str">
        <f>CONCATENATE("Debt Service Levy in this ",J1,"")</f>
        <v>Debt Service Levy in this 2012</v>
      </c>
      <c r="C32" s="14"/>
      <c r="D32" s="14"/>
      <c r="E32" s="14"/>
      <c r="F32" s="14"/>
      <c r="G32" s="14"/>
      <c r="H32" s="14"/>
      <c r="I32" s="14"/>
      <c r="J32" s="271">
        <f>DebtService!E60</f>
        <v>0</v>
      </c>
    </row>
    <row r="33" spans="1:10" ht="15">
      <c r="A33" s="269"/>
      <c r="B33" s="17"/>
      <c r="C33" s="14"/>
      <c r="D33" s="14"/>
      <c r="E33" s="14"/>
      <c r="F33" s="14"/>
      <c r="G33" s="14"/>
      <c r="H33" s="14"/>
      <c r="I33" s="14"/>
      <c r="J33" s="19"/>
    </row>
    <row r="34" spans="1:10" ht="15.75" thickBot="1">
      <c r="A34" s="269" t="s">
        <v>118</v>
      </c>
      <c r="B34" s="17" t="s">
        <v>120</v>
      </c>
      <c r="C34" s="14"/>
      <c r="D34" s="14"/>
      <c r="E34" s="14"/>
      <c r="F34" s="14"/>
      <c r="G34" s="14"/>
      <c r="H34" s="14"/>
      <c r="I34" s="14"/>
      <c r="J34" s="277">
        <f>J30+J32</f>
        <v>53871</v>
      </c>
    </row>
    <row r="35" spans="1:10" ht="15.75" thickTop="1">
      <c r="A35" s="14"/>
      <c r="B35" s="14"/>
      <c r="C35" s="14"/>
      <c r="D35" s="14"/>
      <c r="E35" s="14"/>
      <c r="F35" s="14"/>
      <c r="G35" s="14"/>
      <c r="H35" s="14"/>
      <c r="I35" s="14"/>
      <c r="J35" s="14"/>
    </row>
    <row r="36" spans="1:10" s="278" customFormat="1" ht="18">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
      <c r="A37" s="643" t="s">
        <v>116</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
      <c r="B1" s="13" t="str">
        <f>inputPrYr!D2</f>
        <v>Palacky Township</v>
      </c>
      <c r="C1" s="14"/>
      <c r="D1" s="14"/>
      <c r="E1" s="14"/>
      <c r="F1" s="14"/>
      <c r="G1" s="14"/>
      <c r="H1" s="14"/>
      <c r="I1" s="14"/>
      <c r="J1" s="15">
        <f>inputPrYr!D5</f>
        <v>2012</v>
      </c>
      <c r="K1" s="15"/>
      <c r="L1" s="101"/>
    </row>
    <row r="2" spans="2:12" ht="15">
      <c r="B2" s="13"/>
      <c r="C2" s="14"/>
      <c r="D2" s="14"/>
      <c r="E2" s="14"/>
      <c r="F2" s="14"/>
      <c r="G2" s="14"/>
      <c r="H2" s="14"/>
      <c r="I2" s="14"/>
      <c r="J2" s="52"/>
      <c r="K2" s="52"/>
      <c r="L2" s="101"/>
    </row>
    <row r="3" spans="2:12" ht="15">
      <c r="B3" s="13"/>
      <c r="C3" s="14"/>
      <c r="D3" s="14"/>
      <c r="E3" s="14"/>
      <c r="F3" s="14"/>
      <c r="G3" s="14"/>
      <c r="H3" s="14"/>
      <c r="I3" s="14"/>
      <c r="J3" s="52"/>
      <c r="K3" s="52"/>
      <c r="L3" s="101"/>
    </row>
    <row r="4" spans="2:12" ht="15">
      <c r="B4" s="13"/>
      <c r="C4" s="14"/>
      <c r="D4" s="14"/>
      <c r="E4" s="14"/>
      <c r="F4" s="14"/>
      <c r="G4" s="14"/>
      <c r="H4" s="14"/>
      <c r="I4" s="14"/>
      <c r="J4" s="52"/>
      <c r="K4" s="52"/>
      <c r="L4" s="101"/>
    </row>
    <row r="5" spans="2:12" ht="15">
      <c r="B5" s="14"/>
      <c r="C5" s="14"/>
      <c r="D5" s="14"/>
      <c r="E5" s="14"/>
      <c r="F5" s="14"/>
      <c r="G5" s="14"/>
      <c r="H5" s="14"/>
      <c r="I5" s="14"/>
      <c r="J5" s="14"/>
      <c r="K5" s="14"/>
      <c r="L5" s="101"/>
    </row>
    <row r="6" spans="2:12" ht="15">
      <c r="B6" s="649" t="s">
        <v>238</v>
      </c>
      <c r="C6" s="625"/>
      <c r="D6" s="625"/>
      <c r="E6" s="625"/>
      <c r="F6" s="625"/>
      <c r="G6" s="625"/>
      <c r="H6" s="625"/>
      <c r="I6" s="625"/>
      <c r="J6" s="625"/>
      <c r="K6" s="625"/>
      <c r="L6" s="625"/>
    </row>
    <row r="7" spans="2:12" ht="15">
      <c r="B7" s="247"/>
      <c r="C7" s="12"/>
      <c r="D7" s="151"/>
      <c r="E7" s="151"/>
      <c r="F7" s="151"/>
      <c r="G7" s="151"/>
      <c r="H7" s="151"/>
      <c r="I7" s="151"/>
      <c r="J7" s="151"/>
      <c r="K7" s="151"/>
      <c r="L7" s="151"/>
    </row>
    <row r="8" spans="2:12" ht="1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
      <c r="B10" s="251" t="str">
        <f>CONCATENATE("",J1-1," Budgeted Funds")</f>
        <v>2011 Budgeted Funds</v>
      </c>
      <c r="C10" s="190"/>
      <c r="D10" s="646"/>
      <c r="E10" s="646"/>
      <c r="F10" s="25"/>
      <c r="G10" s="26" t="s">
        <v>80</v>
      </c>
      <c r="H10" s="26"/>
      <c r="I10" s="26" t="s">
        <v>81</v>
      </c>
      <c r="J10" s="167" t="s">
        <v>124</v>
      </c>
      <c r="K10" s="167" t="s">
        <v>166</v>
      </c>
      <c r="L10" s="111"/>
    </row>
    <row r="11" spans="2:12" ht="1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
      <c r="B13" s="96" t="str">
        <f>IF(inputPrYr!$B18&gt;"  ",inputPrYr!$B18,"  ")</f>
        <v>Road</v>
      </c>
      <c r="C13" s="252"/>
      <c r="D13" s="96">
        <f>IF(inputPrYr!E18&gt;=0,inputPrYr!E18,"  ")</f>
        <v>53717</v>
      </c>
      <c r="E13" s="253">
        <f>IF(inputOth!D19&gt;0,inputOth!D19,"  ")</f>
        <v>20.451</v>
      </c>
      <c r="F13" s="254"/>
      <c r="G13" s="96">
        <f>IF(inputPrYr!E18=0,0,ROUND(D13*$G$30,0))</f>
        <v>2259</v>
      </c>
      <c r="H13" s="255"/>
      <c r="I13" s="96">
        <f>IF(inputPrYr!$E$18=0,0,ROUND($D$13*$I$32,0))</f>
        <v>16</v>
      </c>
      <c r="J13" s="96">
        <f>IF(inputPrYr!E18=0,0,ROUND($D13*$J$34,0))</f>
        <v>377</v>
      </c>
      <c r="K13" s="96">
        <f>IF(inputPrYr!E18=0,0,ROUND($D13*$K$36,0))</f>
        <v>0</v>
      </c>
      <c r="L13" s="256" t="e">
        <f>IF(inputOth!D19&gt;0,ROUND(E13*#REF!*-1,0),"")</f>
        <v>#REF!</v>
      </c>
    </row>
    <row r="14" spans="2:12" ht="1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5.75" thickBot="1">
      <c r="B20" s="83" t="s">
        <v>287</v>
      </c>
      <c r="C20" s="257"/>
      <c r="D20" s="258">
        <f>SUM(D11:D19)</f>
        <v>53717</v>
      </c>
      <c r="E20" s="259">
        <f>SUM(E11:E19)</f>
        <v>20.451</v>
      </c>
      <c r="F20" s="260"/>
      <c r="G20" s="258">
        <f>SUM(G11:G19)</f>
        <v>2259</v>
      </c>
      <c r="H20" s="258"/>
      <c r="I20" s="258">
        <f>SUM(I11:I19)</f>
        <v>16</v>
      </c>
      <c r="J20" s="258">
        <f>SUM(J11:J19)</f>
        <v>377</v>
      </c>
      <c r="K20" s="258">
        <f>SUM(K11:K19)</f>
        <v>0</v>
      </c>
      <c r="L20" s="261" t="e">
        <f>SUM(L11:L19)</f>
        <v>#REF!</v>
      </c>
    </row>
    <row r="21" spans="2:12" ht="15.75" thickTop="1">
      <c r="B21" s="14"/>
      <c r="C21" s="14"/>
      <c r="D21" s="14"/>
      <c r="E21" s="14"/>
      <c r="F21" s="14"/>
      <c r="G21" s="14"/>
      <c r="H21" s="14"/>
      <c r="I21" s="14"/>
      <c r="J21" s="14"/>
      <c r="K21" s="14"/>
      <c r="L21" s="101"/>
    </row>
    <row r="22" spans="2:12" ht="15">
      <c r="B22" s="22" t="s">
        <v>5</v>
      </c>
      <c r="C22" s="62"/>
      <c r="D22" s="14"/>
      <c r="E22" s="14"/>
      <c r="F22" s="14"/>
      <c r="G22" s="90">
        <f>inputOth!E31</f>
        <v>2259</v>
      </c>
      <c r="H22" s="14"/>
      <c r="I22" s="14"/>
      <c r="J22" s="14"/>
      <c r="K22" s="14"/>
      <c r="L22" s="101"/>
    </row>
    <row r="23" spans="2:12" ht="15">
      <c r="B23" s="14"/>
      <c r="C23" s="14"/>
      <c r="D23" s="14"/>
      <c r="E23" s="14"/>
      <c r="F23" s="14"/>
      <c r="G23" s="14"/>
      <c r="H23" s="14"/>
      <c r="I23" s="14"/>
      <c r="J23" s="14"/>
      <c r="K23" s="14"/>
      <c r="L23" s="101"/>
    </row>
    <row r="24" spans="2:12" ht="15">
      <c r="B24" s="22" t="s">
        <v>6</v>
      </c>
      <c r="C24" s="14"/>
      <c r="D24" s="14"/>
      <c r="E24" s="14"/>
      <c r="F24" s="14"/>
      <c r="G24" s="14"/>
      <c r="H24" s="90">
        <f>inputPrYr!E73</f>
        <v>0</v>
      </c>
      <c r="I24" s="90">
        <f>inputOth!E32</f>
        <v>16</v>
      </c>
      <c r="J24" s="14"/>
      <c r="K24" s="14"/>
      <c r="L24" s="101"/>
    </row>
    <row r="25" spans="2:12" ht="15">
      <c r="B25" s="14"/>
      <c r="C25" s="14"/>
      <c r="D25" s="14"/>
      <c r="E25" s="14"/>
      <c r="F25" s="14"/>
      <c r="G25" s="14"/>
      <c r="H25" s="14"/>
      <c r="I25" s="14"/>
      <c r="J25" s="14"/>
      <c r="K25" s="14"/>
      <c r="L25" s="101"/>
    </row>
    <row r="26" spans="2:12" ht="15">
      <c r="B26" s="22" t="s">
        <v>77</v>
      </c>
      <c r="C26" s="14"/>
      <c r="D26" s="14"/>
      <c r="E26" s="14"/>
      <c r="F26" s="14"/>
      <c r="G26" s="14"/>
      <c r="H26" s="14"/>
      <c r="I26" s="14"/>
      <c r="J26" s="90">
        <f>inputOth!E33</f>
        <v>377</v>
      </c>
      <c r="K26" s="24"/>
      <c r="L26" s="101"/>
    </row>
    <row r="27" spans="2:12" ht="15">
      <c r="B27" s="14"/>
      <c r="C27" s="14"/>
      <c r="D27" s="14"/>
      <c r="E27" s="14"/>
      <c r="F27" s="14"/>
      <c r="G27" s="14"/>
      <c r="H27" s="14"/>
      <c r="I27" s="14"/>
      <c r="J27" s="14"/>
      <c r="K27" s="14"/>
      <c r="L27" s="101"/>
    </row>
    <row r="28" spans="2:12" ht="15">
      <c r="B28" s="14" t="s">
        <v>212</v>
      </c>
      <c r="C28" s="14"/>
      <c r="D28" s="14"/>
      <c r="E28" s="14"/>
      <c r="F28" s="14"/>
      <c r="G28" s="14"/>
      <c r="H28" s="14"/>
      <c r="I28" s="14"/>
      <c r="J28" s="14"/>
      <c r="K28" s="90">
        <f>inputOth!E35</f>
        <v>0</v>
      </c>
      <c r="L28" s="101"/>
    </row>
    <row r="29" spans="2:12" ht="15">
      <c r="B29" s="14"/>
      <c r="C29" s="14"/>
      <c r="D29" s="14"/>
      <c r="E29" s="14"/>
      <c r="F29" s="14"/>
      <c r="G29" s="14"/>
      <c r="H29" s="14"/>
      <c r="I29" s="14"/>
      <c r="J29" s="14"/>
      <c r="K29" s="24"/>
      <c r="L29" s="101"/>
    </row>
    <row r="30" spans="2:12" ht="15">
      <c r="B30" s="22" t="s">
        <v>7</v>
      </c>
      <c r="C30" s="14"/>
      <c r="D30" s="14"/>
      <c r="E30" s="14"/>
      <c r="F30" s="14"/>
      <c r="G30" s="262">
        <f>IF(D20=0,0,G22/D20)</f>
        <v>0.042053726008526165</v>
      </c>
      <c r="H30" s="14"/>
      <c r="I30" s="14"/>
      <c r="J30" s="14"/>
      <c r="K30" s="14"/>
      <c r="L30" s="101"/>
    </row>
    <row r="31" spans="2:12" ht="15">
      <c r="B31" s="14"/>
      <c r="C31" s="263"/>
      <c r="D31" s="14"/>
      <c r="E31" s="14"/>
      <c r="F31" s="14"/>
      <c r="G31" s="14"/>
      <c r="H31" s="14"/>
      <c r="I31" s="14"/>
      <c r="J31" s="14"/>
      <c r="K31" s="14"/>
      <c r="L31" s="101"/>
    </row>
    <row r="32" spans="2:12" ht="15">
      <c r="B32" s="22" t="s">
        <v>8</v>
      </c>
      <c r="C32" s="14"/>
      <c r="D32" s="14"/>
      <c r="E32" s="14"/>
      <c r="F32" s="14"/>
      <c r="G32" s="14"/>
      <c r="H32" s="264">
        <f>IF(D20=0,0,H24/D20)</f>
        <v>0</v>
      </c>
      <c r="I32" s="265">
        <f>IF(D20=0,0,I24/D20)</f>
        <v>0.0002978572891263473</v>
      </c>
      <c r="J32" s="14"/>
      <c r="K32" s="14"/>
      <c r="L32" s="101"/>
    </row>
    <row r="33" spans="2:12" ht="15">
      <c r="B33" s="14"/>
      <c r="C33" s="14"/>
      <c r="D33" s="14"/>
      <c r="E33" s="14"/>
      <c r="F33" s="14"/>
      <c r="G33" s="14"/>
      <c r="H33" s="14"/>
      <c r="I33" s="14"/>
      <c r="J33" s="14"/>
      <c r="K33" s="14"/>
      <c r="L33" s="101"/>
    </row>
    <row r="34" spans="2:12" ht="15">
      <c r="B34" s="22" t="s">
        <v>79</v>
      </c>
      <c r="C34" s="14"/>
      <c r="D34" s="14"/>
      <c r="E34" s="14"/>
      <c r="F34" s="14"/>
      <c r="G34" s="14"/>
      <c r="H34" s="14"/>
      <c r="I34" s="14"/>
      <c r="J34" s="262">
        <f>IF(D20=0,0,J26/D20)</f>
        <v>0.007018262375039559</v>
      </c>
      <c r="K34" s="266"/>
      <c r="L34" s="101"/>
    </row>
    <row r="35" spans="2:12" ht="15">
      <c r="B35" s="101"/>
      <c r="C35" s="101"/>
      <c r="D35" s="101"/>
      <c r="E35" s="101"/>
      <c r="F35" s="101"/>
      <c r="G35" s="101"/>
      <c r="H35" s="101"/>
      <c r="I35" s="101"/>
      <c r="J35" s="101"/>
      <c r="K35" s="101"/>
      <c r="L35" s="101"/>
    </row>
    <row r="36" spans="2:12" ht="15">
      <c r="B36" s="101" t="s">
        <v>213</v>
      </c>
      <c r="C36" s="101"/>
      <c r="D36" s="101"/>
      <c r="E36" s="101"/>
      <c r="F36" s="101"/>
      <c r="G36" s="101"/>
      <c r="H36" s="101"/>
      <c r="I36" s="101"/>
      <c r="J36" s="101"/>
      <c r="K36" s="262">
        <f>IF(D20=0,0,K28/D20)</f>
        <v>0</v>
      </c>
      <c r="L36" s="101"/>
    </row>
    <row r="37" spans="2:12" ht="15">
      <c r="B37" s="101"/>
      <c r="C37" s="101"/>
      <c r="D37" s="101"/>
      <c r="E37" s="101"/>
      <c r="F37" s="101"/>
      <c r="G37" s="101"/>
      <c r="H37" s="101"/>
      <c r="I37" s="101"/>
      <c r="J37" s="101"/>
      <c r="K37" s="101"/>
      <c r="L37" s="101"/>
    </row>
    <row r="41" spans="2:9" ht="1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7">
      <selection activeCell="C15" sqref="C15"/>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2012</v>
      </c>
    </row>
    <row r="2" spans="1:6" ht="15">
      <c r="A2" s="99" t="str">
        <f>inputPrYr!D2</f>
        <v>Palacky Township</v>
      </c>
      <c r="B2" s="99"/>
      <c r="C2" s="14"/>
      <c r="D2" s="14"/>
      <c r="E2" s="52"/>
      <c r="F2" s="14"/>
    </row>
    <row r="3" spans="1:6" ht="15">
      <c r="A3" s="13"/>
      <c r="B3" s="99"/>
      <c r="C3" s="14"/>
      <c r="D3" s="14"/>
      <c r="E3" s="52"/>
      <c r="F3" s="14"/>
    </row>
    <row r="4" spans="1:6" ht="1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t="s">
        <v>299</v>
      </c>
      <c r="B14" s="241" t="s">
        <v>816</v>
      </c>
      <c r="C14" s="242">
        <v>5738</v>
      </c>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
      <c r="A27" s="140"/>
      <c r="B27" s="244" t="s">
        <v>287</v>
      </c>
      <c r="C27" s="245">
        <f>SUM(C10:C26)</f>
        <v>5738</v>
      </c>
      <c r="D27" s="245">
        <f>SUM(D10:D26)</f>
        <v>0</v>
      </c>
      <c r="E27" s="245">
        <f>SUM(E10:E26)</f>
        <v>0</v>
      </c>
      <c r="F27" s="140"/>
    </row>
    <row r="28" spans="1:6" ht="15">
      <c r="A28" s="140"/>
      <c r="B28" s="244" t="s">
        <v>632</v>
      </c>
      <c r="C28" s="140"/>
      <c r="D28" s="241"/>
      <c r="E28" s="241"/>
      <c r="F28" s="140"/>
    </row>
    <row r="29" spans="1:6" ht="15">
      <c r="A29" s="140"/>
      <c r="B29" s="192" t="s">
        <v>183</v>
      </c>
      <c r="C29" s="246">
        <f>C27</f>
        <v>5738</v>
      </c>
      <c r="D29" s="246">
        <f>SUM(D27-D28)</f>
        <v>0</v>
      </c>
      <c r="E29" s="246">
        <f>SUM(E27-E28)</f>
        <v>0</v>
      </c>
      <c r="F29" s="140"/>
    </row>
    <row r="30" spans="1:6" ht="15">
      <c r="A30" s="140"/>
      <c r="B30" s="14"/>
      <c r="C30" s="14"/>
      <c r="D30" s="14"/>
      <c r="E30" s="14"/>
      <c r="F30" s="140"/>
    </row>
    <row r="31" spans="1:6" ht="15">
      <c r="A31" s="140"/>
      <c r="B31" s="14"/>
      <c r="C31" s="14"/>
      <c r="D31" s="14"/>
      <c r="E31" s="14"/>
      <c r="F31" s="140"/>
    </row>
    <row r="32" spans="1:6" ht="1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7.25">
      <c r="A1" s="229" t="s">
        <v>329</v>
      </c>
    </row>
    <row r="2" ht="15">
      <c r="A2" s="91"/>
    </row>
    <row r="3" ht="51" customHeight="1">
      <c r="A3" s="433" t="s">
        <v>740</v>
      </c>
    </row>
    <row r="4" ht="17.25" customHeight="1">
      <c r="A4" s="433"/>
    </row>
    <row r="5" ht="15">
      <c r="A5" s="91"/>
    </row>
    <row r="6" ht="52.5" customHeight="1">
      <c r="A6" s="176" t="s">
        <v>371</v>
      </c>
    </row>
    <row r="7" ht="15">
      <c r="A7" s="91"/>
    </row>
    <row r="8" ht="15">
      <c r="A8" s="91"/>
    </row>
    <row r="9" ht="70.5" customHeight="1">
      <c r="A9" s="176" t="s">
        <v>372</v>
      </c>
    </row>
    <row r="10" ht="15">
      <c r="A10" s="177"/>
    </row>
    <row r="11" ht="15">
      <c r="A11" s="177"/>
    </row>
    <row r="12" ht="62.25">
      <c r="A12" s="532" t="s">
        <v>741</v>
      </c>
    </row>
    <row r="13" ht="15">
      <c r="A13" s="177"/>
    </row>
    <row r="14" ht="15">
      <c r="A14" s="177"/>
    </row>
    <row r="15" ht="62.25">
      <c r="A15" s="532" t="s">
        <v>742</v>
      </c>
    </row>
    <row r="16" ht="15">
      <c r="A16" s="177"/>
    </row>
    <row r="17" ht="15">
      <c r="A17" s="91"/>
    </row>
    <row r="18" ht="56.25" customHeight="1">
      <c r="A18" s="176" t="s">
        <v>373</v>
      </c>
    </row>
    <row r="19" ht="15">
      <c r="A19" s="177"/>
    </row>
    <row r="20" ht="15">
      <c r="A20" s="177"/>
    </row>
    <row r="21" ht="87.75" customHeight="1">
      <c r="A21" s="176" t="s">
        <v>374</v>
      </c>
    </row>
    <row r="22" ht="15">
      <c r="A22" s="177"/>
    </row>
    <row r="23" ht="15">
      <c r="A23" s="91"/>
    </row>
    <row r="24" ht="54.75" customHeight="1">
      <c r="A24" s="176" t="s">
        <v>375</v>
      </c>
    </row>
    <row r="25" ht="15">
      <c r="A25" s="91"/>
    </row>
    <row r="26" ht="15">
      <c r="A26" s="91"/>
    </row>
    <row r="27" ht="69" customHeight="1">
      <c r="A27" s="176" t="s">
        <v>376</v>
      </c>
    </row>
    <row r="28" ht="15">
      <c r="A28" s="91"/>
    </row>
    <row r="29" ht="15">
      <c r="A29" s="226"/>
    </row>
    <row r="30" ht="47.25" customHeight="1">
      <c r="A30" s="227" t="s">
        <v>377</v>
      </c>
    </row>
    <row r="31" ht="15">
      <c r="A31" s="228"/>
    </row>
    <row r="32" ht="1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2011-07-06T18:10:48Z</cp:lastPrinted>
  <dcterms:created xsi:type="dcterms:W3CDTF">1998-08-26T16:30:41Z</dcterms:created>
  <dcterms:modified xsi:type="dcterms:W3CDTF">2011-07-08T16:15:43Z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