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activeTab="4"/>
  </bookViews>
  <sheets>
    <sheet name="instructions" sheetId="1" r:id="rId1"/>
    <sheet name="inputPrYr" sheetId="2" r:id="rId2"/>
    <sheet name="inputOth" sheetId="3" r:id="rId3"/>
    <sheet name="inputBudSum" sheetId="4" r:id="rId4"/>
    <sheet name="signed cert"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Publication"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'DebtService'!$B$1:$E$62</definedName>
    <definedName name="_xlnm.Print_Area" localSheetId="11">'gen'!$B$1:$E$61</definedName>
    <definedName name="_xlnm.Print_Area" localSheetId="1">'inputPrYr'!$A$1:$E$83</definedName>
    <definedName name="_xlnm.Print_Area" localSheetId="13">'road'!$B$1:$F$68</definedName>
    <definedName name="_xlnm.Print_Area" localSheetId="21">'summ'!$B$1:$I$47</definedName>
  </definedNames>
  <calcPr fullCalcOnLoad="1"/>
</workbook>
</file>

<file path=xl/sharedStrings.xml><?xml version="1.0" encoding="utf-8"?>
<sst xmlns="http://schemas.openxmlformats.org/spreadsheetml/2006/main" count="1375" uniqueCount="824">
  <si>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</si>
  <si>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</si>
  <si>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</si>
  <si>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</si>
  <si>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</si>
  <si>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</si>
  <si>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</si>
  <si>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</si>
  <si>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</si>
  <si>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</si>
  <si>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</si>
  <si>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</si>
  <si>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</si>
  <si>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</si>
  <si>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</si>
  <si>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</si>
  <si>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</si>
  <si>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</si>
  <si>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</si>
  <si>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</si>
  <si>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</si>
  <si>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</si>
  <si>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</si>
  <si>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</si>
  <si>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</si>
  <si>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</si>
  <si>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</si>
  <si>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</si>
  <si>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</si>
  <si>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</si>
  <si>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</si>
  <si>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</si>
  <si>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</si>
  <si>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</si>
  <si>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</si>
  <si>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</si>
  <si>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</si>
  <si>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</si>
  <si>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</si>
  <si>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</si>
  <si>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</si>
  <si>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</si>
  <si>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</si>
  <si>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</si>
  <si>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</si>
  <si>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</si>
  <si>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</si>
  <si>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</si>
  <si>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</si>
  <si>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</si>
  <si>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</si>
  <si>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</si>
  <si>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</si>
  <si>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</si>
  <si>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</si>
  <si>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</si>
  <si>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</si>
  <si>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</si>
  <si>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</si>
  <si>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</si>
  <si>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</si>
  <si>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</si>
  <si>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</si>
  <si>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</si>
  <si>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</si>
  <si>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</si>
  <si>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</si>
  <si>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</si>
  <si>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</si>
  <si>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</si>
  <si>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</si>
  <si>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</si>
  <si>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</si>
  <si>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</si>
  <si>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</si>
  <si>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</si>
  <si>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</si>
  <si>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</si>
  <si>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</si>
  <si>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</si>
  <si>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</si>
  <si>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</si>
  <si>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</si>
  <si>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</si>
  <si>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</si>
  <si>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</si>
  <si>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</si>
  <si>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</si>
  <si>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</si>
  <si>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</si>
  <si>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</si>
  <si>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</si>
  <si>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</si>
  <si>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</si>
  <si>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</si>
  <si>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</si>
  <si>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</si>
  <si>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</si>
  <si>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</si>
  <si>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</si>
  <si>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</si>
  <si>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</si>
  <si>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</si>
  <si>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</si>
  <si>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</si>
  <si>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</si>
  <si>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</si>
  <si>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</si>
  <si>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</si>
  <si>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</si>
  <si>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</si>
  <si>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</si>
  <si>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</si>
  <si>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</si>
  <si>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</si>
  <si>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</si>
  <si>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</si>
  <si>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</si>
  <si>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</si>
  <si>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</si>
  <si>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</si>
  <si>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</si>
  <si>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</si>
  <si>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</si>
  <si>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</si>
  <si>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</si>
  <si>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</si>
  <si>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</si>
  <si>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</si>
  <si>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</si>
  <si>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</si>
  <si>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</si>
  <si>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</si>
  <si>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</si>
  <si>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</si>
  <si>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</si>
  <si>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</si>
  <si>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</si>
  <si>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</si>
  <si>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</si>
  <si>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</si>
  <si>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</si>
  <si>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</si>
  <si>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</si>
  <si>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</si>
  <si>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</si>
  <si>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</si>
  <si>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</si>
  <si>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</si>
  <si>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</si>
  <si>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</si>
  <si>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</si>
  <si>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</si>
  <si>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</si>
  <si>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</si>
  <si>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</si>
  <si>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</si>
  <si>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</si>
  <si>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</si>
  <si>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</si>
  <si>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</si>
  <si>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</si>
  <si>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</si>
  <si>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</si>
  <si>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</si>
  <si>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</si>
  <si>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</si>
  <si>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</si>
  <si>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</si>
  <si>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</si>
  <si>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</si>
  <si>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</si>
  <si>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</si>
  <si>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</si>
  <si>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</si>
  <si>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</si>
  <si>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</si>
  <si>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</si>
  <si>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</si>
  <si>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</si>
  <si>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</si>
  <si>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</si>
  <si>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</si>
  <si>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</si>
  <si>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</si>
  <si>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</si>
  <si>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</si>
  <si>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</si>
  <si>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</si>
  <si>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</si>
  <si>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</si>
  <si>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</si>
  <si>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</si>
  <si>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</si>
  <si>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</si>
  <si>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</si>
  <si>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</si>
  <si>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</si>
  <si>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</si>
  <si>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</si>
  <si>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</si>
  <si>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</si>
  <si>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</si>
  <si>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</si>
  <si>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</si>
  <si>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</si>
  <si>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</si>
  <si>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</si>
  <si>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</si>
  <si>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</si>
  <si>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</si>
  <si>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</si>
  <si>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</si>
  <si>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</si>
  <si>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</si>
  <si>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</si>
  <si>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</si>
  <si>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</si>
  <si>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</si>
  <si>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</si>
  <si>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</si>
  <si>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</si>
  <si>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</si>
  <si>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</si>
  <si>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</si>
  <si>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</si>
  <si>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</si>
  <si>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</si>
  <si>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</si>
  <si>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</si>
  <si>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</si>
  <si>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</si>
  <si>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</si>
  <si>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</si>
  <si>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</si>
  <si>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</si>
  <si>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</si>
  <si>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</si>
  <si>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</si>
  <si>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</si>
  <si>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</si>
  <si>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</si>
  <si>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</si>
  <si>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</si>
  <si>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</si>
  <si>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</si>
  <si>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</si>
  <si>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</si>
  <si>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</si>
  <si>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</si>
  <si>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</si>
  <si>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</si>
  <si>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</si>
  <si>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</si>
  <si>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</si>
  <si>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</si>
  <si>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</si>
  <si>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</si>
  <si>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</si>
  <si>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</si>
  <si>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</si>
  <si>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</si>
  <si>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</si>
  <si>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</si>
  <si>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</si>
  <si>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</si>
  <si>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</si>
  <si>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</si>
  <si>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</si>
  <si>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</si>
  <si>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</si>
  <si>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</si>
  <si>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</si>
  <si>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</si>
  <si>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</si>
  <si>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</si>
  <si>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</si>
  <si>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</si>
  <si>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</si>
  <si>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</si>
  <si>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</si>
  <si>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</si>
  <si>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</si>
  <si>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</si>
  <si>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</si>
  <si>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</si>
  <si>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</si>
  <si>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</si>
  <si>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</si>
  <si>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</si>
  <si>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</si>
  <si>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</si>
  <si>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</si>
  <si>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</si>
  <si>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</si>
  <si>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</si>
  <si>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</si>
  <si>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</si>
  <si>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</si>
  <si>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</si>
  <si>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</si>
  <si>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</si>
  <si>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</si>
  <si>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</si>
  <si>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</si>
  <si>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</si>
  <si>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</si>
  <si>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</si>
  <si>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</si>
  <si>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</si>
  <si>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</si>
  <si>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</si>
  <si>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</si>
  <si>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</si>
  <si>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</si>
  <si>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</si>
  <si>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</si>
  <si>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</si>
  <si>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</si>
  <si>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</si>
  <si>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</si>
  <si>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</si>
  <si>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</si>
  <si>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</si>
  <si>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</si>
  <si>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</si>
  <si>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</si>
  <si>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</si>
  <si>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</si>
  <si>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</si>
  <si>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</si>
  <si>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</si>
  <si>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</si>
  <si>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</si>
  <si>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</si>
  <si>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</si>
  <si>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</si>
  <si>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</si>
  <si>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</si>
  <si>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</si>
  <si>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</si>
  <si>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</si>
  <si>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</si>
  <si>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</si>
  <si>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</si>
  <si>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</si>
  <si>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</si>
  <si>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</si>
  <si>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</si>
  <si>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</si>
  <si>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</si>
  <si>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</si>
  <si>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</si>
  <si>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</si>
  <si>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</si>
  <si>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</si>
  <si>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</si>
  <si>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</si>
  <si>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</si>
  <si>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</si>
  <si>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</si>
  <si>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</si>
  <si>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</si>
  <si>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</si>
  <si>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</si>
  <si>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</si>
  <si>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</si>
  <si>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</si>
  <si>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</si>
  <si>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</si>
  <si>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</si>
  <si>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</si>
  <si>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</si>
  <si>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</si>
  <si>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</si>
  <si>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</si>
  <si>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</si>
  <si>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</si>
  <si>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</si>
  <si>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</si>
  <si>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</si>
  <si>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</si>
  <si>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</si>
  <si>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</si>
  <si>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</si>
  <si>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</si>
  <si>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</si>
  <si>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</si>
  <si>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</si>
  <si>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</si>
  <si>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</si>
  <si>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</si>
  <si>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</si>
  <si>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</si>
  <si>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</si>
  <si>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</si>
  <si>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</si>
  <si>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</si>
  <si>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</si>
  <si>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</si>
  <si>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</si>
  <si>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</si>
  <si>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</si>
  <si>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</si>
  <si>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</si>
  <si>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</si>
  <si>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</si>
  <si>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</si>
  <si>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</si>
  <si>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</si>
  <si>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</si>
  <si>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</si>
  <si>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</si>
  <si>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</si>
  <si>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</si>
  <si>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</si>
  <si>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</si>
  <si>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</si>
  <si>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</si>
  <si>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</si>
  <si>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</si>
  <si>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</si>
  <si>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</si>
  <si>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</si>
  <si>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</si>
  <si>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</si>
  <si>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</si>
  <si>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</si>
  <si>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</si>
  <si>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</si>
  <si>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</si>
  <si>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</si>
  <si>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</si>
  <si>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</si>
  <si>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</si>
  <si>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</si>
  <si>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</si>
  <si>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</si>
  <si>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</si>
  <si>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</si>
  <si>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</si>
  <si>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</si>
  <si>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</si>
  <si>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</si>
  <si>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</si>
  <si>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</si>
  <si>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</si>
  <si>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</si>
  <si>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</si>
  <si>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</si>
  <si>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</si>
  <si>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</si>
  <si>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</si>
  <si>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</si>
  <si>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</si>
  <si>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</si>
  <si>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</si>
  <si>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</si>
  <si>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</si>
  <si>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</si>
  <si>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</si>
  <si>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</si>
  <si>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</si>
  <si>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</si>
  <si>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</si>
  <si>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</si>
  <si>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</si>
  <si>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</si>
  <si>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</si>
  <si>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</si>
  <si>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</si>
  <si>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</si>
  <si>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</si>
  <si>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</si>
  <si>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</si>
  <si>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</si>
  <si>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</si>
  <si>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</si>
  <si>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</si>
  <si>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</si>
  <si>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</si>
  <si>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</si>
  <si>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</si>
  <si>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</si>
  <si>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</si>
  <si>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</si>
  <si>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</si>
  <si>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</si>
  <si>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</si>
  <si>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</si>
  <si>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</si>
  <si>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</si>
  <si>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</si>
  <si>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</si>
  <si>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</si>
  <si>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</si>
  <si>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</si>
  <si>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</si>
  <si>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</si>
  <si>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</si>
  <si>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</si>
  <si>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</si>
  <si>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</si>
  <si>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</si>
  <si>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</si>
  <si>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</si>
  <si>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</si>
  <si>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</si>
  <si>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</si>
  <si>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</si>
  <si>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</si>
  <si>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</si>
  <si>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</si>
  <si>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</si>
  <si>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</si>
  <si>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</si>
  <si>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</si>
  <si>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</si>
  <si>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</si>
  <si>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</si>
  <si>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</si>
  <si>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</si>
  <si>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</si>
  <si>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</si>
  <si>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</si>
  <si>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</si>
  <si>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</si>
  <si>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</si>
  <si>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</si>
  <si>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</si>
  <si>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</si>
  <si>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</si>
  <si>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</si>
  <si>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</si>
  <si>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</si>
  <si>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</si>
  <si>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</si>
  <si>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</si>
  <si>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</si>
  <si>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</si>
  <si>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</si>
  <si>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</si>
  <si>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</si>
  <si>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</si>
  <si>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</si>
  <si>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</si>
  <si>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</si>
  <si>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</si>
  <si>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</si>
  <si>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</si>
  <si>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</si>
  <si>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</si>
  <si>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</si>
  <si>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</si>
  <si>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</si>
  <si>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</si>
  <si>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</si>
  <si>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</si>
  <si>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</si>
  <si>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</si>
  <si>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</si>
  <si>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</si>
  <si>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</si>
  <si>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</si>
  <si>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</si>
  <si>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</si>
  <si>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</si>
  <si>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</si>
  <si>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</si>
  <si>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</si>
  <si>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</si>
  <si>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</si>
  <si>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</si>
  <si>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</si>
  <si>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</si>
  <si>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</si>
  <si>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</si>
  <si>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</si>
  <si>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</si>
  <si>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</si>
  <si>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</si>
  <si>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</si>
  <si>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</si>
  <si>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</si>
  <si>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</si>
  <si>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</si>
  <si>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</si>
  <si>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</si>
  <si>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</si>
  <si>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</si>
  <si>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</si>
  <si>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</si>
  <si>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</si>
  <si>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</si>
  <si>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</si>
  <si>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</si>
  <si>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</si>
  <si>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</si>
  <si>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</si>
  <si>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</si>
  <si>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</si>
  <si>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</si>
  <si>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</si>
  <si>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</si>
  <si>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</si>
  <si>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</si>
  <si>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</si>
  <si>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</si>
  <si>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</si>
  <si>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</si>
  <si>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</si>
  <si>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</si>
  <si>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</si>
  <si>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</si>
  <si>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</si>
  <si>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</si>
  <si>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</si>
  <si>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</si>
  <si>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</si>
  <si>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</si>
  <si>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</si>
  <si>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</si>
  <si>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</si>
  <si>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</si>
  <si>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</si>
  <si>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</si>
  <si>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</si>
  <si>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</si>
  <si>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</si>
  <si>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</si>
  <si>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</si>
  <si>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</si>
  <si>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</si>
  <si>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</si>
  <si>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</si>
  <si>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</si>
  <si>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</si>
  <si>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</si>
  <si>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</si>
  <si>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</si>
  <si>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</si>
  <si>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</si>
  <si>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</si>
  <si>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</si>
  <si>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</si>
  <si>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</si>
  <si>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</si>
  <si>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</si>
  <si>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</si>
  <si>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</si>
  <si>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</si>
  <si>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</si>
  <si>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</si>
  <si>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</si>
  <si>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</si>
  <si>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</si>
  <si>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</si>
  <si>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</si>
  <si>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</si>
  <si>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</si>
  <si>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</si>
  <si>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</si>
  <si>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</si>
  <si>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</si>
  <si>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</si>
  <si>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</si>
  <si>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</si>
  <si>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</si>
  <si>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</si>
  <si>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</si>
  <si>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</si>
  <si>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</si>
  <si>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</si>
  <si>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</si>
  <si>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</si>
  <si>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</si>
  <si>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</si>
  <si>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</si>
  <si>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</si>
  <si>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</si>
  <si>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</si>
  <si>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</si>
  <si>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</si>
  <si>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</si>
  <si>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</si>
  <si>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</si>
  <si>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</si>
  <si>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</si>
  <si>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</si>
  <si>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</si>
  <si>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</si>
  <si>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</si>
  <si>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</si>
  <si>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</si>
  <si>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</si>
  <si>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</si>
  <si>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</si>
  <si>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</si>
  <si>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</si>
  <si>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</si>
  <si>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</si>
  <si>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</si>
  <si>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</si>
  <si>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</si>
  <si>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</si>
  <si>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</si>
  <si>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</si>
  <si>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</si>
  <si>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</si>
  <si>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</si>
  <si>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</si>
  <si>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</si>
  <si>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</si>
  <si>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</si>
  <si>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</si>
  <si>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</si>
  <si>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</si>
  <si>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</si>
  <si>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</si>
  <si>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</si>
  <si>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</si>
  <si>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</si>
  <si>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</si>
  <si>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</si>
  <si>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</si>
  <si>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</si>
  <si>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</si>
  <si>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</si>
  <si>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</si>
  <si>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</si>
  <si>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</si>
  <si>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</si>
  <si>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</si>
  <si>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</si>
  <si>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</si>
  <si>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</si>
  <si>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</si>
  <si>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</si>
  <si>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</si>
  <si>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</si>
  <si>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</si>
  <si>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</si>
  <si>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</si>
  <si>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</si>
  <si>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</si>
  <si>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</si>
  <si>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</si>
  <si>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</si>
  <si>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</si>
  <si>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</si>
  <si>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</si>
  <si>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</si>
  <si>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</si>
  <si>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</si>
  <si>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</si>
  <si>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</si>
  <si>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</si>
  <si>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</si>
  <si>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</si>
  <si>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</si>
  <si>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</si>
  <si>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</si>
  <si>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</si>
  <si>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</si>
  <si>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</si>
  <si>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</si>
  <si>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</si>
  <si>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</si>
  <si>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</si>
  <si>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</si>
  <si>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</si>
  <si>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</si>
  <si>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</si>
  <si>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</si>
  <si>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</si>
  <si>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</si>
  <si>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</si>
  <si>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</si>
  <si>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</si>
  <si>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</si>
  <si>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</si>
  <si>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</si>
  <si>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</si>
  <si>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</si>
  <si>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</si>
  <si>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</si>
  <si>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</si>
  <si>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</si>
  <si>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</si>
  <si>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</si>
  <si>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</si>
  <si>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</si>
  <si>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</si>
  <si>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</si>
  <si>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</si>
  <si>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</si>
  <si>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</si>
  <si>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</si>
  <si>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</si>
  <si>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</si>
  <si>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</si>
  <si>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</si>
  <si>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</si>
  <si>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</si>
  <si>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</si>
  <si>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</si>
  <si>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</si>
  <si>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</si>
  <si>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</si>
  <si>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</si>
  <si>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</si>
  <si>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</si>
  <si>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</si>
  <si>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</si>
  <si>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Spring Creek Township</t>
  </si>
  <si>
    <t>Coffey County</t>
  </si>
  <si>
    <t>Cemetery</t>
  </si>
  <si>
    <t>17-1344</t>
  </si>
  <si>
    <t>Sale of Lots</t>
  </si>
  <si>
    <t>Publication</t>
  </si>
  <si>
    <t>Mowing</t>
  </si>
  <si>
    <t>September 6, 2011</t>
  </si>
  <si>
    <t>7:00 P.M.</t>
  </si>
  <si>
    <t>M. O. Beards'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</si>
</sst>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523875</xdr:colOff>
      <xdr:row>102</xdr:row>
      <xdr:rowOff>95250</xdr:rowOff>
    </xdr:to>
    <xdr:pic>
      <xdr:nvPicPr>
        <xdr:cNvPr id="1" name="Picture 2"/>
        <xdr:cNvPicPr preferRelativeResize="1">
          <a:picLocks noChangeAspect="1"/>
        </xdr:cNvPicPr>
      </xdr:nvPicPr>
      <xdr:blipFill>
        <a:blip r:embed="rId1"/>
        <a:stretch>
          <a:fillRect/>
        </a:stretch>
      </xdr:blipFill>
      <xdr:spPr>
        <a:xfrm>
          <a:off x="0" y="0"/>
          <a:ext cx="16449675" cy="2049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2</xdr:row>
      <xdr:rowOff>85725</xdr:rowOff>
    </xdr:from>
    <xdr:to>
      <xdr:col>6</xdr:col>
      <xdr:colOff>552450</xdr:colOff>
      <xdr:row>22</xdr:row>
      <xdr:rowOff>95250</xdr:rowOff>
    </xdr:to>
    <xdr:pic>
      <xdr:nvPicPr>
        <xdr:cNvPr id="1" name="Picture 5"/>
        <xdr:cNvPicPr preferRelativeResize="1">
          <a:picLocks noChangeAspect="1"/>
        </xdr:cNvPicPr>
      </xdr:nvPicPr>
      <xdr:blipFill>
        <a:blip r:embed="rId1"/>
        <a:stretch>
          <a:fillRect/>
        </a:stretch>
      </xdr:blipFill>
      <xdr:spPr>
        <a:xfrm>
          <a:off x="495300" y="485775"/>
          <a:ext cx="50863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Spring Creek Township</v>
      </c>
      <c r="B1" s="179"/>
      <c r="C1" s="179"/>
      <c r="D1" s="179"/>
      <c r="E1" s="179"/>
      <c r="F1" s="179"/>
      <c r="G1" s="179"/>
      <c r="H1" s="179"/>
      <c r="I1" s="14"/>
      <c r="J1" s="14"/>
      <c r="K1" s="15">
        <f>inputPrYr!D5</f>
        <v>2012</v>
      </c>
    </row>
    <row r="2" spans="1:11" ht="15.75">
      <c r="A2" s="178" t="str">
        <f>inputPrYr!$D$3</f>
        <v>Coffey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C6" sqref="C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Spring Creek Township</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1811</v>
      </c>
      <c r="D6" s="418">
        <f>C51</f>
        <v>1821</v>
      </c>
      <c r="E6" s="32">
        <f>D51</f>
        <v>1698</v>
      </c>
    </row>
    <row r="7" spans="2:5" ht="15.75">
      <c r="B7" s="27" t="s">
        <v>124</v>
      </c>
      <c r="C7" s="418"/>
      <c r="D7" s="418"/>
      <c r="E7" s="33"/>
    </row>
    <row r="8" spans="2:5" ht="15.75">
      <c r="B8" s="27" t="s">
        <v>16</v>
      </c>
      <c r="C8" s="29">
        <v>444</v>
      </c>
      <c r="D8" s="418">
        <f>inputPrYr!E16</f>
        <v>440</v>
      </c>
      <c r="E8" s="33" t="s">
        <v>302</v>
      </c>
    </row>
    <row r="9" spans="2:5" ht="15.75">
      <c r="B9" s="27" t="s">
        <v>17</v>
      </c>
      <c r="C9" s="29"/>
      <c r="D9" s="29"/>
      <c r="E9" s="34"/>
    </row>
    <row r="10" spans="2:5" ht="15.75">
      <c r="B10" s="27" t="s">
        <v>18</v>
      </c>
      <c r="C10" s="29">
        <v>33</v>
      </c>
      <c r="D10" s="29">
        <v>36</v>
      </c>
      <c r="E10" s="32">
        <f>mvalloc!G11</f>
        <v>25</v>
      </c>
    </row>
    <row r="11" spans="2:5" ht="15.75">
      <c r="B11" s="27" t="s">
        <v>19</v>
      </c>
      <c r="C11" s="29">
        <v>1</v>
      </c>
      <c r="D11" s="29">
        <v>1</v>
      </c>
      <c r="E11" s="32">
        <f>mvalloc!I11</f>
        <v>1</v>
      </c>
    </row>
    <row r="12" spans="2:5" ht="15.75">
      <c r="B12" s="35" t="s">
        <v>72</v>
      </c>
      <c r="C12" s="29"/>
      <c r="D12" s="29"/>
      <c r="E12" s="32">
        <f>mvalloc!J11</f>
        <v>6</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t="s">
        <v>818</v>
      </c>
      <c r="C18" s="29">
        <v>30</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62</v>
      </c>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570</v>
      </c>
      <c r="D26" s="420">
        <f>SUM(D8:D24)</f>
        <v>477</v>
      </c>
      <c r="E26" s="42">
        <f>SUM(E8:E24)</f>
        <v>32</v>
      </c>
    </row>
    <row r="27" spans="2:5" ht="15.75">
      <c r="B27" s="43" t="s">
        <v>24</v>
      </c>
      <c r="C27" s="420">
        <f>C26+C6</f>
        <v>2381</v>
      </c>
      <c r="D27" s="420">
        <f>D26+D6</f>
        <v>2298</v>
      </c>
      <c r="E27" s="42">
        <f>E26+E6</f>
        <v>1730</v>
      </c>
    </row>
    <row r="28" spans="2:5" ht="15.75">
      <c r="B28" s="27" t="s">
        <v>25</v>
      </c>
      <c r="C28" s="418"/>
      <c r="D28" s="418"/>
      <c r="E28" s="32"/>
    </row>
    <row r="29" spans="2:5" ht="15.75">
      <c r="B29" s="37"/>
      <c r="C29" s="29"/>
      <c r="D29" s="29"/>
      <c r="E29" s="34"/>
    </row>
    <row r="30" spans="2:5" ht="15.75">
      <c r="B30" s="38" t="s">
        <v>105</v>
      </c>
      <c r="C30" s="29">
        <v>360</v>
      </c>
      <c r="D30" s="29">
        <v>400</v>
      </c>
      <c r="E30" s="34">
        <v>2110</v>
      </c>
    </row>
    <row r="31" spans="2:5" ht="15.75">
      <c r="B31" s="38" t="s">
        <v>129</v>
      </c>
      <c r="C31" s="29">
        <v>140</v>
      </c>
      <c r="D31" s="29">
        <v>140</v>
      </c>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819</v>
      </c>
      <c r="C37" s="29">
        <v>60</v>
      </c>
      <c r="D37" s="29">
        <v>60</v>
      </c>
      <c r="E37" s="34">
        <v>60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560</v>
      </c>
      <c r="D50" s="412">
        <f>SUM(D29:D48)</f>
        <v>600</v>
      </c>
      <c r="E50" s="47">
        <f>SUM(E29:E43,E45,E47:E48)</f>
        <v>2170</v>
      </c>
      <c r="G50" s="534"/>
      <c r="H50" s="535"/>
      <c r="I50" s="535"/>
      <c r="J50" s="536"/>
    </row>
    <row r="51" spans="2:10" ht="15.75">
      <c r="B51" s="27" t="s">
        <v>123</v>
      </c>
      <c r="C51" s="413">
        <f>C27-C50</f>
        <v>1821</v>
      </c>
      <c r="D51" s="413">
        <f>SUM(D27-D50)</f>
        <v>1698</v>
      </c>
      <c r="E51" s="33" t="s">
        <v>302</v>
      </c>
      <c r="G51" s="537">
        <f>D51</f>
        <v>1698</v>
      </c>
      <c r="H51" s="538" t="str">
        <f>CONCATENATE("",E1-1," Ending Cash Balance (est.)")</f>
        <v>2011 Ending Cash Balance (est.)</v>
      </c>
      <c r="I51" s="539"/>
      <c r="J51" s="536"/>
    </row>
    <row r="52" spans="2:10" ht="15.75">
      <c r="B52" s="48" t="str">
        <f>CONCATENATE("",E1-2,"/",E1-1," Budget Authority Amount:")</f>
        <v>2010/2011 Budget Authority Amount:</v>
      </c>
      <c r="C52" s="143">
        <f>inputOth!B46</f>
        <v>4526</v>
      </c>
      <c r="D52" s="172">
        <f>inputPrYr!D16</f>
        <v>4645</v>
      </c>
      <c r="E52" s="33" t="s">
        <v>302</v>
      </c>
      <c r="F52" s="50"/>
      <c r="G52" s="537">
        <f>E26</f>
        <v>32</v>
      </c>
      <c r="H52" s="540" t="str">
        <f>CONCATENATE("",E1," Non-AV Receipts (est.)")</f>
        <v>2012 Non-AV Receipts (est.)</v>
      </c>
      <c r="I52" s="540"/>
      <c r="J52" s="536"/>
    </row>
    <row r="53" spans="2:10" ht="15.75">
      <c r="B53" s="48"/>
      <c r="C53" s="652" t="s">
        <v>646</v>
      </c>
      <c r="D53" s="653"/>
      <c r="E53" s="34"/>
      <c r="F53" s="533">
        <f>IF(E50/0.95-E50&lt;E53,"Exceeds 5%","")</f>
      </c>
      <c r="G53" s="541">
        <f>E57</f>
        <v>440</v>
      </c>
      <c r="H53" s="540" t="str">
        <f>CONCATENATE("",E1," Ad Valorem Tax (est.)")</f>
        <v>2012 Ad Valorem Tax (est.)</v>
      </c>
      <c r="I53" s="540"/>
      <c r="J53" s="536"/>
    </row>
    <row r="54" spans="2:10" ht="15.75">
      <c r="B54" s="436" t="str">
        <f>CONCATENATE(C72,"     ",D72)</f>
        <v>     </v>
      </c>
      <c r="C54" s="654" t="s">
        <v>647</v>
      </c>
      <c r="D54" s="655"/>
      <c r="E54" s="32">
        <f>E50+E53</f>
        <v>2170</v>
      </c>
      <c r="G54" s="537">
        <f>SUM(G51:G53)</f>
        <v>2170</v>
      </c>
      <c r="H54" s="540" t="str">
        <f>CONCATENATE("Total ",E1," Resources Available")</f>
        <v>Total 2012 Resources Available</v>
      </c>
      <c r="I54" s="539"/>
      <c r="J54" s="536"/>
    </row>
    <row r="55" spans="2:10" ht="15.75">
      <c r="B55" s="436" t="str">
        <f>CONCATENATE(C73,"     ",D73)</f>
        <v>     </v>
      </c>
      <c r="C55" s="60"/>
      <c r="D55" s="52" t="s">
        <v>28</v>
      </c>
      <c r="E55" s="46">
        <f>IF(E54-E27&gt;0,E54-E27,0)</f>
        <v>440</v>
      </c>
      <c r="G55" s="542"/>
      <c r="H55" s="540"/>
      <c r="I55" s="540"/>
      <c r="J55" s="536"/>
    </row>
    <row r="56" spans="2:10" ht="15.75">
      <c r="B56" s="52"/>
      <c r="C56" s="440" t="s">
        <v>648</v>
      </c>
      <c r="D56" s="432">
        <f>inputOth!$E$40</f>
        <v>0</v>
      </c>
      <c r="E56" s="32">
        <f>ROUND(IF(D56&gt;0,(E55*D56),0),0)</f>
        <v>0</v>
      </c>
      <c r="G56" s="541">
        <f>C50*0.05+C50</f>
        <v>588</v>
      </c>
      <c r="H56" s="540" t="str">
        <f>CONCATENATE("Less ",E1-2," Expenditures + 5%")</f>
        <v>Less 2010 Expenditures + 5%</v>
      </c>
      <c r="I56" s="539"/>
      <c r="J56" s="536"/>
    </row>
    <row r="57" spans="2:10" ht="15.75">
      <c r="B57" s="14"/>
      <c r="C57" s="650" t="str">
        <f>CONCATENATE("Amount of  ",$E$1-1," Ad Valorem Tax")</f>
        <v>Amount of  2011 Ad Valorem Tax</v>
      </c>
      <c r="D57" s="651"/>
      <c r="E57" s="46">
        <f>E55+E56</f>
        <v>440</v>
      </c>
      <c r="G57" s="543">
        <f>G54-G56</f>
        <v>1582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0.192</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Spring Creek Township</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Spring Creek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c r="D6" s="418">
        <f>C44</f>
        <v>0</v>
      </c>
      <c r="E6" s="32">
        <f>D44</f>
        <v>0</v>
      </c>
    </row>
    <row r="7" spans="2:5" ht="15.75">
      <c r="B7" s="27" t="s">
        <v>124</v>
      </c>
      <c r="C7" s="418"/>
      <c r="D7" s="418"/>
      <c r="E7" s="33"/>
    </row>
    <row r="8" spans="2:5" ht="15.75">
      <c r="B8" s="27" t="s">
        <v>16</v>
      </c>
      <c r="C8" s="29"/>
      <c r="D8" s="418">
        <f>inputPrYr!E18</f>
        <v>0</v>
      </c>
      <c r="E8" s="33" t="s">
        <v>302</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167</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129</v>
      </c>
      <c r="C26" s="29"/>
      <c r="D26" s="29"/>
      <c r="E26" s="34"/>
    </row>
    <row r="27" spans="2:5" ht="15.75">
      <c r="B27" s="37" t="s">
        <v>106</v>
      </c>
      <c r="C27" s="29"/>
      <c r="D27" s="29"/>
      <c r="E27" s="34"/>
    </row>
    <row r="28" spans="2:5" ht="15.75">
      <c r="B28" s="38" t="s">
        <v>131</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0</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123</v>
      </c>
      <c r="C44" s="413">
        <f>C24-C43</f>
        <v>0</v>
      </c>
      <c r="D44" s="413">
        <f>D24-D43</f>
        <v>0</v>
      </c>
      <c r="E44" s="33" t="s">
        <v>302</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302</v>
      </c>
      <c r="F45" s="50"/>
      <c r="G45" s="542"/>
      <c r="H45" s="540"/>
      <c r="I45" s="540"/>
      <c r="J45" s="536"/>
    </row>
    <row r="46" spans="2:10" ht="15.75">
      <c r="B46" s="48"/>
      <c r="C46" s="652" t="s">
        <v>646</v>
      </c>
      <c r="D46" s="653"/>
      <c r="E46" s="34"/>
      <c r="F46" s="533">
        <f>IF(E43/0.95-E43&lt;E46,"Exceeds 5%","")</f>
      </c>
      <c r="G46" s="541">
        <f>C43*0.05+C43</f>
        <v>0</v>
      </c>
      <c r="H46" s="540" t="str">
        <f>CONCATENATE("Less ",E1-2," Expenditures + 5%")</f>
        <v>Less 2010 Expenditures + 5%</v>
      </c>
      <c r="I46" s="539"/>
      <c r="J46" s="536"/>
    </row>
    <row r="47" spans="2:10" ht="15.75">
      <c r="B47" s="436" t="str">
        <f>CONCATENATE(C74,"     ",D74)</f>
        <v>     </v>
      </c>
      <c r="C47" s="654" t="s">
        <v>647</v>
      </c>
      <c r="D47" s="655"/>
      <c r="E47" s="32">
        <f>E43+E46</f>
        <v>0</v>
      </c>
      <c r="G47" s="543">
        <f>G44-G46</f>
        <v>0</v>
      </c>
      <c r="H47" s="544" t="str">
        <f>CONCATENATE("Projected ",E1+1," Carryover (est.)")</f>
        <v>Projected 2013 Carryover (est.)</v>
      </c>
      <c r="I47" s="545"/>
      <c r="J47" s="546"/>
    </row>
    <row r="48" spans="2:5" ht="15.75">
      <c r="B48" s="436" t="str">
        <f>CONCATENATE(C75,"     ",D75)</f>
        <v>     </v>
      </c>
      <c r="C48" s="60"/>
      <c r="D48" s="52" t="s">
        <v>28</v>
      </c>
      <c r="E48" s="46">
        <f>IF(E47-E24&gt;0,E47-E24,0)</f>
        <v>0</v>
      </c>
    </row>
    <row r="49" spans="2:10" ht="15.75">
      <c r="B49" s="52"/>
      <c r="C49" s="440" t="s">
        <v>648</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0</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c r="D61" s="14"/>
      <c r="E61" s="14"/>
    </row>
    <row r="62" spans="2:5" ht="15.75">
      <c r="B62" s="87" t="s">
        <v>21</v>
      </c>
      <c r="C62" s="600"/>
      <c r="D62" s="14"/>
      <c r="E62" s="14"/>
    </row>
    <row r="63" spans="2:5" ht="15.75">
      <c r="B63" s="88" t="s">
        <v>24</v>
      </c>
      <c r="C63" s="143">
        <f>SUM(C55:C62)</f>
        <v>0</v>
      </c>
      <c r="D63" s="14"/>
      <c r="E63" s="14"/>
    </row>
    <row r="64" spans="2:5" ht="15.75">
      <c r="B64" s="88" t="s">
        <v>26</v>
      </c>
      <c r="C64" s="600"/>
      <c r="D64" s="14"/>
      <c r="E64" s="14"/>
    </row>
    <row r="65" spans="2:5" ht="15.75">
      <c r="B65" s="88" t="s">
        <v>27</v>
      </c>
      <c r="C65" s="438">
        <f>SUM(C63-C64)</f>
        <v>0</v>
      </c>
      <c r="D65" s="14"/>
      <c r="E65" s="14"/>
    </row>
    <row r="66" spans="2:5" ht="15.75">
      <c r="B66" s="14"/>
      <c r="C66" s="14"/>
      <c r="D66" s="14"/>
      <c r="E66" s="14"/>
    </row>
    <row r="67" spans="2:5" ht="15.75">
      <c r="B67" s="52" t="s">
        <v>9</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14" sqref="C1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Creek Township</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t="str">
        <f>inputPrYr!B19</f>
        <v>Cemetery</v>
      </c>
      <c r="C5" s="417" t="str">
        <f>gen!C5</f>
        <v>Actual 2010</v>
      </c>
      <c r="D5" s="417" t="str">
        <f>gen!D5</f>
        <v>Estimate 2011</v>
      </c>
      <c r="E5" s="26" t="str">
        <f>gen!E5</f>
        <v>Year 2012</v>
      </c>
    </row>
    <row r="6" spans="2:5" ht="15.75">
      <c r="B6" s="27" t="s">
        <v>122</v>
      </c>
      <c r="C6" s="29">
        <v>7247</v>
      </c>
      <c r="D6" s="418">
        <f>C33</f>
        <v>6710</v>
      </c>
      <c r="E6" s="32">
        <f>D33</f>
        <v>5974</v>
      </c>
    </row>
    <row r="7" spans="2:5" ht="15.75">
      <c r="B7" s="27" t="s">
        <v>124</v>
      </c>
      <c r="C7" s="418"/>
      <c r="D7" s="418"/>
      <c r="E7" s="33"/>
    </row>
    <row r="8" spans="2:5" ht="15.75">
      <c r="B8" s="27" t="s">
        <v>16</v>
      </c>
      <c r="C8" s="29">
        <v>1325</v>
      </c>
      <c r="D8" s="418">
        <f>inputPrYr!E19</f>
        <v>1354</v>
      </c>
      <c r="E8" s="33" t="s">
        <v>302</v>
      </c>
    </row>
    <row r="9" spans="2:5" ht="15.75">
      <c r="B9" s="27" t="s">
        <v>17</v>
      </c>
      <c r="C9" s="29">
        <v>1</v>
      </c>
      <c r="D9" s="29"/>
      <c r="E9" s="34"/>
    </row>
    <row r="10" spans="2:5" ht="15.75">
      <c r="B10" s="27" t="s">
        <v>18</v>
      </c>
      <c r="C10" s="29">
        <v>99</v>
      </c>
      <c r="D10" s="29">
        <v>107</v>
      </c>
      <c r="E10" s="32">
        <f>mvalloc!G14</f>
        <v>78</v>
      </c>
    </row>
    <row r="11" spans="2:5" ht="15.75">
      <c r="B11" s="27" t="s">
        <v>19</v>
      </c>
      <c r="C11" s="29">
        <v>3</v>
      </c>
      <c r="D11" s="29">
        <v>3</v>
      </c>
      <c r="E11" s="32">
        <f>mvalloc!I14</f>
        <v>2</v>
      </c>
    </row>
    <row r="12" spans="2:5" ht="15.75">
      <c r="B12" s="35" t="s">
        <v>72</v>
      </c>
      <c r="C12" s="29"/>
      <c r="D12" s="29"/>
      <c r="E12" s="32">
        <f>mvalloc!J14</f>
        <v>18</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1428</v>
      </c>
      <c r="D20" s="420">
        <f>SUM(D8:D18)</f>
        <v>1464</v>
      </c>
      <c r="E20" s="42">
        <f>SUM(E8:E18)</f>
        <v>98</v>
      </c>
    </row>
    <row r="21" spans="2:5" ht="15.75">
      <c r="B21" s="43" t="s">
        <v>24</v>
      </c>
      <c r="C21" s="420">
        <f>C20+C6</f>
        <v>8675</v>
      </c>
      <c r="D21" s="420">
        <f>D20+D6</f>
        <v>8174</v>
      </c>
      <c r="E21" s="42">
        <f>E20+E6</f>
        <v>6072</v>
      </c>
    </row>
    <row r="22" spans="2:5" ht="15.75">
      <c r="B22" s="27" t="s">
        <v>25</v>
      </c>
      <c r="C22" s="418"/>
      <c r="D22" s="418"/>
      <c r="E22" s="32"/>
    </row>
    <row r="23" spans="2:5" ht="15.75">
      <c r="B23" s="38"/>
      <c r="C23" s="29"/>
      <c r="D23" s="29"/>
      <c r="E23" s="34"/>
    </row>
    <row r="24" spans="2:5" ht="15.75">
      <c r="B24" s="38" t="s">
        <v>820</v>
      </c>
      <c r="C24" s="29">
        <v>1965</v>
      </c>
      <c r="D24" s="29">
        <v>2200</v>
      </c>
      <c r="E24" s="34">
        <v>7422</v>
      </c>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1965</v>
      </c>
      <c r="D32" s="420">
        <f>SUM(D23:D30)</f>
        <v>2200</v>
      </c>
      <c r="E32" s="42">
        <f>SUM(E23:E30)</f>
        <v>7422</v>
      </c>
    </row>
    <row r="33" spans="2:5" ht="15.75">
      <c r="B33" s="27" t="s">
        <v>123</v>
      </c>
      <c r="C33" s="413">
        <f>C21-C32</f>
        <v>6710</v>
      </c>
      <c r="D33" s="413">
        <f>D21-D32</f>
        <v>5974</v>
      </c>
      <c r="E33" s="33" t="s">
        <v>302</v>
      </c>
    </row>
    <row r="34" spans="2:6" ht="15.75">
      <c r="B34" s="48" t="str">
        <f>CONCATENATE("",E1-2,"/",E1-1," Budget Authority Amount:")</f>
        <v>2010/2011 Budget Authority Amount:</v>
      </c>
      <c r="C34" s="143">
        <f>inputOth!B49</f>
        <v>6300</v>
      </c>
      <c r="D34" s="172">
        <f>inputPrYr!D19</f>
        <v>5728</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7422</v>
      </c>
    </row>
    <row r="37" spans="2:5" ht="15.75">
      <c r="B37" s="436" t="str">
        <f>CONCATENATE(C89,"     ",D89)</f>
        <v>     </v>
      </c>
      <c r="C37" s="60"/>
      <c r="D37" s="52" t="s">
        <v>28</v>
      </c>
      <c r="E37" s="46">
        <f>IF(E36-E21&gt;0,E36-E21,0)</f>
        <v>1350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1350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Creek Township</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Spring Creek Township</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Spring Creek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Spring Creek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0">
      <selection activeCell="E63" sqref="E6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4645</v>
      </c>
      <c r="E16" s="200">
        <v>440</v>
      </c>
    </row>
    <row r="17" spans="1:5" ht="15.75">
      <c r="A17" s="14"/>
      <c r="B17" s="83" t="s">
        <v>312</v>
      </c>
      <c r="C17" s="172" t="s">
        <v>157</v>
      </c>
      <c r="D17" s="200"/>
      <c r="E17" s="200"/>
    </row>
    <row r="18" spans="1:5" ht="15.75">
      <c r="A18" s="14"/>
      <c r="B18" s="83" t="s">
        <v>287</v>
      </c>
      <c r="C18" s="192" t="s">
        <v>327</v>
      </c>
      <c r="D18" s="200"/>
      <c r="E18" s="200"/>
    </row>
    <row r="19" spans="1:5" ht="15.75">
      <c r="A19" s="14"/>
      <c r="B19" s="410" t="s">
        <v>816</v>
      </c>
      <c r="C19" s="411" t="s">
        <v>817</v>
      </c>
      <c r="D19" s="200">
        <v>5728</v>
      </c>
      <c r="E19" s="200">
        <v>1354</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1794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10373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0.216</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t="str">
        <f t="shared" si="0"/>
        <v>Cemetery</v>
      </c>
      <c r="C44" s="14"/>
      <c r="D44" s="348">
        <v>0.645</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0.861</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1753</v>
      </c>
    </row>
    <row r="53" spans="1:5" ht="15.75">
      <c r="A53" s="353" t="str">
        <f>CONCATENATE("Assessed Valuation (",D5-2," budget column)")</f>
        <v>Assessed Valuation (2010 budget column)</v>
      </c>
      <c r="B53" s="354"/>
      <c r="C53" s="291"/>
      <c r="D53" s="28"/>
      <c r="E53" s="200">
        <v>2035507</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Spring Creek Township</v>
      </c>
      <c r="C4" s="679"/>
      <c r="D4" s="679"/>
      <c r="E4" s="679"/>
      <c r="F4" s="679"/>
      <c r="G4" s="679"/>
      <c r="H4" s="679"/>
      <c r="I4" s="679"/>
    </row>
    <row r="5" spans="2:9" ht="15.75">
      <c r="B5" s="679" t="str">
        <f>inputPrYr!D3</f>
        <v>Coffey County</v>
      </c>
      <c r="C5" s="679"/>
      <c r="D5" s="679"/>
      <c r="E5" s="679"/>
      <c r="F5" s="679"/>
      <c r="G5" s="679"/>
      <c r="H5" s="679"/>
      <c r="I5" s="679"/>
    </row>
    <row r="6" spans="2:9" ht="15.75">
      <c r="B6" s="678" t="str">
        <f>CONCATENATE("will meet on ",inputBudSum!B5," at ",inputBudSum!B7," at ",inputBudSum!B9," for the purpose of hearing and")</f>
        <v>will meet on September 6, 2011 at 7:00 P.M. at M. O. Beards' Residence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M. O. Beards'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560</v>
      </c>
      <c r="D17" s="592">
        <f>IF(inputPrYr!D41&gt;0,inputPrYr!D41,"  ")</f>
        <v>0.216</v>
      </c>
      <c r="E17" s="32">
        <f>IF(gen!$D$50&lt;&gt;0,gen!$D$50,"  ")</f>
        <v>600</v>
      </c>
      <c r="F17" s="253">
        <f>IF(inputOth!D17&gt;0,inputOth!D17,"  ")</f>
        <v>0.203</v>
      </c>
      <c r="G17" s="32">
        <f>IF(gen!$E$50&lt;&gt;0,gen!$E$50,"  ")</f>
        <v>2170</v>
      </c>
      <c r="H17" s="32">
        <f>IF(gen!$E$57&lt;&gt;0,gen!$E$57," ")</f>
        <v>440</v>
      </c>
      <c r="I17" s="594">
        <f>IF(gen!E57&gt;0,ROUND(H17/$G$35*1000,3)," ")</f>
        <v>0.192</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Cemetery</v>
      </c>
      <c r="C20" s="32">
        <f>IF(levypage9!$C$32&lt;&gt;0,levypage9!$C$32,"  ")</f>
        <v>1965</v>
      </c>
      <c r="D20" s="592">
        <f>IF(inputPrYr!D44&gt;0,inputPrYr!D44,"  ")</f>
        <v>0.645</v>
      </c>
      <c r="E20" s="32">
        <f>IF(levypage9!$D$32&lt;&gt;0,levypage9!$D$32,"  ")</f>
        <v>2200</v>
      </c>
      <c r="F20" s="253">
        <f>IF(inputOth!D20&gt;0,inputOth!D20,"  ")</f>
        <v>0.626</v>
      </c>
      <c r="G20" s="32">
        <f>IF(levypage9!$E$32&lt;&gt;0,levypage9!$E$32,"  ")</f>
        <v>7422</v>
      </c>
      <c r="H20" s="32">
        <f>IF(levypage9!$E$39&lt;&gt;0,levypage9!$E$39,"  ")</f>
        <v>1350</v>
      </c>
      <c r="I20" s="594">
        <f>IF(levypage9!E39&gt;0,ROUND(H20/$G$35*1000,3)," ")</f>
        <v>0.59</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2290</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0.829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108</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2525</v>
      </c>
      <c r="D30" s="529">
        <f t="shared" si="0"/>
        <v>0.861</v>
      </c>
      <c r="E30" s="595">
        <f t="shared" si="0"/>
        <v>2800</v>
      </c>
      <c r="F30" s="529">
        <f t="shared" si="0"/>
        <v>0.829</v>
      </c>
      <c r="G30" s="595">
        <f t="shared" si="0"/>
        <v>9592</v>
      </c>
      <c r="H30" s="595">
        <f t="shared" si="0"/>
        <v>1790</v>
      </c>
      <c r="I30" s="598">
        <f t="shared" si="0"/>
        <v>0.782</v>
      </c>
      <c r="K30" s="669" t="str">
        <f>CONCATENATE("Impact On Keeping The Same Mill Rate As For ",I1-1,"")</f>
        <v>Impact On Keeping The Same Mill Rate As For 2011</v>
      </c>
      <c r="L30" s="670"/>
      <c r="M30" s="670"/>
      <c r="N30" s="671"/>
    </row>
    <row r="31" spans="2:14" ht="15.75">
      <c r="B31" s="83" t="s">
        <v>44</v>
      </c>
      <c r="C31" s="32">
        <f>transfer!C29</f>
        <v>0</v>
      </c>
      <c r="D31" s="14"/>
      <c r="E31" s="32">
        <f>transfer!D29</f>
        <v>0</v>
      </c>
      <c r="F31" s="62"/>
      <c r="G31" s="32">
        <f>transfer!E29</f>
        <v>0</v>
      </c>
      <c r="H31" s="14"/>
      <c r="I31" s="14"/>
      <c r="K31" s="575"/>
      <c r="L31" s="569"/>
      <c r="M31" s="569"/>
      <c r="N31" s="576"/>
    </row>
    <row r="32" spans="2:14" ht="16.5" thickBot="1">
      <c r="B32" s="83" t="s">
        <v>45</v>
      </c>
      <c r="C32" s="596">
        <f>C30-C31</f>
        <v>2525</v>
      </c>
      <c r="D32" s="14"/>
      <c r="E32" s="596">
        <f>E30-E31</f>
        <v>2800</v>
      </c>
      <c r="F32" s="14"/>
      <c r="G32" s="596">
        <f>G30-G31</f>
        <v>9592</v>
      </c>
      <c r="H32" s="14"/>
      <c r="I32" s="14"/>
      <c r="K32" s="575" t="str">
        <f>CONCATENATE("",I1," Ad Valorem Tax Revenue:")</f>
        <v>2012 Ad Valorem Tax Revenue:</v>
      </c>
      <c r="L32" s="569"/>
      <c r="M32" s="569"/>
      <c r="N32" s="570">
        <f>H30</f>
        <v>1790</v>
      </c>
    </row>
    <row r="33" spans="2:14" ht="16.5" thickTop="1">
      <c r="B33" s="83" t="s">
        <v>46</v>
      </c>
      <c r="C33" s="597">
        <f>inputPrYr!E52</f>
        <v>1753</v>
      </c>
      <c r="D33" s="62"/>
      <c r="E33" s="597">
        <f>inputPrYr!E25</f>
        <v>1794</v>
      </c>
      <c r="F33" s="14"/>
      <c r="G33" s="588" t="s">
        <v>302</v>
      </c>
      <c r="H33" s="14"/>
      <c r="I33" s="14"/>
      <c r="K33" s="575" t="str">
        <f>CONCATENATE("",I1-1," Ad Valorem Tax Revenue:")</f>
        <v>2011 Ad Valorem Tax Revenue:</v>
      </c>
      <c r="L33" s="569"/>
      <c r="M33" s="569"/>
      <c r="N33" s="583">
        <f>ROUND(G35*N25/1000,0)</f>
        <v>1898</v>
      </c>
    </row>
    <row r="34" spans="2:14" ht="15.75">
      <c r="B34" s="279" t="s">
        <v>47</v>
      </c>
      <c r="C34" s="55"/>
      <c r="D34" s="62"/>
      <c r="E34" s="55"/>
      <c r="F34" s="62"/>
      <c r="G34" s="14"/>
      <c r="H34" s="14"/>
      <c r="I34" s="14"/>
      <c r="K34" s="580" t="s">
        <v>747</v>
      </c>
      <c r="L34" s="581"/>
      <c r="M34" s="581"/>
      <c r="N34" s="573">
        <f>N32-N33</f>
        <v>-108</v>
      </c>
    </row>
    <row r="35" spans="2:14" ht="15.75">
      <c r="B35" s="606" t="s">
        <v>48</v>
      </c>
      <c r="C35" s="31">
        <f>inputPrYr!E53</f>
        <v>2035507</v>
      </c>
      <c r="D35" s="14"/>
      <c r="E35" s="32">
        <f>inputOth!E28</f>
        <v>2164701</v>
      </c>
      <c r="F35" s="14"/>
      <c r="G35" s="32">
        <f>inputOth!E7</f>
        <v>2289687</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0.782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Spring Creek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Cemetery</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2289687</v>
      </c>
      <c r="E18" s="14"/>
      <c r="F18" s="140"/>
    </row>
    <row r="19" spans="1:6" ht="15.75">
      <c r="A19" s="14"/>
      <c r="B19" s="14"/>
      <c r="C19" s="14"/>
      <c r="D19" s="14"/>
      <c r="E19" s="14"/>
      <c r="F19" s="140"/>
    </row>
    <row r="20" spans="1:6" ht="15.75">
      <c r="A20" s="14"/>
      <c r="B20" s="682" t="s">
        <v>379</v>
      </c>
      <c r="C20" s="682"/>
      <c r="D20" s="148">
        <f>IF(D18&gt;0,(D18*0.001),"")</f>
        <v>2289.687</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Spring Creek Township </v>
      </c>
      <c r="I6">
        <f>CONCATENATE(I7)</f>
      </c>
    </row>
    <row r="7" spans="1:7" ht="15.75">
      <c r="A7" s="692" t="str">
        <f>CONCATENATE("   with respect to financing the ",inputPrYr!D5," annual budget for ",(inputPrYr!D2)," , ",(inputPrYr!D3)," , Kansas.")</f>
        <v>   with respect to financing the 2012 annual budget for Spring Creek Township , Coffey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Spring Creek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Spring Creek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Spring Creek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Spring Creek Township of Coffey County, Kansas that is our desire to notify the public of increased property taxes to finance the 2012 Spring Creek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Spring Creek Township Board, Coffey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Spring Creek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3">
      <selection activeCell="B50" sqref="B50"/>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Spring Creek Township</v>
      </c>
      <c r="B1" s="101"/>
      <c r="C1" s="101"/>
      <c r="D1" s="101"/>
      <c r="E1" s="101">
        <f>inputPrYr!D5</f>
        <v>2012</v>
      </c>
    </row>
    <row r="2" spans="1:5" ht="15.75">
      <c r="A2" s="99" t="str">
        <f>inputPrYr!D3</f>
        <v>Coffey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2289687</v>
      </c>
    </row>
    <row r="8" spans="1:5" ht="15.75">
      <c r="A8" s="22" t="str">
        <f>CONCATENATE("New Improvements for ",E1-1,"")</f>
        <v>New Improvements for 2011</v>
      </c>
      <c r="B8" s="19"/>
      <c r="C8" s="19"/>
      <c r="D8" s="19"/>
      <c r="E8" s="309">
        <v>7564</v>
      </c>
    </row>
    <row r="9" spans="1:5" ht="15.75">
      <c r="A9" s="22" t="str">
        <f>CONCATENATE("Personal Property excluding oil, gas, and mobile homes - ",E1-1,"")</f>
        <v>Personal Property excluding oil, gas, and mobile homes - 2011</v>
      </c>
      <c r="B9" s="19"/>
      <c r="C9" s="19"/>
      <c r="D9" s="19"/>
      <c r="E9" s="309">
        <v>53239</v>
      </c>
    </row>
    <row r="10" spans="1:5" ht="15.75">
      <c r="A10" s="22" t="str">
        <f>CONCATENATE("Property that has changed in use for ",E1-1,"")</f>
        <v>Property that has changed in use for 2011</v>
      </c>
      <c r="B10" s="19"/>
      <c r="C10" s="19"/>
      <c r="D10" s="19"/>
      <c r="E10" s="309">
        <v>41865</v>
      </c>
    </row>
    <row r="11" spans="1:5" ht="15.75">
      <c r="A11" s="22" t="str">
        <f>CONCATENATE("Personal Property excluding oil, gas, and mobile homes- ",E1-2,"")</f>
        <v>Personal Property excluding oil, gas, and mobile homes- 2010</v>
      </c>
      <c r="B11" s="19"/>
      <c r="C11" s="19"/>
      <c r="D11" s="19"/>
      <c r="E11" s="309">
        <v>49214</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0.203</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t="str">
        <f>inputPrYr!B19</f>
        <v>Cemetery</v>
      </c>
      <c r="B20" s="291"/>
      <c r="C20" s="19"/>
      <c r="D20" s="315">
        <v>0.626</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0.829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2164701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103</v>
      </c>
    </row>
    <row r="32" spans="1:5" ht="15.75">
      <c r="A32" s="322" t="s">
        <v>289</v>
      </c>
      <c r="B32" s="291"/>
      <c r="C32" s="291"/>
      <c r="D32" s="31"/>
      <c r="E32" s="34">
        <v>3</v>
      </c>
    </row>
    <row r="33" spans="1:5" ht="15.75">
      <c r="A33" s="322" t="s">
        <v>165</v>
      </c>
      <c r="B33" s="291"/>
      <c r="C33" s="291"/>
      <c r="D33" s="31"/>
      <c r="E33" s="34">
        <v>24</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4526</v>
      </c>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t="str">
        <f>inputPrYr!B19</f>
        <v>Cemetery</v>
      </c>
      <c r="B49" s="36">
        <v>6300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821</v>
      </c>
      <c r="C5" s="387"/>
      <c r="D5" s="384" t="s">
        <v>802</v>
      </c>
      <c r="E5" s="383"/>
      <c r="F5" s="383"/>
    </row>
    <row r="6" spans="1:6" ht="15.75">
      <c r="A6" s="384"/>
      <c r="B6" s="388"/>
      <c r="C6" s="389"/>
      <c r="D6" s="384" t="s">
        <v>801</v>
      </c>
      <c r="E6" s="383"/>
      <c r="F6" s="383"/>
    </row>
    <row r="7" spans="1:6" ht="15.75">
      <c r="A7" s="384" t="s">
        <v>387</v>
      </c>
      <c r="B7" s="386" t="s">
        <v>822</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tabSelected="1" zoomScale="50" zoomScaleNormal="50"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6">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Coffey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Spring Creek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2170</v>
      </c>
      <c r="F20" s="172">
        <f>IF(gen!$E$57&lt;&gt;0,gen!$E$57,0)</f>
        <v>440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Cemetery</v>
      </c>
      <c r="C23" s="284" t="str">
        <f>IF(inputPrYr!C19&gt;0,inputPrYr!C19,"  ")</f>
        <v>17-1344</v>
      </c>
      <c r="D23" s="285" t="str">
        <f>IF(levypage9!C77&gt;0,levypage9!C77,"  ")</f>
        <v>  </v>
      </c>
      <c r="E23" s="172">
        <f>IF(levypage9!$E$32&lt;&gt;0,levypage9!$E$32,"  ")</f>
        <v>7422</v>
      </c>
      <c r="F23" s="172">
        <f>IF(levypage9!$E$39&lt;&gt;0,levypage9!$E$39,"  ")</f>
        <v>1350</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9592</v>
      </c>
      <c r="F33" s="292">
        <f>SUM(F20:F28)</f>
        <v>1790</v>
      </c>
      <c r="G33" s="293">
        <f>IF(SUM(G20:G28)&gt;0,SUM(G20:G28),"")</f>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7">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Spring Creek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1794</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1794</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7564</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53239</v>
      </c>
      <c r="F14" s="270"/>
      <c r="G14" s="55"/>
      <c r="H14" s="55"/>
      <c r="I14" s="53"/>
      <c r="J14" s="55"/>
    </row>
    <row r="15" spans="1:10" ht="15.75">
      <c r="A15" s="269"/>
      <c r="B15" s="14" t="s">
        <v>91</v>
      </c>
      <c r="C15" s="14" t="str">
        <f>CONCATENATE("Personal Property ",J1-2,"")</f>
        <v>Personal Property 2010</v>
      </c>
      <c r="D15" s="269" t="s">
        <v>86</v>
      </c>
      <c r="E15" s="273">
        <f>inputOth!E11</f>
        <v>49214</v>
      </c>
      <c r="F15" s="270"/>
      <c r="G15" s="53"/>
      <c r="H15" s="53"/>
      <c r="I15" s="55"/>
      <c r="J15" s="55"/>
    </row>
    <row r="16" spans="1:10" ht="15.75">
      <c r="A16" s="269"/>
      <c r="B16" s="14" t="s">
        <v>92</v>
      </c>
      <c r="C16" s="14" t="s">
        <v>112</v>
      </c>
      <c r="D16" s="14"/>
      <c r="E16" s="55"/>
      <c r="F16" s="55" t="s">
        <v>15</v>
      </c>
      <c r="G16" s="271">
        <f>IF(E14&gt;E15,E14-E15,0)</f>
        <v>4025</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41865</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53454</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2289687</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2236233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0.023903591441500057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43</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1837</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1837</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Spring Creek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440</v>
      </c>
      <c r="E11" s="253">
        <f>IF(inputOth!D17&gt;0,inputOth!D17,"  ")</f>
        <v>0.203</v>
      </c>
      <c r="F11" s="254"/>
      <c r="G11" s="96">
        <f>IF(inputPrYr!E16=0,0,G22-SUM(G12:G19))</f>
        <v>25</v>
      </c>
      <c r="H11" s="255"/>
      <c r="I11" s="96">
        <f>IF(inputPrYr!E16=0,0,I24-SUM(I12:I19))</f>
        <v>1</v>
      </c>
      <c r="J11" s="96">
        <f>IF(inputPrYr!E16=0,0,J26-SUM(J12:J19))</f>
        <v>6</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Cemetery</v>
      </c>
      <c r="C14" s="252"/>
      <c r="D14" s="96">
        <f>IF(inputPrYr!E19&gt;=0,inputPrYr!E19,"  ")</f>
        <v>1354</v>
      </c>
      <c r="E14" s="253">
        <f>IF(inputOth!D20&gt;0,inputOth!D20,"  ")</f>
        <v>0.626</v>
      </c>
      <c r="F14" s="254"/>
      <c r="G14" s="96">
        <f>IF(inputPrYr!E19=0,0,ROUND(D14*$G$30,0))</f>
        <v>78</v>
      </c>
      <c r="H14" s="255"/>
      <c r="I14" s="96">
        <f>IF(inputPrYr!$E$19=0,0,ROUND($D$14*$I$32,0))</f>
        <v>2</v>
      </c>
      <c r="J14" s="96">
        <f>IF(inputPrYr!E19=0,0,ROUND($D14*$J$34,0))</f>
        <v>18</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1794</v>
      </c>
      <c r="E20" s="259">
        <f>SUM(E11:E19)</f>
        <v>0.829</v>
      </c>
      <c r="F20" s="260"/>
      <c r="G20" s="258">
        <f>SUM(G11:G19)</f>
        <v>103</v>
      </c>
      <c r="H20" s="258"/>
      <c r="I20" s="258">
        <f>SUM(I11:I19)</f>
        <v>3</v>
      </c>
      <c r="J20" s="258">
        <f>SUM(J11:J19)</f>
        <v>24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103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3</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24</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0.05741360089186176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0.0016722408026755853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0.013377926421404682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Spring Creek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2011-09-26T19:42:24Z</cp:lastPrinted>
  <dcterms:created xsi:type="dcterms:W3CDTF">1998-08-26T16:30:41Z</dcterms:created>
  <dcterms:modified xsi:type="dcterms:W3CDTF">2011-12-13T17:31:48Z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