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Publication"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1">'summ'!$B$1:$I$47</definedName>
  </definedNames>
  <calcPr fullCalcOnLoad="1"/>
</workbook>
</file>

<file path=xl/sharedStrings.xml><?xml version="1.0" encoding="utf-8"?>
<sst xmlns="http://schemas.openxmlformats.org/spreadsheetml/2006/main" count="1374" uniqueCount="823">
  <si>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</si>
  <si>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</si>
  <si>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</si>
  <si>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</si>
  <si>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</si>
  <si>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</si>
  <si>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</si>
  <si>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</si>
  <si>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</si>
  <si>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</si>
  <si>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</si>
  <si>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</si>
  <si>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</si>
  <si>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</si>
  <si>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</si>
  <si>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</si>
  <si>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</si>
  <si>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</si>
  <si>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</si>
  <si>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</si>
  <si>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</si>
  <si>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</si>
  <si>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</si>
  <si>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</si>
  <si>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</si>
  <si>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</si>
  <si>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</si>
  <si>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</si>
  <si>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</si>
  <si>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</si>
  <si>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</si>
  <si>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</si>
  <si>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</si>
  <si>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</si>
  <si>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</si>
  <si>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</si>
  <si>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</si>
  <si>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</si>
  <si>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</si>
  <si>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</si>
  <si>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</si>
  <si>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</si>
  <si>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</si>
  <si>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</si>
  <si>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</si>
  <si>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</si>
  <si>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</si>
  <si>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</si>
  <si>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</si>
  <si>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</si>
  <si>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</si>
  <si>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</si>
  <si>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</si>
  <si>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</si>
  <si>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</si>
  <si>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</si>
  <si>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</si>
  <si>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</si>
  <si>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</si>
  <si>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</si>
  <si>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</si>
  <si>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</si>
  <si>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</si>
  <si>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</si>
  <si>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</si>
  <si>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</si>
  <si>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</si>
  <si>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</si>
  <si>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</si>
  <si>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</si>
  <si>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</si>
  <si>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</si>
  <si>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</si>
  <si>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</si>
  <si>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</si>
  <si>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</si>
  <si>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</si>
  <si>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</si>
  <si>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</si>
  <si>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</si>
  <si>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</si>
  <si>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</si>
  <si>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</si>
  <si>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</si>
  <si>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</si>
  <si>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</si>
  <si>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</si>
  <si>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</si>
  <si>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</si>
  <si>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</si>
  <si>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</si>
  <si>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</si>
  <si>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</si>
  <si>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</si>
  <si>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</si>
  <si>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</si>
  <si>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</si>
  <si>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</si>
  <si>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</si>
  <si>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</si>
  <si>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</si>
  <si>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</si>
  <si>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</si>
  <si>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</si>
  <si>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</si>
  <si>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</si>
  <si>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</si>
  <si>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</si>
  <si>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</si>
  <si>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</si>
  <si>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</si>
  <si>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</si>
  <si>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</si>
  <si>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</si>
  <si>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</si>
  <si>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</si>
  <si>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</si>
  <si>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</si>
  <si>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</si>
  <si>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</si>
  <si>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</si>
  <si>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</si>
  <si>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</si>
  <si>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</si>
  <si>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</si>
  <si>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</si>
  <si>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</si>
  <si>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</si>
  <si>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</si>
  <si>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</si>
  <si>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</si>
  <si>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</si>
  <si>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</si>
  <si>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</si>
  <si>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</si>
  <si>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</si>
  <si>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</si>
  <si>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</si>
  <si>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</si>
  <si>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</si>
  <si>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</si>
  <si>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</si>
  <si>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</si>
  <si>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</si>
  <si>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</si>
  <si>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</si>
  <si>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</si>
  <si>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</si>
  <si>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</si>
  <si>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</si>
  <si>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</si>
  <si>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</si>
  <si>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</si>
  <si>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</si>
  <si>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</si>
  <si>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</si>
  <si>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</si>
  <si>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</si>
  <si>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</si>
  <si>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</si>
  <si>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</si>
  <si>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</si>
  <si>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</si>
  <si>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</si>
  <si>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</si>
  <si>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</si>
  <si>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</si>
  <si>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</si>
  <si>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</si>
  <si>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</si>
  <si>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</si>
  <si>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</si>
  <si>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</si>
  <si>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</si>
  <si>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</si>
  <si>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</si>
  <si>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</si>
  <si>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</si>
  <si>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</si>
  <si>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</si>
  <si>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</si>
  <si>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</si>
  <si>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</si>
  <si>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</si>
  <si>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</si>
  <si>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</si>
  <si>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</si>
  <si>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</si>
  <si>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</si>
  <si>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</si>
  <si>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</si>
  <si>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</si>
  <si>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</si>
  <si>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</si>
  <si>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</si>
  <si>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</si>
  <si>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</si>
  <si>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</si>
  <si>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</si>
  <si>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</si>
  <si>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</si>
  <si>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</si>
  <si>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</si>
  <si>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</si>
  <si>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</si>
  <si>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</si>
  <si>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</si>
  <si>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</si>
  <si>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</si>
  <si>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</si>
  <si>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</si>
  <si>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</si>
  <si>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</si>
  <si>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</si>
  <si>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</si>
  <si>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</si>
  <si>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</si>
  <si>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</si>
  <si>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</si>
  <si>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</si>
  <si>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</si>
  <si>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</si>
  <si>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</si>
  <si>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</si>
  <si>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</si>
  <si>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</si>
  <si>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</si>
  <si>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</si>
  <si>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</si>
  <si>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</si>
  <si>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</si>
  <si>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</si>
  <si>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</si>
  <si>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</si>
  <si>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</si>
  <si>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</si>
  <si>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</si>
  <si>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</si>
  <si>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</si>
  <si>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</si>
  <si>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</si>
  <si>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</si>
  <si>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</si>
  <si>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</si>
  <si>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</si>
  <si>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</si>
  <si>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</si>
  <si>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</si>
  <si>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</si>
  <si>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</si>
  <si>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</si>
  <si>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</si>
  <si>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</si>
  <si>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</si>
  <si>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</si>
  <si>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</si>
  <si>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</si>
  <si>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</si>
  <si>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</si>
  <si>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</si>
  <si>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</si>
  <si>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</si>
  <si>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</si>
  <si>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</si>
  <si>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</si>
  <si>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</si>
  <si>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</si>
  <si>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</si>
  <si>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</si>
  <si>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</si>
  <si>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</si>
  <si>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</si>
  <si>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</si>
  <si>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</si>
  <si>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</si>
  <si>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</si>
  <si>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</si>
  <si>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</si>
  <si>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</si>
  <si>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</si>
  <si>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</si>
  <si>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</si>
  <si>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</si>
  <si>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</si>
  <si>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</si>
  <si>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</si>
  <si>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</si>
  <si>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</si>
  <si>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</si>
  <si>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</si>
  <si>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</si>
  <si>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</si>
  <si>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</si>
  <si>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</si>
  <si>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</si>
  <si>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</si>
  <si>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</si>
  <si>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</si>
  <si>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</si>
  <si>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</si>
  <si>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</si>
  <si>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</si>
  <si>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</si>
  <si>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</si>
  <si>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</si>
  <si>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</si>
  <si>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</si>
  <si>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</si>
  <si>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</si>
  <si>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</si>
  <si>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</si>
  <si>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</si>
  <si>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</si>
  <si>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</si>
  <si>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</si>
  <si>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</si>
  <si>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</si>
  <si>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</si>
  <si>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</si>
  <si>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</si>
  <si>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</si>
  <si>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</si>
  <si>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</si>
  <si>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</si>
  <si>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</si>
  <si>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</si>
  <si>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</si>
  <si>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</si>
  <si>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</si>
  <si>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</si>
  <si>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</si>
  <si>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</si>
  <si>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</si>
  <si>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</si>
  <si>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</si>
  <si>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</si>
  <si>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</si>
  <si>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</si>
  <si>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</si>
  <si>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</si>
  <si>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</si>
  <si>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</si>
  <si>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</si>
  <si>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</si>
  <si>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</si>
  <si>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</si>
  <si>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</si>
  <si>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</si>
  <si>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</si>
  <si>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</si>
  <si>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</si>
  <si>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</si>
  <si>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</si>
  <si>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</si>
  <si>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</si>
  <si>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</si>
  <si>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</si>
  <si>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</si>
  <si>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</si>
  <si>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</si>
  <si>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</si>
  <si>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</si>
  <si>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</si>
  <si>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</si>
  <si>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</si>
  <si>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</si>
  <si>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</si>
  <si>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</si>
  <si>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</si>
  <si>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</si>
  <si>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</si>
  <si>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</si>
  <si>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</si>
  <si>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</si>
  <si>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</si>
  <si>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</si>
  <si>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</si>
  <si>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</si>
  <si>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</si>
  <si>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</si>
  <si>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</si>
  <si>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</si>
  <si>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</si>
  <si>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</si>
  <si>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</si>
  <si>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</si>
  <si>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</si>
  <si>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</si>
  <si>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</si>
  <si>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</si>
  <si>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</si>
  <si>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</si>
  <si>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</si>
  <si>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</si>
  <si>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</si>
  <si>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</si>
  <si>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</si>
  <si>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</si>
  <si>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</si>
  <si>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</si>
  <si>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</si>
  <si>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</si>
  <si>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</si>
  <si>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</si>
  <si>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</si>
  <si>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</si>
  <si>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</si>
  <si>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</si>
  <si>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</si>
  <si>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</si>
  <si>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</si>
  <si>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</si>
  <si>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</si>
  <si>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</si>
  <si>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</si>
  <si>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</si>
  <si>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</si>
  <si>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</si>
  <si>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</si>
  <si>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</si>
  <si>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</si>
  <si>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</si>
  <si>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</si>
  <si>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</si>
  <si>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</si>
  <si>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</si>
  <si>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</si>
  <si>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</si>
  <si>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</si>
  <si>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</si>
  <si>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</si>
  <si>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</si>
  <si>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</si>
  <si>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</si>
  <si>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</si>
  <si>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</si>
  <si>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</si>
  <si>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</si>
  <si>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</si>
  <si>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</si>
  <si>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</si>
  <si>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</si>
  <si>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</si>
  <si>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</si>
  <si>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</si>
  <si>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</si>
  <si>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</si>
  <si>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</si>
  <si>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</si>
  <si>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</si>
  <si>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</si>
  <si>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</si>
  <si>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</si>
  <si>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</si>
  <si>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</si>
  <si>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</si>
  <si>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</si>
  <si>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</si>
  <si>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</si>
  <si>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</si>
  <si>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</si>
  <si>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</si>
  <si>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</si>
  <si>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</si>
  <si>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</si>
  <si>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</si>
  <si>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</si>
  <si>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</si>
  <si>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</si>
  <si>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</si>
  <si>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</si>
  <si>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</si>
  <si>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</si>
  <si>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</si>
  <si>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</si>
  <si>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</si>
  <si>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</si>
  <si>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</si>
  <si>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</si>
  <si>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</si>
  <si>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</si>
  <si>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</si>
  <si>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</si>
  <si>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</si>
  <si>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</si>
  <si>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</si>
  <si>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</si>
  <si>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</si>
  <si>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</si>
  <si>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</si>
  <si>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</si>
  <si>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</si>
  <si>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</si>
  <si>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</si>
  <si>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</si>
  <si>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</si>
  <si>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</si>
  <si>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</si>
  <si>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</si>
  <si>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</si>
  <si>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</si>
  <si>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</si>
  <si>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</si>
  <si>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</si>
  <si>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</si>
  <si>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</si>
  <si>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</si>
  <si>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</si>
  <si>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</si>
  <si>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</si>
  <si>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</si>
  <si>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</si>
  <si>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</si>
  <si>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</si>
  <si>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</si>
  <si>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</si>
  <si>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</si>
  <si>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</si>
  <si>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</si>
  <si>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</si>
  <si>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</si>
  <si>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</si>
  <si>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</si>
  <si>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</si>
  <si>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</si>
  <si>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</si>
  <si>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</si>
  <si>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</si>
  <si>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</si>
  <si>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</si>
  <si>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</si>
  <si>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</si>
  <si>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</si>
  <si>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</si>
  <si>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</si>
  <si>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</si>
  <si>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</si>
  <si>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</si>
  <si>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</si>
  <si>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</si>
  <si>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</si>
  <si>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</si>
  <si>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</si>
  <si>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</si>
  <si>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</si>
  <si>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</si>
  <si>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</si>
  <si>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</si>
  <si>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</si>
  <si>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</si>
  <si>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</si>
  <si>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</si>
  <si>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</si>
  <si>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</si>
  <si>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</si>
  <si>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</si>
  <si>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</si>
  <si>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</si>
  <si>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</si>
  <si>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</si>
  <si>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</si>
  <si>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</si>
  <si>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</si>
  <si>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</si>
  <si>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</si>
  <si>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</si>
  <si>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</si>
  <si>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</si>
  <si>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</si>
  <si>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</si>
  <si>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</si>
  <si>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</si>
  <si>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</si>
  <si>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</si>
  <si>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</si>
  <si>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</si>
  <si>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</si>
  <si>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</si>
  <si>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</si>
  <si>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</si>
  <si>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</si>
  <si>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</si>
  <si>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</si>
  <si>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</si>
  <si>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</si>
  <si>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</si>
  <si>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</si>
  <si>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</si>
  <si>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</si>
  <si>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</si>
  <si>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</si>
  <si>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</si>
  <si>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</si>
  <si>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</si>
  <si>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</si>
  <si>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</si>
  <si>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</si>
  <si>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</si>
  <si>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</si>
  <si>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</si>
  <si>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</si>
  <si>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</si>
  <si>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</si>
  <si>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</si>
  <si>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</si>
  <si>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</si>
  <si>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</si>
  <si>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</si>
  <si>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</si>
  <si>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</si>
  <si>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</si>
  <si>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</si>
  <si>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</si>
  <si>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</si>
  <si>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</si>
  <si>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</si>
  <si>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</si>
  <si>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</si>
  <si>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</si>
  <si>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</si>
  <si>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</si>
  <si>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</si>
  <si>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</si>
  <si>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</si>
  <si>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</si>
  <si>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</si>
  <si>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</si>
  <si>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</si>
  <si>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</si>
  <si>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</si>
  <si>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</si>
  <si>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</si>
  <si>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</si>
  <si>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</si>
  <si>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</si>
  <si>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</si>
  <si>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</si>
  <si>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</si>
  <si>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</si>
  <si>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</si>
  <si>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</si>
  <si>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</si>
  <si>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</si>
  <si>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</si>
  <si>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</si>
  <si>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</si>
  <si>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</si>
  <si>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</si>
  <si>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</si>
  <si>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</si>
  <si>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</si>
  <si>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</si>
  <si>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</si>
  <si>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</si>
  <si>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</si>
  <si>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</si>
  <si>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</si>
  <si>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</si>
  <si>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</si>
  <si>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</si>
  <si>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</si>
  <si>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</si>
  <si>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</si>
  <si>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</si>
  <si>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</si>
  <si>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</si>
  <si>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</si>
  <si>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</si>
  <si>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</si>
  <si>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</si>
  <si>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</si>
  <si>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</si>
  <si>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</si>
  <si>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</si>
  <si>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</si>
  <si>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</si>
  <si>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</si>
  <si>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</si>
  <si>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</si>
  <si>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</si>
  <si>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</si>
  <si>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</si>
  <si>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</si>
  <si>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</si>
  <si>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</si>
  <si>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</si>
  <si>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</si>
  <si>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</si>
  <si>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</si>
  <si>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</si>
  <si>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</si>
  <si>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</si>
  <si>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</si>
  <si>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</si>
  <si>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</si>
  <si>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</si>
  <si>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</si>
  <si>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</si>
  <si>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</si>
  <si>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</si>
  <si>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</si>
  <si>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</si>
  <si>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</si>
  <si>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</si>
  <si>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</si>
  <si>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</si>
  <si>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</si>
  <si>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</si>
  <si>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</si>
  <si>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</si>
  <si>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</si>
  <si>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</si>
  <si>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</si>
  <si>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</si>
  <si>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</si>
  <si>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</si>
  <si>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</si>
  <si>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</si>
  <si>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</si>
  <si>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</si>
  <si>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</si>
  <si>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</si>
  <si>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</si>
  <si>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</si>
  <si>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</si>
  <si>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</si>
  <si>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</si>
  <si>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</si>
  <si>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</si>
  <si>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</si>
  <si>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</si>
  <si>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</si>
  <si>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</si>
  <si>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</si>
  <si>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</si>
  <si>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</si>
  <si>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</si>
  <si>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</si>
  <si>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</si>
  <si>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</si>
  <si>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</si>
  <si>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</si>
  <si>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</si>
  <si>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</si>
  <si>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</si>
  <si>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</si>
  <si>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</si>
  <si>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</si>
  <si>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</si>
  <si>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</si>
  <si>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</si>
  <si>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</si>
  <si>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</si>
  <si>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</si>
  <si>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</si>
  <si>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</si>
  <si>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</si>
  <si>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</si>
  <si>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</si>
  <si>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</si>
  <si>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</si>
  <si>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</si>
  <si>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</si>
  <si>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</si>
  <si>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</si>
  <si>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</si>
  <si>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</si>
  <si>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</si>
  <si>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</si>
  <si>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</si>
  <si>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</si>
  <si>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</si>
  <si>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</si>
  <si>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</si>
  <si>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</si>
  <si>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</si>
  <si>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</si>
  <si>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</si>
  <si>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</si>
  <si>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</si>
  <si>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</si>
  <si>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</si>
  <si>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</si>
  <si>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</si>
  <si>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</si>
  <si>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</si>
  <si>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</si>
  <si>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</si>
  <si>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</si>
  <si>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</si>
  <si>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</si>
  <si>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</si>
  <si>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</si>
  <si>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</si>
  <si>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</si>
  <si>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</si>
  <si>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</si>
  <si>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</si>
  <si>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</si>
  <si>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</si>
  <si>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</si>
  <si>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</si>
  <si>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</si>
  <si>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</si>
  <si>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</si>
  <si>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</si>
  <si>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</si>
  <si>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</si>
  <si>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</si>
  <si>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</si>
  <si>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</si>
  <si>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</si>
  <si>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</si>
  <si>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</si>
  <si>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Pottawatomie Township</t>
  </si>
  <si>
    <t>Coffey County</t>
  </si>
  <si>
    <t>Cemetery</t>
  </si>
  <si>
    <t>17-1311</t>
  </si>
  <si>
    <t>Publication</t>
  </si>
  <si>
    <t>Mowing</t>
  </si>
  <si>
    <t>August 29, 2011</t>
  </si>
  <si>
    <t>8:00 P.M.</t>
  </si>
  <si>
    <t>David Kunkels'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</si>
</sst>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523875</xdr:colOff>
      <xdr:row>102</xdr:row>
      <xdr:rowOff>95250</xdr:rowOff>
    </xdr:to>
    <xdr:pic>
      <xdr:nvPicPr>
        <xdr:cNvPr id="1" name="Picture 2"/>
        <xdr:cNvPicPr preferRelativeResize="1">
          <a:picLocks noChangeAspect="1"/>
        </xdr:cNvPicPr>
      </xdr:nvPicPr>
      <xdr:blipFill>
        <a:blip r:embed="rId1"/>
        <a:stretch>
          <a:fillRect/>
        </a:stretch>
      </xdr:blipFill>
      <xdr:spPr>
        <a:xfrm>
          <a:off x="0" y="0"/>
          <a:ext cx="16449675" cy="2049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7</xdr:row>
      <xdr:rowOff>114300</xdr:rowOff>
    </xdr:from>
    <xdr:to>
      <xdr:col>6</xdr:col>
      <xdr:colOff>790575</xdr:colOff>
      <xdr:row>27</xdr:row>
      <xdr:rowOff>152400</xdr:rowOff>
    </xdr:to>
    <xdr:pic>
      <xdr:nvPicPr>
        <xdr:cNvPr id="1" name="Picture 1"/>
        <xdr:cNvPicPr preferRelativeResize="1">
          <a:picLocks noChangeAspect="1"/>
        </xdr:cNvPicPr>
      </xdr:nvPicPr>
      <xdr:blipFill>
        <a:blip r:embed="rId1"/>
        <a:stretch>
          <a:fillRect/>
        </a:stretch>
      </xdr:blipFill>
      <xdr:spPr>
        <a:xfrm>
          <a:off x="114300" y="1514475"/>
          <a:ext cx="5705475" cy="403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Pottawatomie Township</v>
      </c>
      <c r="B1" s="179"/>
      <c r="C1" s="179"/>
      <c r="D1" s="179"/>
      <c r="E1" s="179"/>
      <c r="F1" s="179"/>
      <c r="G1" s="179"/>
      <c r="H1" s="179"/>
      <c r="I1" s="14"/>
      <c r="J1" s="14"/>
      <c r="K1" s="15">
        <f>inputPrYr!D5</f>
        <v>2012</v>
      </c>
    </row>
    <row r="2" spans="1:11" ht="15.75">
      <c r="A2" s="178" t="str">
        <f>inputPrYr!$D$3</f>
        <v>Coffey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C45">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Pottawatomie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891</v>
      </c>
      <c r="D6" s="418">
        <f>C51</f>
        <v>598</v>
      </c>
      <c r="E6" s="32">
        <f>D51</f>
        <v>337</v>
      </c>
    </row>
    <row r="7" spans="2:5" ht="15.75">
      <c r="B7" s="27" t="s">
        <v>124</v>
      </c>
      <c r="C7" s="418"/>
      <c r="D7" s="418"/>
      <c r="E7" s="33"/>
    </row>
    <row r="8" spans="2:5" ht="15.75">
      <c r="B8" s="27" t="s">
        <v>16</v>
      </c>
      <c r="C8" s="29">
        <v>902</v>
      </c>
      <c r="D8" s="418">
        <f>inputPrYr!E16</f>
        <v>900</v>
      </c>
      <c r="E8" s="33" t="s">
        <v>302</v>
      </c>
    </row>
    <row r="9" spans="2:5" ht="15.75">
      <c r="B9" s="27" t="s">
        <v>17</v>
      </c>
      <c r="C9" s="29">
        <v>11</v>
      </c>
      <c r="D9" s="29"/>
      <c r="E9" s="34"/>
    </row>
    <row r="10" spans="2:5" ht="15.75">
      <c r="B10" s="27" t="s">
        <v>18</v>
      </c>
      <c r="C10" s="29">
        <v>81</v>
      </c>
      <c r="D10" s="29">
        <v>83</v>
      </c>
      <c r="E10" s="32">
        <f>mvalloc!G11</f>
        <v>20</v>
      </c>
    </row>
    <row r="11" spans="2:5" ht="15.75">
      <c r="B11" s="27" t="s">
        <v>19</v>
      </c>
      <c r="C11" s="29">
        <v>6</v>
      </c>
      <c r="D11" s="29">
        <v>7</v>
      </c>
      <c r="E11" s="32">
        <f>mvalloc!I11</f>
        <v>5</v>
      </c>
    </row>
    <row r="12" spans="2:5" ht="15.75">
      <c r="B12" s="35" t="s">
        <v>72</v>
      </c>
      <c r="C12" s="29"/>
      <c r="D12" s="29">
        <v>9</v>
      </c>
      <c r="E12" s="32">
        <f>mvalloc!J11</f>
        <v>11</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1000</v>
      </c>
      <c r="D26" s="420">
        <f>SUM(D8:D24)</f>
        <v>999</v>
      </c>
      <c r="E26" s="42">
        <f>SUM(E8:E24)</f>
        <v>36</v>
      </c>
    </row>
    <row r="27" spans="2:5" ht="15.75">
      <c r="B27" s="43" t="s">
        <v>24</v>
      </c>
      <c r="C27" s="420">
        <f>C26+C6</f>
        <v>1891</v>
      </c>
      <c r="D27" s="420">
        <f>D26+D6</f>
        <v>1597</v>
      </c>
      <c r="E27" s="42">
        <f>E26+E6</f>
        <v>373</v>
      </c>
    </row>
    <row r="28" spans="2:5" ht="15.75">
      <c r="B28" s="27" t="s">
        <v>25</v>
      </c>
      <c r="C28" s="418"/>
      <c r="D28" s="418"/>
      <c r="E28" s="32"/>
    </row>
    <row r="29" spans="2:5" ht="15.75">
      <c r="B29" s="37" t="s">
        <v>818</v>
      </c>
      <c r="C29" s="29">
        <v>53</v>
      </c>
      <c r="D29" s="29">
        <v>60</v>
      </c>
      <c r="E29" s="34">
        <v>73</v>
      </c>
    </row>
    <row r="30" spans="2:5" ht="15.75">
      <c r="B30" s="38" t="s">
        <v>105</v>
      </c>
      <c r="C30" s="29">
        <v>300</v>
      </c>
      <c r="D30" s="29">
        <v>300</v>
      </c>
      <c r="E30" s="34">
        <v>300</v>
      </c>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v>940</v>
      </c>
      <c r="D35" s="29">
        <v>900</v>
      </c>
      <c r="E35" s="34">
        <v>900</v>
      </c>
    </row>
    <row r="36" spans="2:5" ht="15.75">
      <c r="B36" s="38" t="s">
        <v>132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1293</v>
      </c>
      <c r="D50" s="412">
        <f>SUM(D29:D48)</f>
        <v>1260</v>
      </c>
      <c r="E50" s="47">
        <f>SUM(E29:E43,E45,E47:E48)</f>
        <v>1273</v>
      </c>
      <c r="G50" s="534"/>
      <c r="H50" s="535"/>
      <c r="I50" s="535"/>
      <c r="J50" s="536"/>
    </row>
    <row r="51" spans="2:10" ht="15.75">
      <c r="B51" s="27" t="s">
        <v>123</v>
      </c>
      <c r="C51" s="413">
        <f>C27-C50</f>
        <v>598</v>
      </c>
      <c r="D51" s="413">
        <f>SUM(D27-D50)</f>
        <v>337</v>
      </c>
      <c r="E51" s="33" t="s">
        <v>302</v>
      </c>
      <c r="G51" s="537">
        <f>D51</f>
        <v>337</v>
      </c>
      <c r="H51" s="538" t="str">
        <f>CONCATENATE("",E1-1," Ending Cash Balance (est.)")</f>
        <v>2011 Ending Cash Balance (est.)</v>
      </c>
      <c r="I51" s="539"/>
      <c r="J51" s="536"/>
    </row>
    <row r="52" spans="2:10" ht="15.75">
      <c r="B52" s="48" t="str">
        <f>CONCATENATE("",E1-2,"/",E1-1," Budget Authority Amount:")</f>
        <v>2010/2011 Budget Authority Amount:</v>
      </c>
      <c r="C52" s="143">
        <f>inputOth!B46</f>
        <v>2045</v>
      </c>
      <c r="D52" s="172">
        <f>inputPrYr!D16</f>
        <v>2135</v>
      </c>
      <c r="E52" s="33" t="s">
        <v>302</v>
      </c>
      <c r="F52" s="50"/>
      <c r="G52" s="537">
        <f>E26</f>
        <v>36</v>
      </c>
      <c r="H52" s="540" t="str">
        <f>CONCATENATE("",E1," Non-AV Receipts (est.)")</f>
        <v>2012 Non-AV Receipts (est.)</v>
      </c>
      <c r="I52" s="540"/>
      <c r="J52" s="536"/>
    </row>
    <row r="53" spans="2:10" ht="15.75">
      <c r="B53" s="48"/>
      <c r="C53" s="652" t="s">
        <v>646</v>
      </c>
      <c r="D53" s="653"/>
      <c r="E53" s="34"/>
      <c r="F53" s="533">
        <f>IF(E50/0.95-E50&lt;E53,"Exceeds 5%","")</f>
      </c>
      <c r="G53" s="541">
        <f>E57</f>
        <v>900</v>
      </c>
      <c r="H53" s="540" t="str">
        <f>CONCATENATE("",E1," Ad Valorem Tax (est.)")</f>
        <v>2012 Ad Valorem Tax (est.)</v>
      </c>
      <c r="I53" s="540"/>
      <c r="J53" s="536"/>
    </row>
    <row r="54" spans="2:10" ht="15.75">
      <c r="B54" s="436" t="str">
        <f>CONCATENATE(C72,"     ",D72)</f>
        <v>     </v>
      </c>
      <c r="C54" s="654" t="s">
        <v>647</v>
      </c>
      <c r="D54" s="655"/>
      <c r="E54" s="32">
        <f>E50+E53</f>
        <v>1273</v>
      </c>
      <c r="G54" s="537">
        <f>SUM(G51:G53)</f>
        <v>1273</v>
      </c>
      <c r="H54" s="540" t="str">
        <f>CONCATENATE("Total ",E1," Resources Available")</f>
        <v>Total 2012 Resources Available</v>
      </c>
      <c r="I54" s="539"/>
      <c r="J54" s="536"/>
    </row>
    <row r="55" spans="2:10" ht="15.75">
      <c r="B55" s="436" t="str">
        <f>CONCATENATE(C73,"     ",D73)</f>
        <v>     </v>
      </c>
      <c r="C55" s="60"/>
      <c r="D55" s="52" t="s">
        <v>28</v>
      </c>
      <c r="E55" s="46">
        <f>IF(E54-E27&gt;0,E54-E27,0)</f>
        <v>900</v>
      </c>
      <c r="G55" s="542"/>
      <c r="H55" s="540"/>
      <c r="I55" s="540"/>
      <c r="J55" s="536"/>
    </row>
    <row r="56" spans="2:10" ht="15.75">
      <c r="B56" s="52"/>
      <c r="C56" s="440" t="s">
        <v>648</v>
      </c>
      <c r="D56" s="432">
        <f>inputOth!$E$40</f>
        <v>0</v>
      </c>
      <c r="E56" s="32">
        <f>ROUND(IF(D56&gt;0,(E55*D56),0),0)</f>
        <v>0</v>
      </c>
      <c r="G56" s="541">
        <f>C50*0.05+C50</f>
        <v>1357.65</v>
      </c>
      <c r="H56" s="540" t="str">
        <f>CONCATENATE("Less ",E1-2," Expenditures + 5%")</f>
        <v>Less 2010 Expenditures + 5%</v>
      </c>
      <c r="I56" s="539"/>
      <c r="J56" s="536"/>
    </row>
    <row r="57" spans="2:10" ht="15.75">
      <c r="B57" s="14"/>
      <c r="C57" s="650" t="str">
        <f>CONCATENATE("Amount of  ",$E$1-1," Ad Valorem Tax")</f>
        <v>Amount of  2011 Ad Valorem Tax</v>
      </c>
      <c r="D57" s="651"/>
      <c r="E57" s="46">
        <f>E55+E56</f>
        <v>900</v>
      </c>
      <c r="G57" s="543">
        <f>G54-G56</f>
        <v>-84.65000000000009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0.362</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Pottawatomie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Pottawatomie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C27">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Pottawatomie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610</v>
      </c>
      <c r="D6" s="418">
        <f>C33</f>
        <v>1008</v>
      </c>
      <c r="E6" s="32">
        <f>D33</f>
        <v>1541</v>
      </c>
    </row>
    <row r="7" spans="2:5" ht="15.75">
      <c r="B7" s="27" t="s">
        <v>124</v>
      </c>
      <c r="C7" s="418"/>
      <c r="D7" s="418"/>
      <c r="E7" s="33"/>
    </row>
    <row r="8" spans="2:5" ht="15.75">
      <c r="B8" s="27" t="s">
        <v>16</v>
      </c>
      <c r="C8" s="29">
        <v>2190</v>
      </c>
      <c r="D8" s="418">
        <f>inputPrYr!E19</f>
        <v>2249</v>
      </c>
      <c r="E8" s="33" t="s">
        <v>302</v>
      </c>
    </row>
    <row r="9" spans="2:5" ht="15.75">
      <c r="B9" s="27" t="s">
        <v>17</v>
      </c>
      <c r="C9" s="29"/>
      <c r="D9" s="29"/>
      <c r="E9" s="34"/>
    </row>
    <row r="10" spans="2:5" ht="15.75">
      <c r="B10" s="27" t="s">
        <v>18</v>
      </c>
      <c r="C10" s="29">
        <v>161</v>
      </c>
      <c r="D10" s="29">
        <v>201</v>
      </c>
      <c r="E10" s="32">
        <f>mvalloc!G14</f>
        <v>49</v>
      </c>
    </row>
    <row r="11" spans="2:5" ht="15.75">
      <c r="B11" s="27" t="s">
        <v>19</v>
      </c>
      <c r="C11" s="29">
        <v>12</v>
      </c>
      <c r="D11" s="29">
        <v>63</v>
      </c>
      <c r="E11" s="32">
        <f>mvalloc!I14</f>
        <v>11</v>
      </c>
    </row>
    <row r="12" spans="2:5" ht="15.75">
      <c r="B12" s="35" t="s">
        <v>72</v>
      </c>
      <c r="C12" s="29"/>
      <c r="D12" s="29">
        <v>20</v>
      </c>
      <c r="E12" s="32">
        <f>mvalloc!J14</f>
        <v>26</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2363</v>
      </c>
      <c r="D20" s="420">
        <f>SUM(D8:D18)</f>
        <v>2533</v>
      </c>
      <c r="E20" s="42">
        <f>SUM(E8:E18)</f>
        <v>86</v>
      </c>
    </row>
    <row r="21" spans="2:5" ht="15.75">
      <c r="B21" s="43" t="s">
        <v>24</v>
      </c>
      <c r="C21" s="420">
        <f>C20+C6</f>
        <v>2973</v>
      </c>
      <c r="D21" s="420">
        <f>D20+D6</f>
        <v>3541</v>
      </c>
      <c r="E21" s="42">
        <f>E20+E6</f>
        <v>1627</v>
      </c>
    </row>
    <row r="22" spans="2:5" ht="15.75">
      <c r="B22" s="27" t="s">
        <v>25</v>
      </c>
      <c r="C22" s="418"/>
      <c r="D22" s="418"/>
      <c r="E22" s="32"/>
    </row>
    <row r="23" spans="2:5" ht="15.75">
      <c r="B23" s="38" t="s">
        <v>819</v>
      </c>
      <c r="C23" s="29">
        <v>1965</v>
      </c>
      <c r="D23" s="29">
        <v>2000</v>
      </c>
      <c r="E23" s="34">
        <v>3800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1965</v>
      </c>
      <c r="D32" s="420">
        <f>SUM(D23:D30)</f>
        <v>2000</v>
      </c>
      <c r="E32" s="42">
        <f>SUM(E23:E30)</f>
        <v>3800</v>
      </c>
    </row>
    <row r="33" spans="2:5" ht="15.75">
      <c r="B33" s="27" t="s">
        <v>123</v>
      </c>
      <c r="C33" s="413">
        <f>C21-C32</f>
        <v>1008</v>
      </c>
      <c r="D33" s="413">
        <f>D21-D32</f>
        <v>1541</v>
      </c>
      <c r="E33" s="33" t="s">
        <v>302</v>
      </c>
    </row>
    <row r="34" spans="2:6" ht="15.75">
      <c r="B34" s="48" t="str">
        <f>CONCATENATE("",E1-2,"/",E1-1," Budget Authority Amount:")</f>
        <v>2010/2011 Budget Authority Amount:</v>
      </c>
      <c r="C34" s="143">
        <f>inputOth!B49</f>
        <v>2890</v>
      </c>
      <c r="D34" s="172">
        <f>inputPrYr!D19</f>
        <v>2898</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3800</v>
      </c>
    </row>
    <row r="37" spans="2:5" ht="15.75">
      <c r="B37" s="436" t="str">
        <f>CONCATENATE(C89,"     ",D89)</f>
        <v>     </v>
      </c>
      <c r="C37" s="60"/>
      <c r="D37" s="52" t="s">
        <v>28</v>
      </c>
      <c r="E37" s="46">
        <f>IF(E36-E21&gt;0,E36-E21,0)</f>
        <v>2173</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2173</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Pottawatomie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Pottawatomie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Pottawatomie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Pottawatomie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63" sqref="E6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2135</v>
      </c>
      <c r="E16" s="200">
        <v>900</v>
      </c>
    </row>
    <row r="17" spans="1:5" ht="15.75">
      <c r="A17" s="14"/>
      <c r="B17" s="83" t="s">
        <v>312</v>
      </c>
      <c r="C17" s="172" t="s">
        <v>157</v>
      </c>
      <c r="D17" s="200"/>
      <c r="E17" s="200"/>
    </row>
    <row r="18" spans="1:5" ht="15.75">
      <c r="A18" s="14"/>
      <c r="B18" s="83" t="s">
        <v>287</v>
      </c>
      <c r="C18" s="192" t="s">
        <v>327</v>
      </c>
      <c r="D18" s="200"/>
      <c r="E18" s="200"/>
    </row>
    <row r="19" spans="1:5" ht="15.75">
      <c r="A19" s="14"/>
      <c r="B19" s="410" t="s">
        <v>816</v>
      </c>
      <c r="C19" s="411" t="s">
        <v>817</v>
      </c>
      <c r="D19" s="200">
        <v>2898</v>
      </c>
      <c r="E19" s="200">
        <v>2249</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3149</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5033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0.347</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Cemetery</v>
      </c>
      <c r="C44" s="14"/>
      <c r="D44" s="348">
        <v>0.845</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1.192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3092</v>
      </c>
    </row>
    <row r="53" spans="1:5" ht="15.75">
      <c r="A53" s="353" t="str">
        <f>CONCATENATE("Assessed Valuation (",D5-2," budget column)")</f>
        <v>Assessed Valuation (2010 budget column)</v>
      </c>
      <c r="B53" s="354"/>
      <c r="C53" s="291"/>
      <c r="D53" s="28"/>
      <c r="E53" s="200">
        <v>2594829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7">
      <selection activeCell="B2" sqref="B2"/>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Pottawatomie Township</v>
      </c>
      <c r="C4" s="679"/>
      <c r="D4" s="679"/>
      <c r="E4" s="679"/>
      <c r="F4" s="679"/>
      <c r="G4" s="679"/>
      <c r="H4" s="679"/>
      <c r="I4" s="679"/>
    </row>
    <row r="5" spans="2:9" ht="15.75">
      <c r="B5" s="679" t="str">
        <f>inputPrYr!D3</f>
        <v>Coffey County</v>
      </c>
      <c r="C5" s="679"/>
      <c r="D5" s="679"/>
      <c r="E5" s="679"/>
      <c r="F5" s="679"/>
      <c r="G5" s="679"/>
      <c r="H5" s="679"/>
      <c r="I5" s="679"/>
    </row>
    <row r="6" spans="2:9" ht="15.75">
      <c r="B6" s="678" t="str">
        <f>CONCATENATE("will meet on ",inputBudSum!B5," at ",inputBudSum!B7," at ",inputBudSum!B9," for the purpose of hearing and")</f>
        <v>will meet on August 29, 2011 at 8:00 P.M. at David Kunkels'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David Kunkels'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1293</v>
      </c>
      <c r="D17" s="592">
        <f>IF(inputPrYr!D41&gt;0,inputPrYr!D41,"  ")</f>
        <v>0.347</v>
      </c>
      <c r="E17" s="32">
        <f>IF(gen!$D$50&lt;&gt;0,gen!$D$50,"  ")</f>
        <v>1260</v>
      </c>
      <c r="F17" s="253">
        <f>IF(inputOth!D17&gt;0,inputOth!D17,"  ")</f>
        <v>0.355</v>
      </c>
      <c r="G17" s="32">
        <f>IF(gen!$E$50&lt;&gt;0,gen!$E$50,"  ")</f>
        <v>1273</v>
      </c>
      <c r="H17" s="32">
        <f>IF(gen!$E$57&lt;&gt;0,gen!$E$57," ")</f>
        <v>900</v>
      </c>
      <c r="I17" s="594">
        <f>IF(gen!E57&gt;0,ROUND(H17/$G$35*1000,3)," ")</f>
        <v>0.362</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Cemetery</v>
      </c>
      <c r="C20" s="32">
        <f>IF(levypage9!$C$32&lt;&gt;0,levypage9!$C$32,"  ")</f>
        <v>1965</v>
      </c>
      <c r="D20" s="592">
        <f>IF(inputPrYr!D44&gt;0,inputPrYr!D44,"  ")</f>
        <v>0.845</v>
      </c>
      <c r="E20" s="32">
        <f>IF(levypage9!$D$32&lt;&gt;0,levypage9!$D$32,"  ")</f>
        <v>2000</v>
      </c>
      <c r="F20" s="253">
        <f>IF(inputOth!D20&gt;0,inputOth!D20,"  ")</f>
        <v>0.89</v>
      </c>
      <c r="G20" s="32">
        <f>IF(levypage9!$E$32&lt;&gt;0,levypage9!$E$32,"  ")</f>
        <v>3800</v>
      </c>
      <c r="H20" s="32">
        <f>IF(levypage9!$E$39&lt;&gt;0,levypage9!$E$39,"  ")</f>
        <v>2173</v>
      </c>
      <c r="I20" s="594">
        <f>IF(levypage9!E39&gt;0,ROUND(H20/$G$35*1000,3)," ")</f>
        <v>0.874</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2485</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1.245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21</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3258</v>
      </c>
      <c r="D30" s="529">
        <f t="shared" si="0"/>
        <v>1.192</v>
      </c>
      <c r="E30" s="595">
        <f t="shared" si="0"/>
        <v>3260</v>
      </c>
      <c r="F30" s="529">
        <f t="shared" si="0"/>
        <v>1.245</v>
      </c>
      <c r="G30" s="595">
        <f t="shared" si="0"/>
        <v>5073</v>
      </c>
      <c r="H30" s="595">
        <f t="shared" si="0"/>
        <v>3073</v>
      </c>
      <c r="I30" s="598">
        <f t="shared" si="0"/>
        <v>1.236</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3258</v>
      </c>
      <c r="D32" s="14"/>
      <c r="E32" s="596">
        <f>E30-E31</f>
        <v>3260</v>
      </c>
      <c r="F32" s="14"/>
      <c r="G32" s="596">
        <f>G30-G31</f>
        <v>5073</v>
      </c>
      <c r="H32" s="14"/>
      <c r="I32" s="14"/>
      <c r="K32" s="575" t="str">
        <f>CONCATENATE("",I1," Ad Valorem Tax Revenue:")</f>
        <v>2012 Ad Valorem Tax Revenue:</v>
      </c>
      <c r="L32" s="569"/>
      <c r="M32" s="569"/>
      <c r="N32" s="570">
        <f>H30</f>
        <v>3073</v>
      </c>
    </row>
    <row r="33" spans="2:14" ht="16.5" thickTop="1">
      <c r="B33" s="83" t="s">
        <v>46</v>
      </c>
      <c r="C33" s="597">
        <f>inputPrYr!E52</f>
        <v>3092</v>
      </c>
      <c r="D33" s="62"/>
      <c r="E33" s="597">
        <f>inputPrYr!E25</f>
        <v>3149</v>
      </c>
      <c r="F33" s="14"/>
      <c r="G33" s="588" t="s">
        <v>302</v>
      </c>
      <c r="H33" s="14"/>
      <c r="I33" s="14"/>
      <c r="K33" s="575" t="str">
        <f>CONCATENATE("",I1-1," Ad Valorem Tax Revenue:")</f>
        <v>2011 Ad Valorem Tax Revenue:</v>
      </c>
      <c r="L33" s="569"/>
      <c r="M33" s="569"/>
      <c r="N33" s="583">
        <f>ROUND(G35*N25/1000,0)</f>
        <v>3094</v>
      </c>
    </row>
    <row r="34" spans="2:14" ht="15.75">
      <c r="B34" s="279" t="s">
        <v>47</v>
      </c>
      <c r="C34" s="55"/>
      <c r="D34" s="62"/>
      <c r="E34" s="55"/>
      <c r="F34" s="62"/>
      <c r="G34" s="14"/>
      <c r="H34" s="14"/>
      <c r="I34" s="14"/>
      <c r="K34" s="580" t="s">
        <v>747</v>
      </c>
      <c r="L34" s="581"/>
      <c r="M34" s="581"/>
      <c r="N34" s="573">
        <f>N32-N33</f>
        <v>-21</v>
      </c>
    </row>
    <row r="35" spans="2:14" ht="15.75">
      <c r="B35" s="606" t="s">
        <v>48</v>
      </c>
      <c r="C35" s="31">
        <f>inputPrYr!E53</f>
        <v>2594829</v>
      </c>
      <c r="D35" s="14"/>
      <c r="E35" s="32">
        <f>inputOth!E28</f>
        <v>2539391</v>
      </c>
      <c r="F35" s="14"/>
      <c r="G35" s="32">
        <f>inputOth!E7</f>
        <v>2485406</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1.236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Pottawatomie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2485406</v>
      </c>
      <c r="E18" s="14"/>
      <c r="F18" s="140"/>
    </row>
    <row r="19" spans="1:6" ht="15.75">
      <c r="A19" s="14"/>
      <c r="B19" s="14"/>
      <c r="C19" s="14"/>
      <c r="D19" s="14"/>
      <c r="E19" s="14"/>
      <c r="F19" s="140"/>
    </row>
    <row r="20" spans="1:6" ht="15.75">
      <c r="A20" s="14"/>
      <c r="B20" s="682" t="s">
        <v>379</v>
      </c>
      <c r="C20" s="682"/>
      <c r="D20" s="148">
        <f>IF(D18&gt;0,(D18*0.001),"")</f>
        <v>2485.406</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Pottawatomie Township </v>
      </c>
      <c r="I6">
        <f>CONCATENATE(I7)</f>
      </c>
    </row>
    <row r="7" spans="1:7" ht="15.75">
      <c r="A7" s="688" t="str">
        <f>CONCATENATE("   with respect to financing the ",inputPrYr!D5," annual budget for ",(inputPrYr!D2)," , ",(inputPrYr!D3)," , Kansas.")</f>
        <v>   with respect to financing the 2012 annual budget for Pottawatomie Township , Coffey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Pottawatomie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Pottawatomie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Pottawatomie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Pottawatomie Township of Coffey County, Kansas that is our desire to notify the public of increased property taxes to finance the 2012 Pottawatomie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Pottawatomie Township Board, Coffey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Pottawatomie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5">
      <selection activeCell="B58" sqref="B5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Pottawatomie Township</v>
      </c>
      <c r="B1" s="101"/>
      <c r="C1" s="101"/>
      <c r="D1" s="101"/>
      <c r="E1" s="101">
        <f>inputPrYr!D5</f>
        <v>2012</v>
      </c>
    </row>
    <row r="2" spans="1:5" ht="15.75">
      <c r="A2" s="99" t="str">
        <f>inputPrYr!D3</f>
        <v>Coffey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2485406</v>
      </c>
    </row>
    <row r="8" spans="1:5" ht="15.75">
      <c r="A8" s="22" t="str">
        <f>CONCATENATE("New Improvements for ",E1-1,"")</f>
        <v>New Improvements for 2011</v>
      </c>
      <c r="B8" s="19"/>
      <c r="C8" s="19"/>
      <c r="D8" s="19"/>
      <c r="E8" s="309">
        <v>18456</v>
      </c>
    </row>
    <row r="9" spans="1:5" ht="15.75">
      <c r="A9" s="22" t="str">
        <f>CONCATENATE("Personal Property excluding oil, gas, and mobile homes - ",E1-1,"")</f>
        <v>Personal Property excluding oil, gas, and mobile homes - 2011</v>
      </c>
      <c r="B9" s="19"/>
      <c r="C9" s="19"/>
      <c r="D9" s="19"/>
      <c r="E9" s="309">
        <v>108046</v>
      </c>
    </row>
    <row r="10" spans="1:5" ht="15.75">
      <c r="A10" s="22" t="str">
        <f>CONCATENATE("Property that has changed in use for ",E1-1,"")</f>
        <v>Property that has changed in use for 2011</v>
      </c>
      <c r="B10" s="19"/>
      <c r="C10" s="19"/>
      <c r="D10" s="19"/>
      <c r="E10" s="309">
        <v>31660</v>
      </c>
    </row>
    <row r="11" spans="1:5" ht="15.75">
      <c r="A11" s="22" t="str">
        <f>CONCATENATE("Personal Property excluding oil, gas, and mobile homes- ",E1-2,"")</f>
        <v>Personal Property excluding oil, gas, and mobile homes- 2010</v>
      </c>
      <c r="B11" s="19"/>
      <c r="C11" s="19"/>
      <c r="D11" s="19"/>
      <c r="E11" s="309">
        <v>111646</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0.355</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Cemetery</v>
      </c>
      <c r="B20" s="291"/>
      <c r="C20" s="19"/>
      <c r="D20" s="315">
        <v>0.89</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1.245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2539391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69</v>
      </c>
    </row>
    <row r="32" spans="1:5" ht="15.75">
      <c r="A32" s="322" t="s">
        <v>289</v>
      </c>
      <c r="B32" s="291"/>
      <c r="C32" s="291"/>
      <c r="D32" s="31"/>
      <c r="E32" s="34">
        <v>16</v>
      </c>
    </row>
    <row r="33" spans="1:5" ht="15.75">
      <c r="A33" s="322" t="s">
        <v>165</v>
      </c>
      <c r="B33" s="291"/>
      <c r="C33" s="291"/>
      <c r="D33" s="31"/>
      <c r="E33" s="34">
        <v>37</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2045</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v>2890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820</v>
      </c>
      <c r="C5" s="387"/>
      <c r="D5" s="384" t="s">
        <v>802</v>
      </c>
      <c r="E5" s="383"/>
      <c r="F5" s="383"/>
    </row>
    <row r="6" spans="1:6" ht="15.75">
      <c r="A6" s="384"/>
      <c r="B6" s="388"/>
      <c r="C6" s="389"/>
      <c r="D6" s="384" t="s">
        <v>801</v>
      </c>
      <c r="E6" s="383"/>
      <c r="F6" s="383"/>
    </row>
    <row r="7" spans="1:6" ht="15.75">
      <c r="A7" s="384" t="s">
        <v>387</v>
      </c>
      <c r="B7" s="386" t="s">
        <v>821</v>
      </c>
      <c r="C7" s="390"/>
      <c r="D7" s="384"/>
      <c r="E7" s="383"/>
      <c r="F7" s="383"/>
    </row>
    <row r="8" spans="1:6" ht="15.75">
      <c r="A8" s="384"/>
      <c r="B8" s="384"/>
      <c r="C8" s="384"/>
      <c r="D8" s="384"/>
      <c r="E8" s="383"/>
      <c r="F8" s="383"/>
    </row>
    <row r="9" spans="1:6" ht="15.75">
      <c r="A9" s="384" t="s">
        <v>388</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822</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Coffey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Pottawatomie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1273</v>
      </c>
      <c r="F20" s="172">
        <f>IF(gen!$E$57&lt;&gt;0,gen!$E$57,0)</f>
        <v>900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17-1311</v>
      </c>
      <c r="D23" s="285" t="str">
        <f>IF(levypage9!C77&gt;0,levypage9!C77,"  ")</f>
        <v>  </v>
      </c>
      <c r="E23" s="172">
        <f>IF(levypage9!$E$32&lt;&gt;0,levypage9!$E$32,"  ")</f>
        <v>3800</v>
      </c>
      <c r="F23" s="172">
        <f>IF(levypage9!$E$39&lt;&gt;0,levypage9!$E$39,"  ")</f>
        <v>2173</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5073</v>
      </c>
      <c r="F33" s="292">
        <f>SUM(F20:F28)</f>
        <v>3073</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1200" verticalDpi="1200" orientation="portrait" scale="8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2">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Pottawatomie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3149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3149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18456</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108046</v>
      </c>
      <c r="F14" s="270"/>
      <c r="G14" s="55"/>
      <c r="H14" s="55"/>
      <c r="I14" s="53"/>
      <c r="J14" s="55"/>
    </row>
    <row r="15" spans="1:10" ht="15.75">
      <c r="A15" s="269"/>
      <c r="B15" s="14" t="s">
        <v>91</v>
      </c>
      <c r="C15" s="14" t="str">
        <f>CONCATENATE("Personal Property ",J1-2,"")</f>
        <v>Personal Property 2010</v>
      </c>
      <c r="D15" s="269" t="s">
        <v>86</v>
      </c>
      <c r="E15" s="273">
        <f>inputOth!E11</f>
        <v>111646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31660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50116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2485406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2435290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0.02057906861195176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65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3214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3214</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Pottawatomie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900</v>
      </c>
      <c r="E11" s="253">
        <f>IF(inputOth!D17&gt;0,inputOth!D17,"  ")</f>
        <v>0.355</v>
      </c>
      <c r="F11" s="254"/>
      <c r="G11" s="96">
        <f>IF(inputPrYr!E16=0,0,G22-SUM(G12:G19))</f>
        <v>20</v>
      </c>
      <c r="H11" s="255"/>
      <c r="I11" s="96">
        <f>IF(inputPrYr!E16=0,0,I24-SUM(I12:I19))</f>
        <v>5</v>
      </c>
      <c r="J11" s="96">
        <f>IF(inputPrYr!E16=0,0,J26-SUM(J12:J19))</f>
        <v>11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2249</v>
      </c>
      <c r="E14" s="253">
        <f>IF(inputOth!D20&gt;0,inputOth!D20,"  ")</f>
        <v>0.89</v>
      </c>
      <c r="F14" s="254"/>
      <c r="G14" s="96">
        <f>IF(inputPrYr!E19=0,0,ROUND(D14*$G$30,0))</f>
        <v>49</v>
      </c>
      <c r="H14" s="255"/>
      <c r="I14" s="96">
        <f>IF(inputPrYr!$E$19=0,0,ROUND($D$14*$I$32,0))</f>
        <v>11</v>
      </c>
      <c r="J14" s="96">
        <f>IF(inputPrYr!E19=0,0,ROUND($D14*$J$34,0))</f>
        <v>26</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3149</v>
      </c>
      <c r="E20" s="259">
        <f>SUM(E11:E19)</f>
        <v>1.245</v>
      </c>
      <c r="F20" s="260"/>
      <c r="G20" s="258">
        <f>SUM(G11:G19)</f>
        <v>69</v>
      </c>
      <c r="H20" s="258"/>
      <c r="I20" s="258">
        <f>SUM(I11:I19)</f>
        <v>16</v>
      </c>
      <c r="J20" s="258">
        <f>SUM(J11:J19)</f>
        <v>37</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37</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0.0219117180057161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0.0050809780882819944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0.011749761829152112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Pottawatomie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2011-08-12T14:11:09Z</cp:lastPrinted>
  <dcterms:created xsi:type="dcterms:W3CDTF">1998-08-26T16:30:41Z</dcterms:created>
  <dcterms:modified xsi:type="dcterms:W3CDTF">2011-12-13T17:27:47Z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