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2975" windowHeight="8115" tabRatio="718"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Publication"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3">'summ'!$A$1:$H$52</definedName>
  </definedNames>
  <calcPr fullCalcOnLoad="1"/>
</workbook>
</file>

<file path=xl/sharedStrings.xml><?xml version="1.0" encoding="utf-8"?>
<sst xmlns="http://schemas.openxmlformats.org/spreadsheetml/2006/main" count="1505" uniqueCount="845">
  <si>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</si>
  <si>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</si>
  <si>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</si>
  <si>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</si>
  <si>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</si>
  <si>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</si>
  <si>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</si>
  <si>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</si>
  <si>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</si>
  <si>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</si>
  <si>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</si>
  <si>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</si>
  <si>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</si>
  <si>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</si>
  <si>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</si>
  <si>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</si>
  <si>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</si>
  <si>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</si>
  <si>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</si>
  <si>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</si>
  <si>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</si>
  <si>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</si>
  <si>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</si>
  <si>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</si>
  <si>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</si>
  <si>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</si>
  <si>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</si>
  <si>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</si>
  <si>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</si>
  <si>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</si>
  <si>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</si>
  <si>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</si>
  <si>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</si>
  <si>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</si>
  <si>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</si>
  <si>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</si>
  <si>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</si>
  <si>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</si>
  <si>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</si>
  <si>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</si>
  <si>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</si>
  <si>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</si>
  <si>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</si>
  <si>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</si>
  <si>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</si>
  <si>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</si>
  <si>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</si>
  <si>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</si>
  <si>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</si>
  <si>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</si>
  <si>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</si>
  <si>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</si>
  <si>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</si>
  <si>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</si>
  <si>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</si>
  <si>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</si>
  <si>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</si>
  <si>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</si>
  <si>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</si>
  <si>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</si>
  <si>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</si>
  <si>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</si>
  <si>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</si>
  <si>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</si>
  <si>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</si>
  <si>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</si>
  <si>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</si>
  <si>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</si>
  <si>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</si>
  <si>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</si>
  <si>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</si>
  <si>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</si>
  <si>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</si>
  <si>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</si>
  <si>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</si>
  <si>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</si>
  <si>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</si>
  <si>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</si>
  <si>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</si>
  <si>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</si>
  <si>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</si>
  <si>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</si>
  <si>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</si>
  <si>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</si>
  <si>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</si>
  <si>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</si>
  <si>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</si>
  <si>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</si>
  <si>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</si>
  <si>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</si>
  <si>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</si>
  <si>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</si>
  <si>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</si>
  <si>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</si>
  <si>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</si>
  <si>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</si>
  <si>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</si>
  <si>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</si>
  <si>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</si>
  <si>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</si>
  <si>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</si>
  <si>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</si>
  <si>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</si>
  <si>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</si>
  <si>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</si>
  <si>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</si>
  <si>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</si>
  <si>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</si>
  <si>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</si>
  <si>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</si>
  <si>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</si>
  <si>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</si>
  <si>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</si>
  <si>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</si>
  <si>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</si>
  <si>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</si>
  <si>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</si>
  <si>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</si>
  <si>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</si>
  <si>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</si>
  <si>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</si>
  <si>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</si>
  <si>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</si>
  <si>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</si>
  <si>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</si>
  <si>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</si>
  <si>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</si>
  <si>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</si>
  <si>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</si>
  <si>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</si>
  <si>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</si>
  <si>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</si>
  <si>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</si>
  <si>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</si>
  <si>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</si>
  <si>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</si>
  <si>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</si>
  <si>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</si>
  <si>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</si>
  <si>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</si>
  <si>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</si>
  <si>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</si>
  <si>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</si>
  <si>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</si>
  <si>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</si>
  <si>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</si>
  <si>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</si>
  <si>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</si>
  <si>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</si>
  <si>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</si>
  <si>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</si>
  <si>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</si>
  <si>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</si>
  <si>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</si>
  <si>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</si>
  <si>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</si>
  <si>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</si>
  <si>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</si>
  <si>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</si>
  <si>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</si>
  <si>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</si>
  <si>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</si>
  <si>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</si>
  <si>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</si>
  <si>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</si>
  <si>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</si>
  <si>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</si>
  <si>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</si>
  <si>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</si>
  <si>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</si>
  <si>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</si>
  <si>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</si>
  <si>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</si>
  <si>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</si>
  <si>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</si>
  <si>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</si>
  <si>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</si>
  <si>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</si>
  <si>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</si>
  <si>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</si>
  <si>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</si>
  <si>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</si>
  <si>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</si>
  <si>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</si>
  <si>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</si>
  <si>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</si>
  <si>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</si>
  <si>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</si>
  <si>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</si>
  <si>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</si>
  <si>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</si>
  <si>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</si>
  <si>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</si>
  <si>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</si>
  <si>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</si>
  <si>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</si>
  <si>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</si>
  <si>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</si>
  <si>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</si>
  <si>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</si>
  <si>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</si>
  <si>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</si>
  <si>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</si>
  <si>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</si>
  <si>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</si>
  <si>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</si>
  <si>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</si>
  <si>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</si>
  <si>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</si>
  <si>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</si>
  <si>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</si>
  <si>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</si>
  <si>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</si>
  <si>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</si>
  <si>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</si>
  <si>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</si>
  <si>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</si>
  <si>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</si>
  <si>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</si>
  <si>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</si>
  <si>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</si>
  <si>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</si>
  <si>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</si>
  <si>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</si>
  <si>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</si>
  <si>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</si>
  <si>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</si>
  <si>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</si>
  <si>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</si>
  <si>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</si>
  <si>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</si>
  <si>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</si>
  <si>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</si>
  <si>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</si>
  <si>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</si>
  <si>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</si>
  <si>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</si>
  <si>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</si>
  <si>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</si>
  <si>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</si>
  <si>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</si>
  <si>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</si>
  <si>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</si>
  <si>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</si>
  <si>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</si>
  <si>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</si>
  <si>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</si>
  <si>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</si>
  <si>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</si>
  <si>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</si>
  <si>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</si>
  <si>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</si>
  <si>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</si>
  <si>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</si>
  <si>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</si>
  <si>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</si>
  <si>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</si>
  <si>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</si>
  <si>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</si>
  <si>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</si>
  <si>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</si>
  <si>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</si>
  <si>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</si>
  <si>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</si>
  <si>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</si>
  <si>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</si>
  <si>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</si>
  <si>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</si>
  <si>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</si>
  <si>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</si>
  <si>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</si>
  <si>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</si>
  <si>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</si>
  <si>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</si>
  <si>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</si>
  <si>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</si>
  <si>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</si>
  <si>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</si>
  <si>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</si>
  <si>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</si>
  <si>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</si>
  <si>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</si>
  <si>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</si>
  <si>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</si>
  <si>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</si>
  <si>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</si>
  <si>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</si>
  <si>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</si>
  <si>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</si>
  <si>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</si>
  <si>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</si>
  <si>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</si>
  <si>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</si>
  <si>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</si>
  <si>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</si>
  <si>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</si>
  <si>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</si>
  <si>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</si>
  <si>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</si>
  <si>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</si>
  <si>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</si>
  <si>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</si>
  <si>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</si>
  <si>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</si>
  <si>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</si>
  <si>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</si>
  <si>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</si>
  <si>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</si>
  <si>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</si>
  <si>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</si>
  <si>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</si>
  <si>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</si>
  <si>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</si>
  <si>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</si>
  <si>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</si>
  <si>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</si>
  <si>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</si>
  <si>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</si>
  <si>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</si>
  <si>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</si>
  <si>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</si>
  <si>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</si>
  <si>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</si>
  <si>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</si>
  <si>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</si>
  <si>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</si>
  <si>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</si>
  <si>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</si>
  <si>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</si>
  <si>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</si>
  <si>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</si>
  <si>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</si>
  <si>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</si>
  <si>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</si>
  <si>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</si>
  <si>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</si>
  <si>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</si>
  <si>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</si>
  <si>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</si>
  <si>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</si>
  <si>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</si>
  <si>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</si>
  <si>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</si>
  <si>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</si>
  <si>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</si>
  <si>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</si>
  <si>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</si>
  <si>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</si>
  <si>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</si>
  <si>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</si>
  <si>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</si>
  <si>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</si>
  <si>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</si>
  <si>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</si>
  <si>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</si>
  <si>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</si>
  <si>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</si>
  <si>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</si>
  <si>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</si>
  <si>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</si>
  <si>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</si>
  <si>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</si>
  <si>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</si>
  <si>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</si>
  <si>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</si>
  <si>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</si>
  <si>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</si>
  <si>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</si>
  <si>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</si>
  <si>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</si>
  <si>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</si>
  <si>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</si>
  <si>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</si>
  <si>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</si>
  <si>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</si>
  <si>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</si>
  <si>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</si>
  <si>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</si>
  <si>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</si>
  <si>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</si>
  <si>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</si>
  <si>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</si>
  <si>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</si>
  <si>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</si>
  <si>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</si>
  <si>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</si>
  <si>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</si>
  <si>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</si>
  <si>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</si>
  <si>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</si>
  <si>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</si>
  <si>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</si>
  <si>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</si>
  <si>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</si>
  <si>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</si>
  <si>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</si>
  <si>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</si>
  <si>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</si>
  <si>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</si>
  <si>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</si>
  <si>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</si>
  <si>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</si>
  <si>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</si>
  <si>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</si>
  <si>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</si>
  <si>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</si>
  <si>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</si>
  <si>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</si>
  <si>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</si>
  <si>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</si>
  <si>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</si>
  <si>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</si>
  <si>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</si>
  <si>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</si>
  <si>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</si>
  <si>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</si>
  <si>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</si>
  <si>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</si>
  <si>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</si>
  <si>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</si>
  <si>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</si>
  <si>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</si>
  <si>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</si>
  <si>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</si>
  <si>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</si>
  <si>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</si>
  <si>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</si>
  <si>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</si>
  <si>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</si>
  <si>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</si>
  <si>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</si>
  <si>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</si>
  <si>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</si>
  <si>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</si>
  <si>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</si>
  <si>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</si>
  <si>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</si>
  <si>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</si>
  <si>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</si>
  <si>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</si>
  <si>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</si>
  <si>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</si>
  <si>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</si>
  <si>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</si>
  <si>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</si>
  <si>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</si>
  <si>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</si>
  <si>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</si>
  <si>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</si>
  <si>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</si>
  <si>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</si>
  <si>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</si>
  <si>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</si>
  <si>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</si>
  <si>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</si>
  <si>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</si>
  <si>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</si>
  <si>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</si>
  <si>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</si>
  <si>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</si>
  <si>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</si>
  <si>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</si>
  <si>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</si>
  <si>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</si>
  <si>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</si>
  <si>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</si>
  <si>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</si>
  <si>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</si>
  <si>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</si>
  <si>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</si>
  <si>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</si>
  <si>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</si>
  <si>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</si>
  <si>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</si>
  <si>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</si>
  <si>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</si>
  <si>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</si>
  <si>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</si>
  <si>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</si>
  <si>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</si>
  <si>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</si>
  <si>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</si>
  <si>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</si>
  <si>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</si>
  <si>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</si>
  <si>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</si>
  <si>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</si>
  <si>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</si>
  <si>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</si>
  <si>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</si>
  <si>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</si>
  <si>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</si>
  <si>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</si>
  <si>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</si>
  <si>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</si>
  <si>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</si>
  <si>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</si>
  <si>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</si>
  <si>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</si>
  <si>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</si>
  <si>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</si>
  <si>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</si>
  <si>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</si>
  <si>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</si>
  <si>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</si>
  <si>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</si>
  <si>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</si>
  <si>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</si>
  <si>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</si>
  <si>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</si>
  <si>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</si>
  <si>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</si>
  <si>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</si>
  <si>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</si>
  <si>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</si>
  <si>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</si>
  <si>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</si>
  <si>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</si>
  <si>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</si>
  <si>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</si>
  <si>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</si>
  <si>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</si>
  <si>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</si>
  <si>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</si>
  <si>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</si>
  <si>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</si>
  <si>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</si>
  <si>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</si>
  <si>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</si>
  <si>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</si>
  <si>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</si>
  <si>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</si>
  <si>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</si>
  <si>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</si>
  <si>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</si>
  <si>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</si>
  <si>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</si>
  <si>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</si>
  <si>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</si>
  <si>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</si>
  <si>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</si>
  <si>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</si>
  <si>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</si>
  <si>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</si>
  <si>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</si>
  <si>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</si>
  <si>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</si>
  <si>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</si>
  <si>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</si>
  <si>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</si>
  <si>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</si>
  <si>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</si>
  <si>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</si>
  <si>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</si>
  <si>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</si>
  <si>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</si>
  <si>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</si>
  <si>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</si>
  <si>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</si>
  <si>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</si>
  <si>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</si>
  <si>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</si>
  <si>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</si>
  <si>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</si>
  <si>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</si>
  <si>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</si>
  <si>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</si>
  <si>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</si>
  <si>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</si>
  <si>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</si>
  <si>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</si>
  <si>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</si>
  <si>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</si>
  <si>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</si>
  <si>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</si>
  <si>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</si>
  <si>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</si>
  <si>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</si>
  <si>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</si>
  <si>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</si>
  <si>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</si>
  <si>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</si>
  <si>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</si>
  <si>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</si>
  <si>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</si>
  <si>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</si>
  <si>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</si>
  <si>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</si>
  <si>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</si>
  <si>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</si>
  <si>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</si>
  <si>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</si>
  <si>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</si>
  <si>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</si>
  <si>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</si>
  <si>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</si>
  <si>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</si>
  <si>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</si>
  <si>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</si>
  <si>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</si>
  <si>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</si>
  <si>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</si>
  <si>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</si>
  <si>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</si>
  <si>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</si>
  <si>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</si>
  <si>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</si>
  <si>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</si>
  <si>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</si>
  <si>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</si>
  <si>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</si>
  <si>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</si>
  <si>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</si>
  <si>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</si>
  <si>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</si>
  <si>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</si>
  <si>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</si>
  <si>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</si>
  <si>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</si>
  <si>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</si>
  <si>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</si>
  <si>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</si>
  <si>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</si>
  <si>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</si>
  <si>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</si>
  <si>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</si>
  <si>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</si>
  <si>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</si>
  <si>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</si>
  <si>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</si>
  <si>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</si>
  <si>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</si>
  <si>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</si>
  <si>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</si>
  <si>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</si>
  <si>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</si>
  <si>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</si>
  <si>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</si>
  <si>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</si>
  <si>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</si>
  <si>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</si>
  <si>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</si>
  <si>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</si>
  <si>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</si>
  <si>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</si>
  <si>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</si>
  <si>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</si>
  <si>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</si>
  <si>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</si>
  <si>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</si>
  <si>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</si>
  <si>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</si>
  <si>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</si>
  <si>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</si>
  <si>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</si>
  <si>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</si>
  <si>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</si>
  <si>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</si>
  <si>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</si>
  <si>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</si>
  <si>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</si>
  <si>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</si>
  <si>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</si>
  <si>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</si>
  <si>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</si>
  <si>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</si>
  <si>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</si>
  <si>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</si>
  <si>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</si>
  <si>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</si>
  <si>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</si>
  <si>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</si>
  <si>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</si>
  <si>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</si>
  <si>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</si>
  <si>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</si>
  <si>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</si>
  <si>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</si>
  <si>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</si>
  <si>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</si>
  <si>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</si>
  <si>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</si>
  <si>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</si>
  <si>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</si>
  <si>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</si>
  <si>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</si>
  <si>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</si>
  <si>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</si>
  <si>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</si>
  <si>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</si>
  <si>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</si>
  <si>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</si>
  <si>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</si>
  <si>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</si>
  <si>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</si>
  <si>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</si>
  <si>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</si>
  <si>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</si>
  <si>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</si>
  <si>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</si>
  <si>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</si>
  <si>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</si>
  <si>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</si>
  <si>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</si>
  <si>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</si>
  <si>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</si>
  <si>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</si>
  <si>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</si>
  <si>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</si>
  <si>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</si>
  <si>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</si>
  <si>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</si>
  <si>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</si>
  <si>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</si>
  <si>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</si>
  <si>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</si>
  <si>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</si>
  <si>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</si>
  <si>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</si>
  <si>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</si>
  <si>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</si>
  <si>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</si>
  <si>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</si>
  <si>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</si>
  <si>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</si>
  <si>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</si>
  <si>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</si>
  <si>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</si>
  <si>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</si>
  <si>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</si>
  <si>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</si>
  <si>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</si>
  <si>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</si>
  <si>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</si>
  <si>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</si>
  <si>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</si>
  <si>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</si>
  <si>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</si>
  <si>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</si>
  <si>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</si>
  <si>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</si>
  <si>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</si>
  <si>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</si>
  <si>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</si>
  <si>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</si>
  <si>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</si>
  <si>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</si>
  <si>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</si>
  <si>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</si>
  <si>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</si>
  <si>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</si>
  <si>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</si>
  <si>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</si>
  <si>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</si>
  <si>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</si>
  <si>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</si>
  <si>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</si>
  <si>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</si>
  <si>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</si>
  <si>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</si>
  <si>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</si>
  <si>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</si>
  <si>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</si>
  <si>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</si>
  <si>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</si>
  <si>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</si>
  <si>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</si>
  <si>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</si>
  <si>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</si>
  <si>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</si>
  <si>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</si>
  <si>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</si>
  <si>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</si>
  <si>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</si>
  <si>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</si>
  <si>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</si>
  <si>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</si>
  <si>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</si>
  <si>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</si>
  <si>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</si>
  <si>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</si>
  <si>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</si>
  <si>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</si>
  <si>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</si>
  <si>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</si>
  <si>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</si>
  <si>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</si>
  <si>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</si>
  <si>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</si>
  <si>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</si>
  <si>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</si>
  <si>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</si>
  <si>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</si>
  <si>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</si>
  <si>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</si>
  <si>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</si>
  <si>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</si>
  <si>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</si>
  <si>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</si>
  <si>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</si>
  <si>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</si>
  <si>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</si>
  <si>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</si>
  <si>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</si>
  <si>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</si>
  <si>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</si>
  <si>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</si>
  <si>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</si>
  <si>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</si>
  <si>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</si>
  <si>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</si>
  <si>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</si>
  <si>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</si>
  <si>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</si>
  <si>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</si>
  <si>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</si>
  <si>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</si>
  <si>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</si>
  <si>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</si>
  <si>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</si>
  <si>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</si>
  <si>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</si>
  <si>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</si>
  <si>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</si>
  <si>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</si>
  <si>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</si>
  <si>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</si>
  <si>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</si>
  <si>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</si>
  <si>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</si>
  <si>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</si>
  <si>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</si>
  <si>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Lincoln Township</t>
  </si>
  <si>
    <t>Coffey County</t>
  </si>
  <si>
    <t>Lebo City</t>
  </si>
  <si>
    <t>Cemetery</t>
  </si>
  <si>
    <t>17-1344</t>
  </si>
  <si>
    <t>Payment in Lieu of Tax</t>
  </si>
  <si>
    <t>Publication</t>
  </si>
  <si>
    <t>CPA</t>
  </si>
  <si>
    <t>Sale of Lots</t>
  </si>
  <si>
    <t>Mowing</t>
  </si>
  <si>
    <t>September 6, 2011</t>
  </si>
  <si>
    <t>9:00 A. M.</t>
  </si>
  <si>
    <t>City Hall in Lebo</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</si>
</sst>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523875</xdr:colOff>
      <xdr:row>102</xdr:row>
      <xdr:rowOff>95250</xdr:rowOff>
    </xdr:to>
    <xdr:pic>
      <xdr:nvPicPr>
        <xdr:cNvPr id="1" name="Picture 1"/>
        <xdr:cNvPicPr preferRelativeResize="1">
          <a:picLocks noChangeAspect="1"/>
        </xdr:cNvPicPr>
      </xdr:nvPicPr>
      <xdr:blipFill>
        <a:blip r:embed="rId1"/>
        <a:stretch>
          <a:fillRect/>
        </a:stretch>
      </xdr:blipFill>
      <xdr:spPr>
        <a:xfrm>
          <a:off x="0" y="0"/>
          <a:ext cx="16449675" cy="2049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123825</xdr:rowOff>
    </xdr:from>
    <xdr:to>
      <xdr:col>7</xdr:col>
      <xdr:colOff>200025</xdr:colOff>
      <xdr:row>21</xdr:row>
      <xdr:rowOff>171450</xdr:rowOff>
    </xdr:to>
    <xdr:pic>
      <xdr:nvPicPr>
        <xdr:cNvPr id="1" name="Picture 2"/>
        <xdr:cNvPicPr preferRelativeResize="1">
          <a:picLocks noChangeAspect="1"/>
        </xdr:cNvPicPr>
      </xdr:nvPicPr>
      <xdr:blipFill>
        <a:blip r:embed="rId1"/>
        <a:stretch>
          <a:fillRect/>
        </a:stretch>
      </xdr:blipFill>
      <xdr:spPr>
        <a:xfrm>
          <a:off x="228600" y="323850"/>
          <a:ext cx="5838825" cy="404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Lincoln Township</v>
      </c>
      <c r="B1" s="281"/>
      <c r="C1" s="281"/>
      <c r="D1" s="281"/>
      <c r="E1" s="281"/>
      <c r="F1" s="281"/>
      <c r="G1" s="281"/>
      <c r="H1" s="281"/>
      <c r="I1" s="66"/>
      <c r="J1" s="66"/>
      <c r="K1" s="231">
        <f>inputPrYr!D9</f>
        <v>2012</v>
      </c>
    </row>
    <row r="2" spans="1:11" ht="15.75">
      <c r="A2" s="280" t="str">
        <f>inputPrYr!$D$4</f>
        <v>Coffey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6">
      <selection activeCell="E52" sqref="E52"/>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Lincoln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765</v>
      </c>
      <c r="D6" s="418">
        <f>C47</f>
        <v>963</v>
      </c>
      <c r="E6" s="267">
        <f>D47</f>
        <v>1126</v>
      </c>
    </row>
    <row r="7" spans="2:5" ht="15.75">
      <c r="B7" s="82" t="s">
        <v>75</v>
      </c>
      <c r="C7" s="418"/>
      <c r="D7" s="418"/>
      <c r="E7" s="328"/>
    </row>
    <row r="8" spans="2:5" ht="15.75">
      <c r="B8" s="82" t="s">
        <v>290</v>
      </c>
      <c r="C8" s="326">
        <v>1828</v>
      </c>
      <c r="D8" s="418">
        <f>inputPrYr!E20</f>
        <v>1825</v>
      </c>
      <c r="E8" s="328" t="s">
        <v>269</v>
      </c>
    </row>
    <row r="9" spans="2:5" ht="15.75">
      <c r="B9" s="82" t="s">
        <v>291</v>
      </c>
      <c r="C9" s="326">
        <v>11</v>
      </c>
      <c r="D9" s="326"/>
      <c r="E9" s="175"/>
    </row>
    <row r="10" spans="2:5" ht="15.75">
      <c r="B10" s="82" t="s">
        <v>292</v>
      </c>
      <c r="C10" s="326">
        <v>167</v>
      </c>
      <c r="D10" s="326">
        <v>204</v>
      </c>
      <c r="E10" s="267">
        <f>mvalloc!G12</f>
        <v>155</v>
      </c>
    </row>
    <row r="11" spans="2:5" ht="15.75">
      <c r="B11" s="82" t="s">
        <v>293</v>
      </c>
      <c r="C11" s="326">
        <v>7</v>
      </c>
      <c r="D11" s="326">
        <v>9</v>
      </c>
      <c r="E11" s="267">
        <f>mvalloc!I12</f>
        <v>6</v>
      </c>
    </row>
    <row r="12" spans="2:5" ht="15.75">
      <c r="B12" s="329" t="s">
        <v>24</v>
      </c>
      <c r="C12" s="326"/>
      <c r="D12" s="326">
        <v>14</v>
      </c>
      <c r="E12" s="267">
        <f>mvalloc!J12</f>
        <v>14</v>
      </c>
    </row>
    <row r="13" spans="2:5" ht="15.75">
      <c r="B13" s="329" t="s">
        <v>117</v>
      </c>
      <c r="C13" s="326"/>
      <c r="D13" s="326"/>
      <c r="E13" s="267">
        <f>inputOth!E70</f>
        <v>0</v>
      </c>
    </row>
    <row r="14" spans="2:5" ht="15.75">
      <c r="B14" s="329" t="s">
        <v>118</v>
      </c>
      <c r="C14" s="326"/>
      <c r="D14" s="326"/>
      <c r="E14" s="267">
        <f>mvalloc!K12</f>
        <v>0</v>
      </c>
    </row>
    <row r="15" spans="2:5" ht="15.75">
      <c r="B15" s="82" t="s">
        <v>294</v>
      </c>
      <c r="C15" s="326"/>
      <c r="D15" s="326"/>
      <c r="E15" s="267">
        <f>inputOth!E32</f>
        <v>0</v>
      </c>
    </row>
    <row r="16" spans="2:5" ht="15.75">
      <c r="B16" s="330" t="s">
        <v>837</v>
      </c>
      <c r="C16" s="326">
        <v>30</v>
      </c>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2043</v>
      </c>
      <c r="D25" s="421">
        <f>SUM(D8:D23)</f>
        <v>2052</v>
      </c>
      <c r="E25" s="335">
        <f>SUM(E8:E23)</f>
        <v>175</v>
      </c>
    </row>
    <row r="26" spans="2:5" ht="15.75">
      <c r="B26" s="100" t="s">
        <v>298</v>
      </c>
      <c r="C26" s="421">
        <f>C25+C6</f>
        <v>2808</v>
      </c>
      <c r="D26" s="421">
        <f>D25+D6</f>
        <v>3015</v>
      </c>
      <c r="E26" s="335">
        <f>E25+E6</f>
        <v>1301</v>
      </c>
    </row>
    <row r="27" spans="2:5" ht="15.75">
      <c r="B27" s="82" t="s">
        <v>299</v>
      </c>
      <c r="C27" s="418"/>
      <c r="D27" s="418"/>
      <c r="E27" s="267"/>
    </row>
    <row r="28" spans="2:5" ht="15.75">
      <c r="B28" s="330" t="s">
        <v>839</v>
      </c>
      <c r="C28" s="326">
        <v>90</v>
      </c>
      <c r="D28" s="326">
        <v>90</v>
      </c>
      <c r="E28" s="175">
        <v>90</v>
      </c>
    </row>
    <row r="29" spans="2:5" ht="15.75">
      <c r="B29" s="331" t="s">
        <v>56</v>
      </c>
      <c r="C29" s="326">
        <v>1380</v>
      </c>
      <c r="D29" s="326">
        <v>1400</v>
      </c>
      <c r="E29" s="175">
        <v>3061</v>
      </c>
    </row>
    <row r="30" spans="2:5" ht="15.75">
      <c r="B30" s="331" t="s">
        <v>80</v>
      </c>
      <c r="C30" s="326"/>
      <c r="D30" s="326"/>
      <c r="E30" s="175"/>
    </row>
    <row r="31" spans="2:5" ht="15.75">
      <c r="B31" s="331" t="s">
        <v>57</v>
      </c>
      <c r="C31" s="326"/>
      <c r="D31" s="326"/>
      <c r="E31" s="175"/>
    </row>
    <row r="32" spans="2:5" ht="15.75">
      <c r="B32" s="331" t="s">
        <v>310</v>
      </c>
      <c r="C32" s="326">
        <v>96</v>
      </c>
      <c r="D32" s="326">
        <v>100</v>
      </c>
      <c r="E32" s="175"/>
    </row>
    <row r="33" spans="2:5" ht="15.75">
      <c r="B33" s="330" t="s">
        <v>58</v>
      </c>
      <c r="C33" s="326"/>
      <c r="D33" s="326"/>
      <c r="E33" s="175"/>
    </row>
    <row r="34" spans="2:5" ht="15.75">
      <c r="B34" s="330" t="s">
        <v>81</v>
      </c>
      <c r="C34" s="326"/>
      <c r="D34" s="326"/>
      <c r="E34" s="175"/>
    </row>
    <row r="35" spans="2:5" ht="15.75">
      <c r="B35" s="331" t="s">
        <v>83</v>
      </c>
      <c r="C35" s="326"/>
      <c r="D35" s="326"/>
      <c r="E35" s="175"/>
    </row>
    <row r="36" spans="2:5" ht="15.75">
      <c r="B36" s="331" t="s">
        <v>315</v>
      </c>
      <c r="C36" s="326">
        <v>220</v>
      </c>
      <c r="D36" s="326">
        <v>240</v>
      </c>
      <c r="E36" s="175"/>
    </row>
    <row r="37" spans="2:5" ht="15.75">
      <c r="B37" s="330" t="s">
        <v>838</v>
      </c>
      <c r="C37" s="326">
        <v>59</v>
      </c>
      <c r="D37" s="326">
        <v>59</v>
      </c>
      <c r="E37" s="175"/>
    </row>
    <row r="38" spans="2:5" ht="15.75">
      <c r="B38" s="331"/>
      <c r="C38" s="326"/>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1126</v>
      </c>
      <c r="H42" s="615" t="str">
        <f>CONCATENATE("",E1-1," Ending Cash Balance (est.)")</f>
        <v>2011 Ending Cash Balance (est.)</v>
      </c>
      <c r="I42" s="616"/>
      <c r="J42" s="613"/>
    </row>
    <row r="43" spans="2:10" ht="15.75">
      <c r="B43" s="329" t="s">
        <v>244</v>
      </c>
      <c r="C43" s="326"/>
      <c r="D43" s="326"/>
      <c r="E43" s="186">
        <f>nhood!E6</f>
      </c>
      <c r="G43" s="614">
        <f>E25</f>
        <v>175</v>
      </c>
      <c r="H43" s="617" t="str">
        <f>CONCATENATE("",E1," Non-AV Receipts (est.)")</f>
        <v>2012 Non-AV Receipts (est.)</v>
      </c>
      <c r="I43" s="617"/>
      <c r="J43" s="613"/>
    </row>
    <row r="44" spans="2:10" ht="15.75">
      <c r="B44" s="329" t="s">
        <v>242</v>
      </c>
      <c r="C44" s="326"/>
      <c r="D44" s="326"/>
      <c r="E44" s="175"/>
      <c r="G44" s="618">
        <f>E53</f>
        <v>1850</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3151</v>
      </c>
      <c r="H45" s="617" t="str">
        <f>CONCATENATE("Total ",E1," Resources Available")</f>
        <v>Total 2012 Resources Available</v>
      </c>
      <c r="I45" s="616"/>
      <c r="J45" s="613"/>
    </row>
    <row r="46" spans="2:10" ht="15.75">
      <c r="B46" s="100" t="s">
        <v>300</v>
      </c>
      <c r="C46" s="421">
        <f>SUM(C28:C39,C41,C43:C44)</f>
        <v>1845</v>
      </c>
      <c r="D46" s="421">
        <f>SUM(D28:D39,D41,D43:D44)</f>
        <v>1889</v>
      </c>
      <c r="E46" s="335">
        <f>SUM(E28:E39,E43:E44,E41)</f>
        <v>3151</v>
      </c>
      <c r="G46" s="619"/>
      <c r="H46" s="617"/>
      <c r="I46" s="617"/>
      <c r="J46" s="613"/>
    </row>
    <row r="47" spans="2:10" ht="15.75">
      <c r="B47" s="82" t="s">
        <v>74</v>
      </c>
      <c r="C47" s="422">
        <f>C26-C46</f>
        <v>963</v>
      </c>
      <c r="D47" s="422">
        <f>D26-D46</f>
        <v>1126</v>
      </c>
      <c r="E47" s="328" t="s">
        <v>269</v>
      </c>
      <c r="G47" s="618">
        <f>C46*0.05+C46</f>
        <v>1937.25</v>
      </c>
      <c r="H47" s="617" t="str">
        <f>CONCATENATE("Less ",E1-2," Expenditures + 5%")</f>
        <v>Less 2010 Expenditures + 5%</v>
      </c>
      <c r="I47" s="616"/>
      <c r="J47" s="613"/>
    </row>
    <row r="48" spans="2:10" ht="15.75">
      <c r="B48" s="121" t="str">
        <f>CONCATENATE("",E1-2,"/",E1-1," Budget Authority Amount:")</f>
        <v>2010/2011 Budget Authority Amount:</v>
      </c>
      <c r="C48" s="362">
        <f>inputOth!B83</f>
        <v>2741</v>
      </c>
      <c r="D48" s="69">
        <f>inputPrYr!D20</f>
        <v>3142</v>
      </c>
      <c r="E48" s="328" t="s">
        <v>269</v>
      </c>
      <c r="F48" s="337"/>
      <c r="G48" s="620">
        <f>G45-G47</f>
        <v>1213.75</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3151</v>
      </c>
      <c r="G50" s="553">
        <f>IF(inputOth!E11=0,"",ROUND(gen!E53/inputOth!E11*1000,3))</f>
        <v>0.171</v>
      </c>
      <c r="H50" s="554" t="str">
        <f>CONCATENATE("Projected ",E1-1," Mill Rate (est.)")</f>
        <v>Projected 2011 Mill Rate (est.)</v>
      </c>
      <c r="I50" s="555"/>
      <c r="J50" s="556"/>
    </row>
    <row r="51" spans="2:10" ht="15.75">
      <c r="B51" s="532" t="str">
        <f>CONCATENATE(C71,"       ",D71)</f>
        <v>       </v>
      </c>
      <c r="C51" s="535"/>
      <c r="D51" s="534" t="s">
        <v>302</v>
      </c>
      <c r="E51" s="186">
        <f>IF(E50-E26&gt;0,E50-E26,0)</f>
        <v>1850</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1850</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6"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Lincoln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Lincoln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c r="D6" s="418">
        <f>C42</f>
        <v>0</v>
      </c>
      <c r="E6" s="267">
        <f>D42</f>
        <v>0</v>
      </c>
    </row>
    <row r="7" spans="2:5" ht="15.75">
      <c r="B7" s="82" t="s">
        <v>75</v>
      </c>
      <c r="C7" s="418"/>
      <c r="D7" s="418"/>
      <c r="E7" s="328"/>
    </row>
    <row r="8" spans="2:5" ht="15.75">
      <c r="B8" s="82" t="s">
        <v>290</v>
      </c>
      <c r="C8" s="326"/>
      <c r="D8" s="418">
        <f>inputPrYr!E22</f>
        <v>0</v>
      </c>
      <c r="E8" s="328" t="s">
        <v>269</v>
      </c>
    </row>
    <row r="9" spans="2:5" ht="15.75">
      <c r="B9" s="82" t="s">
        <v>291</v>
      </c>
      <c r="C9" s="326"/>
      <c r="D9" s="326"/>
      <c r="E9" s="175"/>
    </row>
    <row r="10" spans="2:5" ht="15.75">
      <c r="B10" s="82" t="s">
        <v>292</v>
      </c>
      <c r="C10" s="326"/>
      <c r="D10" s="326"/>
      <c r="E10" s="267">
        <f>mvalloc!G14</f>
        <v>0</v>
      </c>
    </row>
    <row r="11" spans="2:5" ht="15.75">
      <c r="B11" s="82" t="s">
        <v>293</v>
      </c>
      <c r="C11" s="326"/>
      <c r="D11" s="326"/>
      <c r="E11" s="267">
        <f>mvalloc!I14</f>
        <v>0</v>
      </c>
    </row>
    <row r="12" spans="2:5" ht="15.75">
      <c r="B12" s="82" t="s">
        <v>54</v>
      </c>
      <c r="C12" s="326"/>
      <c r="D12" s="326"/>
      <c r="E12" s="267">
        <f>mvalloc!J14</f>
        <v>0</v>
      </c>
    </row>
    <row r="13" spans="2:5" ht="15.75">
      <c r="B13" s="82" t="s">
        <v>118</v>
      </c>
      <c r="C13" s="326"/>
      <c r="D13" s="326"/>
      <c r="E13" s="267">
        <f>mvalloc!K14</f>
        <v>0</v>
      </c>
    </row>
    <row r="14" spans="2:5" ht="15.75">
      <c r="B14" s="82" t="s">
        <v>55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0</v>
      </c>
      <c r="D23" s="421">
        <f>SUM(D8:D21)</f>
        <v>0</v>
      </c>
      <c r="E23" s="335">
        <f>SUM(E8:E21)</f>
        <v>0</v>
      </c>
    </row>
    <row r="24" spans="2:5" ht="15.75">
      <c r="B24" s="100" t="s">
        <v>298</v>
      </c>
      <c r="C24" s="421">
        <f>C23+C6</f>
        <v>0</v>
      </c>
      <c r="D24" s="421">
        <f>D23+D6</f>
        <v>0</v>
      </c>
      <c r="E24" s="335">
        <f>E23+E6</f>
        <v>0</v>
      </c>
    </row>
    <row r="25" spans="2:5" ht="15.75">
      <c r="B25" s="82" t="s">
        <v>299</v>
      </c>
      <c r="C25" s="418"/>
      <c r="D25" s="418"/>
      <c r="E25" s="267"/>
    </row>
    <row r="26" spans="2:5" ht="15.75">
      <c r="B26" s="331"/>
      <c r="C26" s="326"/>
      <c r="D26" s="326"/>
      <c r="E26" s="175"/>
    </row>
    <row r="27" spans="2:5" ht="15.75">
      <c r="B27" s="331" t="s">
        <v>56</v>
      </c>
      <c r="C27" s="326"/>
      <c r="D27" s="326"/>
      <c r="E27" s="175"/>
    </row>
    <row r="28" spans="2:5" ht="15.75">
      <c r="B28" s="331" t="s">
        <v>80</v>
      </c>
      <c r="C28" s="326"/>
      <c r="D28" s="326"/>
      <c r="E28" s="175"/>
    </row>
    <row r="29" spans="2:5" ht="15.75">
      <c r="B29" s="330" t="s">
        <v>57</v>
      </c>
      <c r="C29" s="326"/>
      <c r="D29" s="326"/>
      <c r="E29" s="175"/>
    </row>
    <row r="30" spans="2:5" ht="15.75">
      <c r="B30" s="331" t="s">
        <v>82</v>
      </c>
      <c r="C30" s="326"/>
      <c r="D30" s="326"/>
      <c r="E30" s="175"/>
    </row>
    <row r="31" spans="2:5" ht="15.75">
      <c r="B31" s="331" t="s">
        <v>60</v>
      </c>
      <c r="C31" s="326"/>
      <c r="D31" s="326"/>
      <c r="E31" s="175"/>
    </row>
    <row r="32" spans="2:5" ht="15.75">
      <c r="B32" s="331" t="s">
        <v>58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244</v>
      </c>
      <c r="C38" s="326"/>
      <c r="D38" s="326"/>
      <c r="E38" s="186">
        <f>nhood!E8</f>
      </c>
      <c r="G38" s="540"/>
      <c r="H38" s="541"/>
      <c r="I38" s="541"/>
      <c r="J38" s="542"/>
    </row>
    <row r="39" spans="2:10" ht="15.75">
      <c r="B39" s="329" t="s">
        <v>242</v>
      </c>
      <c r="C39" s="326"/>
      <c r="D39" s="326"/>
      <c r="E39" s="175"/>
      <c r="G39" s="543">
        <f>D42</f>
        <v>0</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0</v>
      </c>
      <c r="H40" s="546" t="str">
        <f>CONCATENATE("",E1," Non-AV Receipts (est.)")</f>
        <v>2012 Non-AV Receipts (est.)</v>
      </c>
      <c r="I40" s="545"/>
      <c r="J40" s="542"/>
    </row>
    <row r="41" spans="2:10" ht="15.75">
      <c r="B41" s="100" t="s">
        <v>300</v>
      </c>
      <c r="C41" s="421">
        <f>SUM(C26:C39)</f>
        <v>0</v>
      </c>
      <c r="D41" s="421">
        <f>SUM(D26:D39)</f>
        <v>0</v>
      </c>
      <c r="E41" s="335">
        <f>SUM(E26:E36,E39)</f>
        <v>0</v>
      </c>
      <c r="G41" s="547">
        <f>E48</f>
        <v>0</v>
      </c>
      <c r="H41" s="546" t="str">
        <f>CONCATENATE("",E1," Ad Valorem Tax (est.)")</f>
        <v>2012 Ad Valorem Tax (est.)</v>
      </c>
      <c r="I41" s="545"/>
      <c r="J41" s="542"/>
    </row>
    <row r="42" spans="2:10" ht="15.75">
      <c r="B42" s="82" t="s">
        <v>74</v>
      </c>
      <c r="C42" s="422">
        <f>C24-C41</f>
        <v>0</v>
      </c>
      <c r="D42" s="422">
        <f>D24-D41</f>
        <v>0</v>
      </c>
      <c r="E42" s="328" t="s">
        <v>269</v>
      </c>
      <c r="G42" s="543">
        <f>SUM(G39:G41)</f>
        <v>0</v>
      </c>
      <c r="H42" s="546" t="str">
        <f>CONCATENATE("Total ",E1," Resources Available")</f>
        <v>Total 2012 Resources Available</v>
      </c>
      <c r="I42" s="545"/>
      <c r="J42" s="542"/>
    </row>
    <row r="43" spans="2:10" ht="15.75">
      <c r="B43" s="121" t="str">
        <f>CONCATENATE("",$E$1-2,"/",$E$1-1," Budget Authority Amount:")</f>
        <v>2010/2011 Budget Authority Amount:</v>
      </c>
      <c r="C43" s="362">
        <f>inputOth!B85</f>
        <v>0</v>
      </c>
      <c r="D43" s="85">
        <f>inputPrYr!D22</f>
        <v>0</v>
      </c>
      <c r="E43" s="328" t="s">
        <v>269</v>
      </c>
      <c r="F43" s="337"/>
      <c r="G43" s="548"/>
      <c r="H43" s="546"/>
      <c r="I43" s="546"/>
      <c r="J43" s="542"/>
    </row>
    <row r="44" spans="2:10" ht="15.75">
      <c r="B44" s="121"/>
      <c r="C44" s="680" t="s">
        <v>753</v>
      </c>
      <c r="D44" s="681"/>
      <c r="E44" s="175"/>
      <c r="F44" s="337">
        <f>IF(E41/0.95-E41&lt;E44,"Exceeds 5%","")</f>
      </c>
      <c r="G44" s="547">
        <f>C41*0.05+C41</f>
        <v>0</v>
      </c>
      <c r="H44" s="546" t="str">
        <f>CONCATENATE("Less ",E1-2," Expenditures + 5%")</f>
        <v>Less 2010 Expenditures + 5%</v>
      </c>
      <c r="I44" s="545"/>
      <c r="J44" s="542"/>
    </row>
    <row r="45" spans="2:10" ht="15.75">
      <c r="B45" s="532" t="str">
        <f>CONCATENATE(C70,"     ",D70)</f>
        <v>     </v>
      </c>
      <c r="C45" s="682" t="s">
        <v>754</v>
      </c>
      <c r="D45" s="683"/>
      <c r="E45" s="267">
        <f>E41+E44</f>
        <v>0</v>
      </c>
      <c r="G45" s="549">
        <f>G42-G44</f>
        <v>0</v>
      </c>
      <c r="H45" s="550" t="str">
        <f>CONCATENATE("Projected ",E1+1," Carryover (est.)")</f>
        <v>Projected 2013 Carryover (est.)</v>
      </c>
      <c r="I45" s="551"/>
      <c r="J45" s="552"/>
    </row>
    <row r="46" spans="2:5" ht="15.75">
      <c r="B46" s="532" t="str">
        <f>CONCATENATE(C71,"     ",D71)</f>
        <v>     </v>
      </c>
      <c r="C46" s="535"/>
      <c r="D46" s="534" t="s">
        <v>302</v>
      </c>
      <c r="E46" s="186">
        <f>IF(E45-E24&gt;0,E45-E24,0)</f>
        <v>0</v>
      </c>
    </row>
    <row r="47" spans="2:10" ht="15.75">
      <c r="B47" s="216"/>
      <c r="C47" s="533" t="s">
        <v>755</v>
      </c>
      <c r="D47" s="537">
        <f>inputOth!$E$77</f>
        <v>0</v>
      </c>
      <c r="E47" s="267">
        <f>ROUND(IF(D47&gt;0,(E46*D47),0),0)</f>
        <v>0</v>
      </c>
      <c r="G47" s="553">
        <f>IF(inputOth!E8=0,"",ROUND(E48/inputOth!E8*1000,3))</f>
        <v>0</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0</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0</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c r="D59" s="66"/>
      <c r="E59" s="66"/>
    </row>
    <row r="60" spans="2:5" ht="15.75">
      <c r="B60" s="177" t="s">
        <v>295</v>
      </c>
      <c r="C60" s="531"/>
      <c r="D60" s="66"/>
      <c r="E60" s="66"/>
    </row>
    <row r="61" spans="2:5" ht="15.75">
      <c r="B61" s="354" t="s">
        <v>298</v>
      </c>
      <c r="C61" s="524">
        <f>SUM(C53,C55:C60)</f>
        <v>0</v>
      </c>
      <c r="D61" s="66"/>
      <c r="E61" s="66"/>
    </row>
    <row r="62" spans="2:5" ht="15.75">
      <c r="B62" s="354" t="s">
        <v>300</v>
      </c>
      <c r="C62" s="531"/>
      <c r="D62" s="66"/>
      <c r="E62" s="66"/>
    </row>
    <row r="63" spans="2:5" ht="15.75">
      <c r="B63" s="354" t="s">
        <v>301</v>
      </c>
      <c r="C63" s="524">
        <f>C61-C62</f>
        <v>0</v>
      </c>
      <c r="D63" s="66"/>
      <c r="E63" s="66"/>
    </row>
    <row r="64" spans="2:5" ht="15.75">
      <c r="B64" s="66"/>
      <c r="C64" s="66"/>
      <c r="D64" s="66"/>
      <c r="E64" s="66"/>
    </row>
    <row r="65" spans="2:5" ht="15.75">
      <c r="B65" s="216" t="s">
        <v>283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Lincoln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7">
      <selection activeCell="E73" sqref="E73"/>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Lincoln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inputPrYr!B26</f>
        <v>Cemetery</v>
      </c>
      <c r="C41" s="417" t="str">
        <f>C5</f>
        <v>Actual 2010</v>
      </c>
      <c r="D41" s="417" t="str">
        <f>D5</f>
        <v>Estimate 2011</v>
      </c>
      <c r="E41" s="81" t="str">
        <f>E5</f>
        <v>Year 2012</v>
      </c>
    </row>
    <row r="42" spans="2:5" ht="15.75">
      <c r="B42" s="82" t="s">
        <v>73</v>
      </c>
      <c r="C42" s="326">
        <v>10765</v>
      </c>
      <c r="D42" s="418">
        <f>C68</f>
        <v>10537</v>
      </c>
      <c r="E42" s="267">
        <f>D68</f>
        <v>8537</v>
      </c>
    </row>
    <row r="43" spans="2:5" ht="15.75">
      <c r="B43" s="82" t="s">
        <v>75</v>
      </c>
      <c r="C43" s="418"/>
      <c r="D43" s="418"/>
      <c r="E43" s="328"/>
    </row>
    <row r="44" spans="2:5" ht="15.75">
      <c r="B44" s="82" t="s">
        <v>290</v>
      </c>
      <c r="C44" s="326">
        <v>8100</v>
      </c>
      <c r="D44" s="418">
        <f>inputPrYr!E26</f>
        <v>8000</v>
      </c>
      <c r="E44" s="328" t="s">
        <v>269</v>
      </c>
    </row>
    <row r="45" spans="2:5" ht="15.75">
      <c r="B45" s="82" t="s">
        <v>291</v>
      </c>
      <c r="C45" s="326">
        <v>55</v>
      </c>
      <c r="D45" s="326"/>
      <c r="E45" s="175"/>
    </row>
    <row r="46" spans="2:5" ht="15.75">
      <c r="B46" s="82" t="s">
        <v>292</v>
      </c>
      <c r="C46" s="326">
        <v>916</v>
      </c>
      <c r="D46" s="326"/>
      <c r="E46" s="267">
        <f>mvalloc!G18</f>
        <v>677</v>
      </c>
    </row>
    <row r="47" spans="2:5" ht="15.75">
      <c r="B47" s="82" t="s">
        <v>293</v>
      </c>
      <c r="C47" s="326">
        <v>37</v>
      </c>
      <c r="D47" s="326"/>
      <c r="E47" s="267">
        <f>mvalloc!I18</f>
        <v>28</v>
      </c>
    </row>
    <row r="48" spans="2:5" ht="15.75">
      <c r="B48" s="82" t="s">
        <v>54</v>
      </c>
      <c r="C48" s="326"/>
      <c r="D48" s="326"/>
      <c r="E48" s="267">
        <f>mvalloc!J18</f>
        <v>59</v>
      </c>
    </row>
    <row r="49" spans="2:5" ht="15.75">
      <c r="B49" s="82" t="s">
        <v>118</v>
      </c>
      <c r="C49" s="326"/>
      <c r="D49" s="326"/>
      <c r="E49" s="267">
        <f>mvalloc!K18</f>
        <v>0</v>
      </c>
    </row>
    <row r="50" spans="2:5" ht="15.75">
      <c r="B50" s="331" t="s">
        <v>837</v>
      </c>
      <c r="C50" s="326">
        <v>134</v>
      </c>
      <c r="D50" s="326"/>
      <c r="E50" s="175"/>
    </row>
    <row r="51" spans="2:5" ht="15.75">
      <c r="B51" s="331" t="s">
        <v>840</v>
      </c>
      <c r="C51" s="326">
        <v>130</v>
      </c>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9372</v>
      </c>
      <c r="D56" s="421">
        <f>SUM(D44:D54)</f>
        <v>8000</v>
      </c>
      <c r="E56" s="335">
        <f>SUM(E44:E54)</f>
        <v>764</v>
      </c>
    </row>
    <row r="57" spans="2:5" ht="15.75">
      <c r="B57" s="100" t="s">
        <v>298</v>
      </c>
      <c r="C57" s="421">
        <f>C56+C42</f>
        <v>20137</v>
      </c>
      <c r="D57" s="421">
        <f>D56+D42</f>
        <v>18537</v>
      </c>
      <c r="E57" s="335">
        <f>E56+E42</f>
        <v>9301</v>
      </c>
    </row>
    <row r="58" spans="2:5" ht="15.75">
      <c r="B58" s="82" t="s">
        <v>299</v>
      </c>
      <c r="C58" s="418"/>
      <c r="D58" s="418"/>
      <c r="E58" s="267"/>
    </row>
    <row r="59" spans="2:5" ht="15.75">
      <c r="B59" s="331" t="s">
        <v>841</v>
      </c>
      <c r="C59" s="326">
        <v>9600</v>
      </c>
      <c r="D59" s="326">
        <v>10000</v>
      </c>
      <c r="E59" s="175">
        <v>17451</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9600</v>
      </c>
      <c r="D67" s="421">
        <f>SUM(D59:D65)</f>
        <v>10000</v>
      </c>
      <c r="E67" s="335">
        <f>SUM(E59:E65)</f>
        <v>17451</v>
      </c>
    </row>
    <row r="68" spans="2:5" ht="15.75">
      <c r="B68" s="82" t="s">
        <v>74</v>
      </c>
      <c r="C68" s="422">
        <f>C57-C67</f>
        <v>10537</v>
      </c>
      <c r="D68" s="422">
        <f>D57-D67</f>
        <v>8537</v>
      </c>
      <c r="E68" s="328" t="s">
        <v>269</v>
      </c>
    </row>
    <row r="69" spans="2:6" ht="15.75">
      <c r="B69" s="121" t="str">
        <f>CONCATENATE("",$E$1-2,"/",$E$1-1," Budget Authority Amount:")</f>
        <v>2010/2011 Budget Authority Amount:</v>
      </c>
      <c r="C69" s="362">
        <f>inputOth!$B89</f>
        <v>17885</v>
      </c>
      <c r="D69" s="85">
        <f>inputPrYr!$D26</f>
        <v>27750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17451</v>
      </c>
    </row>
    <row r="72" spans="2:5" ht="15.75">
      <c r="B72" s="532" t="str">
        <f>CONCATENATE(C82,"     ",D82)</f>
        <v>     </v>
      </c>
      <c r="C72" s="535"/>
      <c r="D72" s="534" t="s">
        <v>302</v>
      </c>
      <c r="E72" s="186">
        <f>IF(E71-E57&gt;0,E71-E57,0)</f>
        <v>8150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8150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Lincoln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Lincoln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Lincoln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8">
      <selection activeCell="E71" sqref="E7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3142</v>
      </c>
      <c r="E20" s="175">
        <v>1825</v>
      </c>
    </row>
    <row r="21" spans="1:5" ht="15.75">
      <c r="A21" s="66"/>
      <c r="B21" s="108" t="s">
        <v>324</v>
      </c>
      <c r="C21" s="85" t="s">
        <v>108</v>
      </c>
      <c r="D21" s="175"/>
      <c r="E21" s="175"/>
    </row>
    <row r="22" spans="1:5" ht="15.75">
      <c r="A22" s="66"/>
      <c r="B22" s="108" t="s">
        <v>254</v>
      </c>
      <c r="C22" s="176" t="s">
        <v>239</v>
      </c>
      <c r="D22" s="175"/>
      <c r="E22" s="175"/>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t="s">
        <v>835</v>
      </c>
      <c r="C26" s="515" t="s">
        <v>836</v>
      </c>
      <c r="D26" s="175">
        <v>27750</v>
      </c>
      <c r="E26" s="175">
        <v>8000</v>
      </c>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9825</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30892</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0.179</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Cemetery</v>
      </c>
      <c r="C54" s="66"/>
      <c r="D54" s="189">
        <v>0.787</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0.966</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9825</v>
      </c>
    </row>
    <row r="62" spans="1:5" ht="15.75">
      <c r="A62" s="192" t="str">
        <f>CONCATENATE("Assessed Valuation (",D9-2," budget column):")</f>
        <v>Assessed Valuation (2010 budget column):</v>
      </c>
      <c r="B62" s="168"/>
      <c r="C62" s="66"/>
      <c r="D62" s="66"/>
      <c r="E62" s="193">
        <v>10169982</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Lincoln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8.796875" defaultRowHeight="15.75"/>
  <sheetData/>
  <sheetProtection/>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Lincoln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86" zoomScaleNormal="86" zoomScalePageLayoutView="0" workbookViewId="0" topLeftCell="A17">
      <selection activeCell="N39" sqref="N3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65" t="s">
        <v>313</v>
      </c>
      <c r="B3" s="665"/>
      <c r="C3" s="665"/>
      <c r="D3" s="665"/>
      <c r="E3" s="665"/>
      <c r="F3" s="665"/>
      <c r="G3" s="665"/>
      <c r="H3" s="665"/>
    </row>
    <row r="4" spans="1:8" ht="15.75">
      <c r="A4" s="708" t="str">
        <f>inputPrYr!D3</f>
        <v>Lincoln Township</v>
      </c>
      <c r="B4" s="708"/>
      <c r="C4" s="708"/>
      <c r="D4" s="708"/>
      <c r="E4" s="708"/>
      <c r="F4" s="708"/>
      <c r="G4" s="708"/>
      <c r="H4" s="708"/>
    </row>
    <row r="5" spans="1:8" ht="15.75">
      <c r="A5" s="708" t="str">
        <f>inputPrYr!D4</f>
        <v>Coffey County</v>
      </c>
      <c r="B5" s="708"/>
      <c r="C5" s="708"/>
      <c r="D5" s="708"/>
      <c r="E5" s="708"/>
      <c r="F5" s="708"/>
      <c r="G5" s="708"/>
      <c r="H5" s="708"/>
    </row>
    <row r="6" spans="1:8" ht="15.75">
      <c r="A6" s="707" t="str">
        <f>CONCATENATE("will meet on ",inputBudSum!B5," at ",inputBudSum!B7," at ",inputBudSum!B9," for the purpose of hearing and")</f>
        <v>will meet on September 6, 2011 at 9:00 A. M. at City Hall in Lebo for the purpose of hearing and</v>
      </c>
      <c r="B6" s="707"/>
      <c r="C6" s="707"/>
      <c r="D6" s="707"/>
      <c r="E6" s="707"/>
      <c r="F6" s="707"/>
      <c r="G6" s="707"/>
      <c r="H6" s="707"/>
    </row>
    <row r="7" spans="1:8" ht="15.75">
      <c r="A7" s="70" t="s">
        <v>432</v>
      </c>
      <c r="B7" s="67"/>
      <c r="C7" s="67"/>
      <c r="D7" s="67"/>
      <c r="E7" s="67"/>
      <c r="F7" s="67"/>
      <c r="G7" s="67"/>
      <c r="H7" s="67"/>
    </row>
    <row r="8" spans="1:8" ht="15.75">
      <c r="A8" s="670" t="str">
        <f>CONCATENATE("Detailed budget information is available at ",inputBudSum!B12," and will be available at this hearing.")</f>
        <v>Detailed budget information is available at City Hall in Lebo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62" t="str">
        <f>CONCATENATE("Amount of ",H1-1," Ad Valorem Tax")</f>
        <v>Amount of 2011 Ad Valorem Tax</v>
      </c>
      <c r="H14" s="76" t="s">
        <v>314</v>
      </c>
      <c r="I14" s="203"/>
    </row>
    <row r="15" spans="1:9" ht="15.75">
      <c r="A15" s="66"/>
      <c r="B15" s="78"/>
      <c r="C15" s="78" t="s">
        <v>315</v>
      </c>
      <c r="D15" s="78"/>
      <c r="E15" s="78" t="s">
        <v>315</v>
      </c>
      <c r="F15" s="528" t="s">
        <v>186</v>
      </c>
      <c r="G15" s="705"/>
      <c r="H15" s="78" t="s">
        <v>315</v>
      </c>
      <c r="I15" s="203"/>
    </row>
    <row r="16" spans="1:10" ht="15.75">
      <c r="A16" s="211" t="s">
        <v>265</v>
      </c>
      <c r="B16" s="81" t="s">
        <v>316</v>
      </c>
      <c r="C16" s="81" t="s">
        <v>317</v>
      </c>
      <c r="D16" s="81" t="s">
        <v>316</v>
      </c>
      <c r="E16" s="81" t="s">
        <v>317</v>
      </c>
      <c r="F16" s="527" t="s">
        <v>752</v>
      </c>
      <c r="G16" s="706"/>
      <c r="H16" s="81" t="s">
        <v>317</v>
      </c>
      <c r="I16" s="203"/>
      <c r="J16" s="589"/>
    </row>
    <row r="17" spans="1:10" ht="15.75">
      <c r="A17" s="92" t="str">
        <f>inputPrYr!B20</f>
        <v>General</v>
      </c>
      <c r="B17" s="92">
        <f>IF(gen!$C$46&lt;&gt;0,gen!$C$46,"  ")</f>
        <v>1845</v>
      </c>
      <c r="C17" s="95">
        <f>IF(inputPrYr!D48&gt;0,inputPrYr!D48,"  ")</f>
        <v>0.179</v>
      </c>
      <c r="D17" s="92">
        <f>IF(gen!$D$46&lt;&gt;0,gen!$D$46,"  ")</f>
        <v>1889</v>
      </c>
      <c r="E17" s="95">
        <f>IF(inputOth!D37&gt;0,inputOth!D37,"  ")</f>
        <v>0.172</v>
      </c>
      <c r="F17" s="92">
        <f>IF(gen!$E$46&lt;&gt;0,gen!$E$46,"  ")</f>
        <v>3151</v>
      </c>
      <c r="G17" s="92">
        <f>IF(gen!$E$53&lt;&gt;0,gen!$E$53,"")</f>
        <v>1850</v>
      </c>
      <c r="H17" s="95">
        <f>IF(gen!E53&gt;0,ROUND(G17/F38*1000,3)," ")</f>
        <v>0.171</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7" t="str">
        <f>CONCATENATE("Estimated Value Of One Mill For ",H1,"")</f>
        <v>Estimated Value Of One Mill For 2012</v>
      </c>
      <c r="K22" s="702"/>
      <c r="L22" s="702"/>
      <c r="M22" s="703"/>
    </row>
    <row r="23" spans="1:13" ht="15.75">
      <c r="A23" s="92" t="str">
        <f>IF(inputPrYr!$B26&gt;"  ",inputPrYr!$B26,"  ")</f>
        <v>Cemetery</v>
      </c>
      <c r="B23" s="92">
        <f>IF(levypage10!$C$67&lt;&gt;0,levypage10!$C$67,"  ")</f>
        <v>9600</v>
      </c>
      <c r="C23" s="95">
        <f>IF(inputPrYr!D54&gt;0,inputPrYr!D54,"  ")</f>
        <v>0.787</v>
      </c>
      <c r="D23" s="92">
        <f>IF(levypage10!$D$67&lt;&gt;0,levypage10!$D$67,"  ")</f>
        <v>10000</v>
      </c>
      <c r="E23" s="95">
        <f>IF(inputOth!D43&gt;0,inputOth!D43,"  ")</f>
        <v>0.752</v>
      </c>
      <c r="F23" s="92">
        <f>IF(levypage10!$E$67&lt;&gt;0,levypage10!$E$67,"  ")</f>
        <v>17451</v>
      </c>
      <c r="G23" s="92">
        <f>IF(levypage10!$E$74&lt;&gt;0,levypage10!$E$74,"  ")</f>
        <v>8150</v>
      </c>
      <c r="H23" s="95">
        <f>IF(levypage10!E74&gt;0,ROUND(G23/F38*1000,3)," ")</f>
        <v>0.755</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10797</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6219</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0.9239999999999999</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0</v>
      </c>
    </row>
    <row r="32" spans="1:13" ht="15.75">
      <c r="A32" s="92" t="str">
        <f>IF((inputPrYr!$B40&gt;"  "),(nonbud!$A3),"  ")</f>
        <v>  </v>
      </c>
      <c r="B32" s="267" t="str">
        <f>IF((nonbud!$K$28)&lt;&gt;0,(nonbud!$K$28),"  ")</f>
        <v>  </v>
      </c>
      <c r="C32" s="362"/>
      <c r="D32" s="92"/>
      <c r="E32" s="95"/>
      <c r="F32" s="92"/>
      <c r="G32" s="92"/>
      <c r="H32" s="95"/>
      <c r="J32" s="576" t="s">
        <v>772</v>
      </c>
      <c r="K32" s="564"/>
      <c r="L32" s="564"/>
      <c r="M32" s="575">
        <f>M44*-1</f>
        <v>-23</v>
      </c>
    </row>
    <row r="33" spans="1:13" ht="16.5" thickBot="1">
      <c r="A33" s="108" t="s">
        <v>267</v>
      </c>
      <c r="B33" s="509" t="str">
        <f>IF(road!C62&lt;&gt;0,road!C62,"  ")</f>
        <v>  </v>
      </c>
      <c r="C33" s="510"/>
      <c r="D33" s="510"/>
      <c r="E33" s="510"/>
      <c r="F33" s="510"/>
      <c r="G33" s="510"/>
      <c r="H33" s="510"/>
      <c r="J33" s="574"/>
      <c r="K33" s="574"/>
      <c r="L33" s="574"/>
      <c r="M33" s="574"/>
    </row>
    <row r="34" spans="1:13" ht="15.75">
      <c r="A34" s="108" t="s">
        <v>268</v>
      </c>
      <c r="B34" s="507">
        <f aca="true" t="shared" si="0" ref="B34:H34">SUM(B17:B33)</f>
        <v>11445</v>
      </c>
      <c r="C34" s="508">
        <f t="shared" si="0"/>
        <v>0.966</v>
      </c>
      <c r="D34" s="507">
        <f t="shared" si="0"/>
        <v>11889</v>
      </c>
      <c r="E34" s="508">
        <f t="shared" si="0"/>
        <v>0.9239999999999999</v>
      </c>
      <c r="F34" s="507">
        <f t="shared" si="0"/>
        <v>20602</v>
      </c>
      <c r="G34" s="507">
        <f t="shared" si="0"/>
        <v>10000</v>
      </c>
      <c r="H34" s="508">
        <f t="shared" si="0"/>
        <v>0.926</v>
      </c>
      <c r="J34" s="697" t="str">
        <f>CONCATENATE("Impact On Keeping The Same Mill Rate As For ",H1-1,"")</f>
        <v>Impact On Keeping The Same Mill Rate As For 2011</v>
      </c>
      <c r="K34" s="700"/>
      <c r="L34" s="700"/>
      <c r="M34" s="701"/>
    </row>
    <row r="35" spans="1:13" ht="15.75">
      <c r="A35" s="108" t="s">
        <v>318</v>
      </c>
      <c r="B35" s="92">
        <f>transfer!C29</f>
        <v>0</v>
      </c>
      <c r="C35" s="66"/>
      <c r="D35" s="92">
        <f>transfer!D29</f>
        <v>0</v>
      </c>
      <c r="E35" s="213"/>
      <c r="F35" s="92">
        <f>transfer!E29</f>
        <v>0</v>
      </c>
      <c r="G35" s="66"/>
      <c r="H35" s="66"/>
      <c r="J35" s="582"/>
      <c r="K35" s="587"/>
      <c r="L35" s="587"/>
      <c r="M35" s="581"/>
    </row>
    <row r="36" spans="1:13" ht="16.5" thickBot="1">
      <c r="A36" s="108" t="s">
        <v>319</v>
      </c>
      <c r="B36" s="511">
        <f>B34-B35</f>
        <v>11445</v>
      </c>
      <c r="C36" s="66"/>
      <c r="D36" s="511">
        <f>D34-D35</f>
        <v>11889</v>
      </c>
      <c r="E36" s="66"/>
      <c r="F36" s="511">
        <f>F34-F35</f>
        <v>20602</v>
      </c>
      <c r="G36" s="66"/>
      <c r="H36" s="66"/>
      <c r="J36" s="582" t="str">
        <f>CONCATENATE("",H1," Ad Valorem Tax Rev(Township Only):")</f>
        <v>2012 Ad Valorem Tax Rev(Township Only):</v>
      </c>
      <c r="K36" s="587"/>
      <c r="L36" s="587"/>
      <c r="M36" s="586">
        <f>SUM(G19:G22)</f>
        <v>0</v>
      </c>
    </row>
    <row r="37" spans="1:13" ht="16.5" thickTop="1">
      <c r="A37" s="108" t="s">
        <v>0</v>
      </c>
      <c r="B37" s="236">
        <f>inputPrYr!E61</f>
        <v>9825</v>
      </c>
      <c r="C37" s="213"/>
      <c r="D37" s="236">
        <f>inputPrYr!E31</f>
        <v>9825</v>
      </c>
      <c r="E37" s="66"/>
      <c r="F37" s="512" t="s">
        <v>269</v>
      </c>
      <c r="G37" s="66"/>
      <c r="H37" s="66"/>
      <c r="J37" s="582" t="str">
        <f>CONCATENATE("",H1," Ad Valorem Tax Rev(Township Tot):")</f>
        <v>2012 Ad Valorem Tax Rev(Township Tot):</v>
      </c>
      <c r="K37" s="587"/>
      <c r="L37" s="587"/>
      <c r="M37" s="600">
        <f>SUM(G17,G18,G23,G24,G25,G26,G27)</f>
        <v>10000</v>
      </c>
    </row>
    <row r="38" spans="1:13" ht="15.75">
      <c r="A38" s="108" t="s">
        <v>193</v>
      </c>
      <c r="B38" s="92">
        <f>inputPrYr!E62</f>
        <v>10169982</v>
      </c>
      <c r="C38" s="213"/>
      <c r="D38" s="92">
        <f>inputOth!E54</f>
        <v>10641901</v>
      </c>
      <c r="E38" s="213"/>
      <c r="F38" s="92">
        <f>inputOth!E11</f>
        <v>10797302</v>
      </c>
      <c r="G38" s="66"/>
      <c r="H38" s="66"/>
      <c r="J38" s="582" t="str">
        <f>CONCATENATE("Total ",H1," Ad Valorem Tax Revenue:")</f>
        <v>Total 2012 Ad Valorem Tax Revenue:</v>
      </c>
      <c r="K38" s="541"/>
      <c r="L38" s="541"/>
      <c r="M38" s="601">
        <f>M36+M37</f>
        <v>10000</v>
      </c>
    </row>
    <row r="39" spans="1:14" ht="15.75">
      <c r="A39" s="82" t="s">
        <v>249</v>
      </c>
      <c r="B39" s="214"/>
      <c r="C39" s="66"/>
      <c r="D39" s="182"/>
      <c r="E39" s="66"/>
      <c r="F39" s="92">
        <f>inputOth!E8</f>
        <v>6219227</v>
      </c>
      <c r="G39" s="66"/>
      <c r="H39" s="66"/>
      <c r="J39" s="582" t="str">
        <f>CONCATENATE("",H1-1," Ad Valorem Tax Rev(Township Only):")</f>
        <v>2011 Ad Valorem Tax Rev(Township Only):</v>
      </c>
      <c r="K39" s="587"/>
      <c r="L39" s="587"/>
      <c r="M39" s="602">
        <f>ROUND(SUM(E19:E22)*F39/1000,0)</f>
        <v>0</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9977</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9977</v>
      </c>
      <c r="O41" s="594"/>
    </row>
    <row r="42" spans="1:13" ht="15.75">
      <c r="A42" s="74" t="s">
        <v>2</v>
      </c>
      <c r="B42" s="215">
        <f>H1-3</f>
        <v>2009</v>
      </c>
      <c r="C42" s="66"/>
      <c r="D42" s="215">
        <f>H1-2</f>
        <v>2010</v>
      </c>
      <c r="E42" s="66"/>
      <c r="F42" s="215">
        <f>H1-1</f>
        <v>2011</v>
      </c>
      <c r="G42" s="66"/>
      <c r="H42" s="66"/>
      <c r="J42" s="579" t="s">
        <v>762</v>
      </c>
      <c r="K42" s="578"/>
      <c r="L42" s="578"/>
      <c r="M42" s="577">
        <f>M38-M41</f>
        <v>23</v>
      </c>
    </row>
    <row r="43" spans="1:13" ht="15.75">
      <c r="A43" s="74" t="s">
        <v>3</v>
      </c>
      <c r="B43" s="85">
        <f>inputPrYr!D65</f>
        <v>0</v>
      </c>
      <c r="C43" s="71"/>
      <c r="D43" s="85">
        <f>inputPrYr!E65</f>
        <v>0</v>
      </c>
      <c r="E43" s="71"/>
      <c r="F43" s="85">
        <f>debt!E11</f>
        <v>0</v>
      </c>
      <c r="G43" s="66"/>
      <c r="H43" s="66"/>
      <c r="J43" s="605" t="s">
        <v>767</v>
      </c>
      <c r="K43" s="606"/>
      <c r="L43" s="606"/>
      <c r="M43" s="601">
        <f>M36-M39</f>
        <v>0</v>
      </c>
    </row>
    <row r="44" spans="1:13" ht="15.75">
      <c r="A44" s="74" t="s">
        <v>295</v>
      </c>
      <c r="B44" s="85">
        <f>inputPrYr!D66</f>
        <v>0</v>
      </c>
      <c r="C44" s="71"/>
      <c r="D44" s="85">
        <f>inputPrYr!E66</f>
        <v>0</v>
      </c>
      <c r="E44" s="71"/>
      <c r="F44" s="85">
        <f>debt!E15</f>
        <v>0</v>
      </c>
      <c r="G44" s="66"/>
      <c r="H44" s="390"/>
      <c r="J44" s="576" t="s">
        <v>766</v>
      </c>
      <c r="K44" s="564"/>
      <c r="L44" s="564"/>
      <c r="M44" s="575">
        <f>M37-M40</f>
        <v>23</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7" t="s">
        <v>763</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Lincoln Township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Cemetery</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10797302</v>
      </c>
      <c r="E20" s="66"/>
      <c r="F20" s="196"/>
    </row>
    <row r="21" spans="1:6" ht="15.75">
      <c r="A21" s="66"/>
      <c r="B21" s="66"/>
      <c r="C21" s="66"/>
      <c r="D21" s="66"/>
      <c r="E21" s="66"/>
      <c r="F21" s="196"/>
    </row>
    <row r="22" spans="1:6" ht="15.75">
      <c r="A22" s="66"/>
      <c r="B22" s="711" t="s">
        <v>390</v>
      </c>
      <c r="C22" s="711"/>
      <c r="D22" s="372">
        <f>IF(D20&gt;0,(D20*0.001),"")</f>
        <v>10797.302</v>
      </c>
      <c r="E22" s="66"/>
      <c r="F22" s="196"/>
    </row>
    <row r="23" spans="1:6" ht="15.75">
      <c r="A23" s="66"/>
      <c r="B23" s="121"/>
      <c r="C23" s="121"/>
      <c r="D23" s="373"/>
      <c r="E23" s="66"/>
      <c r="F23" s="196"/>
    </row>
    <row r="24" spans="1:6" ht="15.75">
      <c r="A24" s="709" t="s">
        <v>391</v>
      </c>
      <c r="B24" s="657"/>
      <c r="C24" s="657"/>
      <c r="D24" s="374">
        <f>inputOth!E33</f>
        <v>0</v>
      </c>
      <c r="E24" s="183"/>
      <c r="F24" s="183"/>
    </row>
    <row r="25" spans="1:6" ht="15.75">
      <c r="A25" s="183"/>
      <c r="B25" s="183"/>
      <c r="C25" s="183"/>
      <c r="D25" s="375"/>
      <c r="E25" s="183"/>
      <c r="F25" s="183"/>
    </row>
    <row r="26" spans="1:6" ht="15.75">
      <c r="A26" s="183"/>
      <c r="B26" s="709" t="s">
        <v>392</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2" t="s">
        <v>84</v>
      </c>
      <c r="B1" s="712"/>
      <c r="C1" s="712"/>
      <c r="D1" s="712"/>
      <c r="E1" s="712"/>
      <c r="F1" s="712"/>
      <c r="G1" s="712"/>
    </row>
    <row r="2" ht="15.75">
      <c r="A2" s="21"/>
    </row>
    <row r="3" spans="1:7" ht="15.75">
      <c r="A3" s="713" t="s">
        <v>85</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Lincoln Township </v>
      </c>
      <c r="I6">
        <f>CONCATENATE(I7)</f>
      </c>
    </row>
    <row r="7" spans="1:7" ht="15.75">
      <c r="A7" s="714" t="str">
        <f>CONCATENATE("   with respect to financing the ",inputPrYr!D9," annual budget for ",(inputPrYr!D3)," , ",(inputPrYr!D4)," , Kansas.")</f>
        <v>   with respect to financing the 2012 annual budget for Lincoln Township , Coffey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Lincoln Township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91</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87</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Lincoln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Lincoln Township of Coffey County, Kansas that is our desire to notify the public of increased property taxes to finance the 2012 Lincoln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_________ day of ___________, ",inputPrYr!D9-1," by the ",(inputPrYr!D3)," Board, ",(inputPrYr!D4),", Kansas.")</f>
        <v>Adopted this _________ day of ___________, 2011 by the Lincoln Township Board, Coffey County,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Lincoln Township Board</v>
      </c>
      <c r="E33" s="716"/>
      <c r="F33" s="716"/>
      <c r="G33" s="716"/>
    </row>
    <row r="35" spans="4:7" ht="15.75">
      <c r="D35" s="719" t="s">
        <v>89</v>
      </c>
      <c r="E35" s="719"/>
      <c r="F35" s="719"/>
      <c r="G35" s="719"/>
    </row>
    <row r="36" spans="1:7" ht="15.75">
      <c r="A36" s="25"/>
      <c r="D36" s="719" t="s">
        <v>93</v>
      </c>
      <c r="E36" s="719"/>
      <c r="F36" s="719"/>
      <c r="G36" s="719"/>
    </row>
    <row r="37" spans="4:7" ht="15.75">
      <c r="D37" s="719"/>
      <c r="E37" s="719"/>
      <c r="F37" s="719"/>
      <c r="G37" s="719"/>
    </row>
    <row r="38" spans="4:7" ht="15.75">
      <c r="D38" s="719" t="s">
        <v>89</v>
      </c>
      <c r="E38" s="719"/>
      <c r="F38" s="719"/>
      <c r="G38" s="719"/>
    </row>
    <row r="39" spans="1:7" ht="15.75">
      <c r="A39" s="24"/>
      <c r="D39" s="719" t="s">
        <v>94</v>
      </c>
      <c r="E39" s="719"/>
      <c r="F39" s="719"/>
      <c r="G39" s="719"/>
    </row>
    <row r="40" spans="4:7" ht="15.75">
      <c r="D40" s="719"/>
      <c r="E40" s="719"/>
      <c r="F40" s="719"/>
      <c r="G40" s="719"/>
    </row>
    <row r="41" spans="4:7" ht="15.75">
      <c r="D41" s="719" t="s">
        <v>92</v>
      </c>
      <c r="E41" s="719"/>
      <c r="F41" s="719"/>
      <c r="G41" s="719"/>
    </row>
    <row r="42" spans="1:7" ht="15.75">
      <c r="A42" s="24"/>
      <c r="D42" s="719" t="s">
        <v>95</v>
      </c>
      <c r="E42" s="719"/>
      <c r="F42" s="719"/>
      <c r="G42" s="719"/>
    </row>
    <row r="43" ht="15.75">
      <c r="A43" s="26"/>
    </row>
    <row r="44" ht="15.75">
      <c r="A44" s="26"/>
    </row>
    <row r="45" ht="15.75">
      <c r="A45" s="26" t="s">
        <v>90</v>
      </c>
    </row>
    <row r="50" spans="3:4" ht="15.75">
      <c r="C50" s="32" t="s">
        <v>283</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8">
      <selection activeCell="D47" sqref="D4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Lincoln Township</v>
      </c>
      <c r="B1" s="30"/>
      <c r="C1" s="30"/>
      <c r="D1" s="30"/>
      <c r="E1" s="30">
        <f>inputPrYr!D9</f>
        <v>2012</v>
      </c>
    </row>
    <row r="2" spans="1:5" ht="15.75">
      <c r="A2" s="42" t="str">
        <f>inputPrYr!D4</f>
        <v>Coffey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6219227</v>
      </c>
    </row>
    <row r="9" spans="1:5" ht="15.75">
      <c r="A9" s="15" t="str">
        <f>inputPrYr!$D$6</f>
        <v>Lebo City</v>
      </c>
      <c r="B9" s="16"/>
      <c r="C9" s="16"/>
      <c r="D9" s="16"/>
      <c r="E9" s="35">
        <v>4578075</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10797302</v>
      </c>
    </row>
    <row r="12" spans="1:5" ht="15.75">
      <c r="A12" s="55" t="str">
        <f>CONCATENATE("New Improvements for ",E1-1,":")</f>
        <v>New Improvements for 2011:</v>
      </c>
      <c r="B12" s="10"/>
      <c r="C12" s="10"/>
      <c r="D12" s="10"/>
      <c r="E12" s="34"/>
    </row>
    <row r="13" spans="1:5" ht="15.75">
      <c r="A13" s="13" t="s">
        <v>165</v>
      </c>
      <c r="B13" s="14"/>
      <c r="C13" s="14"/>
      <c r="D13" s="14"/>
      <c r="E13" s="53">
        <v>63688</v>
      </c>
    </row>
    <row r="14" spans="1:5" ht="15.75">
      <c r="A14" s="15" t="str">
        <f>inputPrYr!$D$6</f>
        <v>Lebo City</v>
      </c>
      <c r="B14" s="14"/>
      <c r="C14" s="14"/>
      <c r="D14" s="14"/>
      <c r="E14" s="3">
        <v>36305</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99993</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334763</v>
      </c>
    </row>
    <row r="19" spans="1:5" ht="15.75">
      <c r="A19" s="15" t="str">
        <f>inputPrYr!$D$6</f>
        <v>Lebo City</v>
      </c>
      <c r="B19" s="16"/>
      <c r="C19" s="16"/>
      <c r="D19" s="16"/>
      <c r="E19" s="3">
        <v>189562</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524325</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89607</v>
      </c>
    </row>
    <row r="24" spans="1:5" ht="15.75">
      <c r="A24" s="15" t="str">
        <f>inputPrYr!$D$6</f>
        <v>Lebo City</v>
      </c>
      <c r="B24" s="16"/>
      <c r="C24" s="16"/>
      <c r="D24" s="16"/>
      <c r="E24" s="3">
        <v>24327</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113934</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306761</v>
      </c>
    </row>
    <row r="29" spans="1:5" ht="15.75">
      <c r="A29" s="15" t="str">
        <f>inputPrYr!$D$6</f>
        <v>Lebo City</v>
      </c>
      <c r="B29" s="16"/>
      <c r="C29" s="16"/>
      <c r="D29" s="16"/>
      <c r="E29" s="3">
        <v>219750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526511</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0.172</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Cemetery</v>
      </c>
      <c r="B43" s="16"/>
      <c r="C43" s="10"/>
      <c r="D43" s="51">
        <v>0.752</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0.9239999999999999</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6021756</v>
      </c>
    </row>
    <row r="52" spans="1:5" ht="15.75">
      <c r="A52" s="16" t="str">
        <f>inputPrYr!D6</f>
        <v>Lebo City</v>
      </c>
      <c r="B52" s="16"/>
      <c r="C52" s="16"/>
      <c r="D52" s="20"/>
      <c r="E52" s="4">
        <v>4620145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10641901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832</v>
      </c>
    </row>
    <row r="59" spans="1:5" ht="15.75">
      <c r="A59" s="15" t="s">
        <v>256</v>
      </c>
      <c r="B59" s="16"/>
      <c r="C59" s="16"/>
      <c r="D59" s="40"/>
      <c r="E59" s="2">
        <v>34</v>
      </c>
    </row>
    <row r="60" spans="1:5" ht="15.75">
      <c r="A60" s="15" t="s">
        <v>116</v>
      </c>
      <c r="B60" s="16"/>
      <c r="C60" s="16"/>
      <c r="D60" s="40"/>
      <c r="E60" s="2">
        <v>73</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2741</v>
      </c>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Cemetery</v>
      </c>
      <c r="B89" s="4">
        <v>17885</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683</v>
      </c>
      <c r="C6" s="740"/>
      <c r="D6" s="740"/>
      <c r="E6" s="740"/>
      <c r="F6" s="740"/>
      <c r="G6" s="740"/>
      <c r="H6" s="740"/>
      <c r="I6" s="740"/>
      <c r="J6" s="740"/>
      <c r="K6" s="740"/>
      <c r="L6" s="429"/>
    </row>
    <row r="7" spans="1:12" ht="40.5" customHeight="1">
      <c r="A7" s="427"/>
      <c r="B7" s="749" t="s">
        <v>684</v>
      </c>
      <c r="C7" s="750"/>
      <c r="D7" s="750"/>
      <c r="E7" s="750"/>
      <c r="F7" s="750"/>
      <c r="G7" s="750"/>
      <c r="H7" s="750"/>
      <c r="I7" s="750"/>
      <c r="J7" s="750"/>
      <c r="K7" s="750"/>
      <c r="L7" s="427"/>
    </row>
    <row r="8" spans="1:12" ht="14.25">
      <c r="A8" s="427"/>
      <c r="B8" s="742" t="s">
        <v>685</v>
      </c>
      <c r="C8" s="742"/>
      <c r="D8" s="742"/>
      <c r="E8" s="742"/>
      <c r="F8" s="742"/>
      <c r="G8" s="742"/>
      <c r="H8" s="742"/>
      <c r="I8" s="742"/>
      <c r="J8" s="742"/>
      <c r="K8" s="742"/>
      <c r="L8" s="427"/>
    </row>
    <row r="9" spans="1:12" ht="14.25">
      <c r="A9" s="427"/>
      <c r="L9" s="427"/>
    </row>
    <row r="10" spans="1:12" ht="14.25">
      <c r="A10" s="427"/>
      <c r="B10" s="742" t="s">
        <v>686</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687</v>
      </c>
      <c r="C12" s="730"/>
      <c r="D12" s="730"/>
      <c r="E12" s="730"/>
      <c r="F12" s="730"/>
      <c r="G12" s="730"/>
      <c r="H12" s="730"/>
      <c r="I12" s="730"/>
      <c r="J12" s="730"/>
      <c r="K12" s="730"/>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32">
        <v>133685008</v>
      </c>
      <c r="G23" s="732"/>
      <c r="L23" s="427"/>
    </row>
    <row r="24" spans="1:12" ht="14.25">
      <c r="A24" s="427"/>
      <c r="L24" s="427"/>
    </row>
    <row r="25" spans="1:12" ht="14.25">
      <c r="A25" s="427"/>
      <c r="C25" s="743">
        <f>F23</f>
        <v>133685008</v>
      </c>
      <c r="D25" s="743"/>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684</v>
      </c>
      <c r="C30" s="737"/>
      <c r="D30" s="737"/>
      <c r="E30" s="737"/>
      <c r="F30" s="737"/>
      <c r="G30" s="737"/>
      <c r="H30" s="737"/>
      <c r="I30" s="737"/>
      <c r="J30" s="737"/>
      <c r="K30" s="737"/>
      <c r="L30" s="427"/>
    </row>
    <row r="31" spans="1:12" ht="14.25">
      <c r="A31" s="427"/>
      <c r="B31" s="742" t="s">
        <v>698</v>
      </c>
      <c r="C31" s="742"/>
      <c r="D31" s="742"/>
      <c r="E31" s="742"/>
      <c r="F31" s="742"/>
      <c r="G31" s="742"/>
      <c r="H31" s="742"/>
      <c r="I31" s="742"/>
      <c r="J31" s="742"/>
      <c r="K31" s="742"/>
      <c r="L31" s="427"/>
    </row>
    <row r="32" spans="1:12" ht="14.25">
      <c r="A32" s="427"/>
      <c r="L32" s="427"/>
    </row>
    <row r="33" spans="1:12" ht="14.25">
      <c r="A33" s="427"/>
      <c r="B33" s="742" t="s">
        <v>699</v>
      </c>
      <c r="C33" s="742"/>
      <c r="D33" s="742"/>
      <c r="E33" s="742"/>
      <c r="F33" s="742"/>
      <c r="G33" s="742"/>
      <c r="H33" s="742"/>
      <c r="I33" s="742"/>
      <c r="J33" s="742"/>
      <c r="K33" s="742"/>
      <c r="L33" s="427"/>
    </row>
    <row r="34" spans="1:12" ht="14.25">
      <c r="A34" s="427"/>
      <c r="L34" s="427"/>
    </row>
    <row r="35" spans="1:12" ht="89.25" customHeight="1">
      <c r="A35" s="427"/>
      <c r="B35" s="730" t="s">
        <v>700</v>
      </c>
      <c r="C35" s="735"/>
      <c r="D35" s="735"/>
      <c r="E35" s="735"/>
      <c r="F35" s="735"/>
      <c r="G35" s="735"/>
      <c r="H35" s="735"/>
      <c r="I35" s="735"/>
      <c r="J35" s="735"/>
      <c r="K35" s="735"/>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44">
        <v>3120000</v>
      </c>
      <c r="D41" s="744"/>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32">
        <v>133685008</v>
      </c>
      <c r="C48" s="732"/>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45" t="s">
        <v>708</v>
      </c>
      <c r="H50" s="746"/>
      <c r="I50" s="439" t="s">
        <v>694</v>
      </c>
      <c r="J50" s="449">
        <f>B50/F50</f>
        <v>52.8690023342034</v>
      </c>
      <c r="K50" s="441"/>
      <c r="L50" s="427"/>
    </row>
    <row r="51" spans="1:15" ht="15" thickBot="1">
      <c r="A51" s="427"/>
      <c r="B51" s="442"/>
      <c r="C51" s="443"/>
      <c r="D51" s="443"/>
      <c r="E51" s="443"/>
      <c r="F51" s="443"/>
      <c r="G51" s="443"/>
      <c r="H51" s="443"/>
      <c r="I51" s="747" t="s">
        <v>709</v>
      </c>
      <c r="J51" s="747"/>
      <c r="K51" s="748"/>
      <c r="L51" s="427"/>
      <c r="O51" s="450"/>
    </row>
    <row r="52" spans="1:12" ht="40.5" customHeight="1">
      <c r="A52" s="427"/>
      <c r="B52" s="737" t="s">
        <v>684</v>
      </c>
      <c r="C52" s="737"/>
      <c r="D52" s="737"/>
      <c r="E52" s="737"/>
      <c r="F52" s="737"/>
      <c r="G52" s="737"/>
      <c r="H52" s="737"/>
      <c r="I52" s="737"/>
      <c r="J52" s="737"/>
      <c r="K52" s="737"/>
      <c r="L52" s="427"/>
    </row>
    <row r="53" spans="1:12" ht="14.25">
      <c r="A53" s="427"/>
      <c r="B53" s="742" t="s">
        <v>710</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711</v>
      </c>
      <c r="C55" s="729"/>
      <c r="D55" s="729"/>
      <c r="E55" s="729"/>
      <c r="F55" s="729"/>
      <c r="G55" s="729"/>
      <c r="H55" s="729"/>
      <c r="I55" s="729"/>
      <c r="J55" s="729"/>
      <c r="K55" s="729"/>
      <c r="L55" s="427"/>
    </row>
    <row r="56" spans="1:12" ht="15" customHeight="1">
      <c r="A56" s="427"/>
      <c r="L56" s="427"/>
    </row>
    <row r="57" spans="1:24" ht="74.25" customHeight="1">
      <c r="A57" s="427"/>
      <c r="B57" s="730" t="s">
        <v>712</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32">
        <v>133685008</v>
      </c>
      <c r="D74" s="732"/>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32">
        <v>5000</v>
      </c>
      <c r="D77" s="732"/>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32">
        <v>100000</v>
      </c>
      <c r="D80" s="732"/>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684</v>
      </c>
      <c r="C85" s="737"/>
      <c r="D85" s="737"/>
      <c r="E85" s="737"/>
      <c r="F85" s="737"/>
      <c r="G85" s="737"/>
      <c r="H85" s="737"/>
      <c r="I85" s="737"/>
      <c r="J85" s="737"/>
      <c r="K85" s="737"/>
      <c r="L85" s="427"/>
    </row>
    <row r="86" spans="1:12" ht="14.25">
      <c r="A86" s="427"/>
      <c r="B86" s="729" t="s">
        <v>732</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733</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734</v>
      </c>
      <c r="C90" s="730"/>
      <c r="D90" s="730"/>
      <c r="E90" s="730"/>
      <c r="F90" s="730"/>
      <c r="G90" s="730"/>
      <c r="H90" s="730"/>
      <c r="I90" s="730"/>
      <c r="J90" s="730"/>
      <c r="K90" s="730"/>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32">
        <v>133685008</v>
      </c>
      <c r="D94" s="732"/>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32">
        <v>50000</v>
      </c>
      <c r="D97" s="732"/>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32">
        <v>2500000</v>
      </c>
      <c r="D100" s="732"/>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684</v>
      </c>
      <c r="C105" s="738"/>
      <c r="D105" s="738"/>
      <c r="E105" s="738"/>
      <c r="F105" s="738"/>
      <c r="G105" s="738"/>
      <c r="H105" s="738"/>
      <c r="I105" s="738"/>
      <c r="J105" s="738"/>
      <c r="K105" s="738"/>
      <c r="L105" s="427"/>
    </row>
    <row r="106" spans="1:12" ht="15" customHeight="1">
      <c r="A106" s="427"/>
      <c r="B106" s="739" t="s">
        <v>736</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737</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738</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32">
        <v>133685008</v>
      </c>
      <c r="D114" s="732"/>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32">
        <v>50000</v>
      </c>
      <c r="D117" s="732"/>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32">
        <v>2500000</v>
      </c>
      <c r="D120" s="732"/>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684</v>
      </c>
      <c r="C125" s="737"/>
      <c r="D125" s="737"/>
      <c r="E125" s="737"/>
      <c r="F125" s="737"/>
      <c r="G125" s="737"/>
      <c r="H125" s="737"/>
      <c r="I125" s="737"/>
      <c r="J125" s="737"/>
      <c r="K125" s="737"/>
      <c r="L125" s="481"/>
    </row>
    <row r="126" spans="1:12" ht="14.25">
      <c r="A126" s="427"/>
      <c r="B126" s="729" t="s">
        <v>739</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740</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741</v>
      </c>
      <c r="C130" s="730"/>
      <c r="D130" s="730"/>
      <c r="E130" s="730"/>
      <c r="F130" s="730"/>
      <c r="G130" s="730"/>
      <c r="H130" s="730"/>
      <c r="I130" s="730"/>
      <c r="J130" s="730"/>
      <c r="K130" s="730"/>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31" t="s">
        <v>742</v>
      </c>
      <c r="D133" s="731"/>
      <c r="E133" s="438"/>
      <c r="F133" s="439" t="s">
        <v>743</v>
      </c>
      <c r="G133" s="438"/>
      <c r="H133" s="731" t="s">
        <v>728</v>
      </c>
      <c r="I133" s="731"/>
      <c r="J133" s="438"/>
      <c r="K133" s="441"/>
      <c r="L133" s="427"/>
    </row>
    <row r="134" spans="1:12" ht="14.25">
      <c r="A134" s="427"/>
      <c r="B134" s="447" t="s">
        <v>721</v>
      </c>
      <c r="C134" s="732">
        <v>100000</v>
      </c>
      <c r="D134" s="732"/>
      <c r="E134" s="439" t="s">
        <v>269</v>
      </c>
      <c r="F134" s="439">
        <v>0.115</v>
      </c>
      <c r="G134" s="439" t="s">
        <v>694</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728</v>
      </c>
      <c r="D136" s="733"/>
      <c r="E136" s="458"/>
      <c r="F136" s="459" t="s">
        <v>744</v>
      </c>
      <c r="G136" s="459"/>
      <c r="H136" s="458"/>
      <c r="I136" s="458"/>
      <c r="J136" s="458" t="s">
        <v>745</v>
      </c>
      <c r="K136" s="460"/>
      <c r="L136" s="427"/>
    </row>
    <row r="137" spans="1:12" ht="14.25">
      <c r="A137" s="427"/>
      <c r="B137" s="447" t="s">
        <v>724</v>
      </c>
      <c r="C137" s="724">
        <f>H134</f>
        <v>11500</v>
      </c>
      <c r="D137" s="724"/>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748</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24" t="s">
        <v>749</v>
      </c>
      <c r="D147" s="724"/>
      <c r="E147" s="439"/>
      <c r="F147" s="499" t="s">
        <v>750</v>
      </c>
      <c r="G147" s="439"/>
      <c r="H147" s="439"/>
      <c r="I147" s="439"/>
      <c r="J147" s="725" t="s">
        <v>751</v>
      </c>
      <c r="K147" s="726"/>
      <c r="L147" s="427"/>
    </row>
    <row r="148" spans="1:12" ht="14.25">
      <c r="A148" s="427"/>
      <c r="B148" s="447"/>
      <c r="C148" s="727">
        <v>52.869</v>
      </c>
      <c r="D148" s="727"/>
      <c r="E148" s="439" t="s">
        <v>269</v>
      </c>
      <c r="F148" s="504">
        <v>133685008</v>
      </c>
      <c r="G148" s="505" t="s">
        <v>695</v>
      </c>
      <c r="H148" s="439">
        <v>1000</v>
      </c>
      <c r="I148" s="439" t="s">
        <v>694</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6" sqref="C16"/>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842</v>
      </c>
      <c r="C5" s="395"/>
      <c r="D5" s="220" t="s">
        <v>824</v>
      </c>
    </row>
    <row r="6" spans="1:4" ht="15.75">
      <c r="A6" s="220"/>
      <c r="B6" s="396"/>
      <c r="C6" s="397"/>
      <c r="D6" s="220" t="s">
        <v>823</v>
      </c>
    </row>
    <row r="7" spans="1:4" ht="15.75">
      <c r="A7" s="220" t="s">
        <v>401</v>
      </c>
      <c r="B7" s="394" t="s">
        <v>843</v>
      </c>
      <c r="C7" s="398"/>
      <c r="D7" s="220"/>
    </row>
    <row r="8" spans="1:4" ht="15.75">
      <c r="A8" s="220"/>
      <c r="B8" s="220"/>
      <c r="C8" s="220"/>
      <c r="D8" s="220"/>
    </row>
    <row r="9" spans="1:5" ht="15.75">
      <c r="A9" s="220" t="s">
        <v>402</v>
      </c>
      <c r="B9" s="399" t="s">
        <v>844</v>
      </c>
      <c r="C9" s="399"/>
      <c r="D9" s="399"/>
      <c r="E9" s="400"/>
    </row>
    <row r="10" spans="1:4" ht="15.75">
      <c r="A10" s="220"/>
      <c r="B10" s="220"/>
      <c r="C10" s="220"/>
      <c r="D10" s="220"/>
    </row>
    <row r="11" spans="1:4" ht="15.75">
      <c r="A11" s="220"/>
      <c r="B11" s="220"/>
      <c r="C11" s="220"/>
      <c r="D11" s="220"/>
    </row>
    <row r="12" spans="1:5" ht="15.75">
      <c r="A12" s="220" t="s">
        <v>403</v>
      </c>
      <c r="B12" s="399" t="s">
        <v>844</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50" zoomScaleNormal="50"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Coffey County, State of Kansas</v>
      </c>
      <c r="B3" s="666"/>
      <c r="C3" s="666"/>
      <c r="D3" s="666"/>
      <c r="E3" s="666"/>
      <c r="F3" s="666"/>
      <c r="G3" s="666"/>
    </row>
    <row r="4" spans="1:6" s="66" customFormat="1" ht="15.75">
      <c r="A4" s="70" t="s">
        <v>107</v>
      </c>
      <c r="B4" s="67"/>
      <c r="C4" s="67"/>
      <c r="D4" s="67"/>
      <c r="E4" s="67"/>
      <c r="F4" s="67"/>
    </row>
    <row r="5" s="66" customFormat="1" ht="15.75">
      <c r="C5" s="607" t="str">
        <f>inputPrYr!D3</f>
        <v>Lincoln Township</v>
      </c>
    </row>
    <row r="6" spans="1:6" s="66" customFormat="1" ht="15.75">
      <c r="A6" s="670" t="s">
        <v>105</v>
      </c>
      <c r="B6" s="666"/>
      <c r="C6" s="666"/>
      <c r="D6" s="666"/>
      <c r="E6" s="666"/>
      <c r="F6" s="666"/>
    </row>
    <row r="7" spans="1:6" s="66" customFormat="1" ht="15.75" customHeight="1">
      <c r="A7" s="665" t="s">
        <v>106</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257</v>
      </c>
      <c r="E12" s="662" t="str">
        <f>CONCATENATE("Amount of ",G1-1," Ad Valorem Tax")</f>
        <v>Amount of 2011 Ad Valorem Tax</v>
      </c>
      <c r="F12" s="76" t="s">
        <v>258</v>
      </c>
    </row>
    <row r="13" spans="3:6" s="66" customFormat="1" ht="15.75">
      <c r="C13" s="76" t="s">
        <v>259</v>
      </c>
      <c r="D13" s="529" t="s">
        <v>186</v>
      </c>
      <c r="E13" s="663"/>
      <c r="F13" s="78" t="s">
        <v>260</v>
      </c>
    </row>
    <row r="14" spans="1:6" s="66" customFormat="1" ht="15.75">
      <c r="A14" s="79" t="s">
        <v>261</v>
      </c>
      <c r="B14" s="80"/>
      <c r="C14" s="81" t="s">
        <v>262</v>
      </c>
      <c r="D14" s="530" t="s">
        <v>752</v>
      </c>
      <c r="E14" s="664"/>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3151</v>
      </c>
      <c r="E20" s="85">
        <f>IF(gen!$E$53&lt;&gt;0,gen!$E$53,0)</f>
        <v>1850</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Cemetery</v>
      </c>
      <c r="B26" s="93" t="str">
        <f>IF(inputPrYr!C26&gt;0,inputPrYr!C26,"  ")</f>
        <v>17-1344</v>
      </c>
      <c r="C26" s="94" t="str">
        <f>IF(levypage10!C75&gt;0,levypage10!C75,"  ")</f>
        <v>  </v>
      </c>
      <c r="D26" s="85">
        <f>IF(levypage10!$E$67&lt;&gt;0,levypage10!$E$67,"  ")</f>
        <v>17451</v>
      </c>
      <c r="E26" s="85">
        <f>IF(levypage10!$E$74&lt;&gt;0,levypage10!$E$74,"  ")</f>
        <v>8150</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20602</v>
      </c>
      <c r="E37" s="102">
        <f>SUM(E20:E36)</f>
        <v>10000</v>
      </c>
      <c r="F37" s="103">
        <f>IF(SUM(F20:F36)&gt;0,SUM(F20:F36),"")</f>
      </c>
    </row>
    <row r="38" spans="1:3" s="66" customFormat="1" ht="16.5" thickTop="1">
      <c r="A38" s="87" t="s">
        <v>123</v>
      </c>
      <c r="B38" s="83"/>
      <c r="C38" s="98">
        <f>summ!C52</f>
        <v>0</v>
      </c>
    </row>
    <row r="39" spans="1:5" s="66" customFormat="1" ht="15.75">
      <c r="A39" s="82" t="s">
        <v>179</v>
      </c>
      <c r="B39" s="83"/>
      <c r="C39" s="98">
        <f>IF(nhood!C39&gt;0,nhood!C39,"")</f>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50" t="s">
        <v>79</v>
      </c>
      <c r="C41" s="651"/>
      <c r="D41" s="109"/>
      <c r="F41" s="74" t="s">
        <v>270</v>
      </c>
    </row>
    <row r="42" spans="1:6" s="66" customFormat="1" ht="15.75">
      <c r="A42" s="82" t="str">
        <f>inputPrYr!D3</f>
        <v>Lincoln Township</v>
      </c>
      <c r="B42" s="652"/>
      <c r="C42" s="653"/>
      <c r="D42" s="110"/>
      <c r="F42" s="74"/>
    </row>
    <row r="43" spans="1:6" s="66" customFormat="1" ht="15.75">
      <c r="A43" s="82" t="str">
        <f>inputPrYr!D6</f>
        <v>Lebo City</v>
      </c>
      <c r="B43" s="652"/>
      <c r="C43" s="660"/>
      <c r="D43" s="110"/>
      <c r="F43" s="74"/>
    </row>
    <row r="44" spans="1:6" s="66" customFormat="1" ht="15.75">
      <c r="A44" s="82">
        <f>inputPrYr!D7</f>
        <v>0</v>
      </c>
      <c r="B44" s="652"/>
      <c r="C44" s="660"/>
      <c r="D44" s="110"/>
      <c r="F44" s="74"/>
    </row>
    <row r="45" spans="1:6" s="66" customFormat="1" ht="15.75">
      <c r="A45" s="82" t="s">
        <v>193</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56" t="s">
        <v>272</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7">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Lincoln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9825</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9825</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99993</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524325</v>
      </c>
      <c r="F14" s="270"/>
      <c r="G14" s="194"/>
      <c r="H14" s="194"/>
      <c r="I14" s="274"/>
      <c r="J14" s="194"/>
    </row>
    <row r="15" spans="1:10" ht="15.75">
      <c r="A15" s="269"/>
      <c r="B15" s="66" t="s">
        <v>43</v>
      </c>
      <c r="C15" s="66" t="str">
        <f>CONCATENATE("Personal Property ",J1-2,"")</f>
        <v>Personal Property 2010</v>
      </c>
      <c r="D15" s="269" t="s">
        <v>38</v>
      </c>
      <c r="E15" s="273">
        <f>inputOth!E31</f>
        <v>526511</v>
      </c>
      <c r="F15" s="270"/>
      <c r="G15" s="274"/>
      <c r="H15" s="274"/>
      <c r="I15" s="194"/>
      <c r="J15" s="194"/>
    </row>
    <row r="16" spans="1:10" ht="15.75">
      <c r="A16" s="269"/>
      <c r="B16" s="66" t="s">
        <v>44</v>
      </c>
      <c r="C16" s="66" t="s">
        <v>63</v>
      </c>
      <c r="D16" s="66"/>
      <c r="E16" s="194"/>
      <c r="F16" s="194" t="s">
        <v>289</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113934</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213927</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10797302</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10583375</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0.020213495222459753</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199</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10024</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10024</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Lincoln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1825</v>
      </c>
      <c r="E12" s="239">
        <f>IF(inputOth!D37&gt;0,inputOth!D37,"  ")</f>
        <v>0.172</v>
      </c>
      <c r="F12" s="240"/>
      <c r="G12" s="92">
        <f>IF(inputPrYr!E20=0,0,G25-SUM(G13:G22))</f>
        <v>155</v>
      </c>
      <c r="H12" s="241"/>
      <c r="I12" s="92">
        <f>IF(inputPrYr!E20=0,0,I27-SUM(I13:I22))</f>
        <v>6</v>
      </c>
      <c r="J12" s="92">
        <f>IF(inputPrYr!E20=0,0,J29-SUM(J13:J22))</f>
        <v>14</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Cemetery</v>
      </c>
      <c r="C18" s="238"/>
      <c r="D18" s="92">
        <f>IF(inputPrYr!E26&gt;0,inputPrYr!E26,"  ")</f>
        <v>8000</v>
      </c>
      <c r="E18" s="239">
        <f>IF(inputOth!D43&gt;0,inputOth!D43,"  ")</f>
        <v>0.752</v>
      </c>
      <c r="F18" s="240"/>
      <c r="G18" s="92">
        <f>IF(inputPrYr!E26=0,0,ROUND(D18*$G$33,0))</f>
        <v>677</v>
      </c>
      <c r="H18" s="241"/>
      <c r="I18" s="92">
        <f>IF(inputPrYr!$E$26=0,0,ROUND($D$18*$I$35,0))</f>
        <v>28</v>
      </c>
      <c r="J18" s="92">
        <f>IF(inputPrYr!E26=0,0,ROUND($D18*$J$37,0))</f>
        <v>59</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9825</v>
      </c>
      <c r="E23" s="244">
        <f>SUM(E12:E22)</f>
        <v>0.9239999999999999</v>
      </c>
      <c r="F23" s="245"/>
      <c r="G23" s="243">
        <f t="shared" si="0"/>
        <v>832</v>
      </c>
      <c r="H23" s="243"/>
      <c r="I23" s="243">
        <f t="shared" si="0"/>
        <v>34</v>
      </c>
      <c r="J23" s="243">
        <f t="shared" si="0"/>
        <v>73</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832</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34</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73</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0.08468193384223918</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0.003460559796437659</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0.007430025445292621</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Lincoln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124</v>
      </c>
      <c r="B5" s="661"/>
      <c r="C5" s="661"/>
      <c r="D5" s="661"/>
      <c r="E5" s="661"/>
      <c r="F5" s="661"/>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0</v>
      </c>
      <c r="D27" s="267">
        <f>SUM(D10:D26)</f>
        <v>0</v>
      </c>
      <c r="E27" s="267">
        <f>SUM(E10:E26)</f>
        <v>0</v>
      </c>
      <c r="F27" s="196"/>
    </row>
    <row r="28" spans="1:6" ht="15.75">
      <c r="A28" s="196"/>
      <c r="B28" s="90" t="s">
        <v>650</v>
      </c>
      <c r="C28" s="66"/>
      <c r="D28" s="184"/>
      <c r="E28" s="184"/>
      <c r="F28" s="196"/>
    </row>
    <row r="29" spans="1:6" ht="15.75">
      <c r="A29" s="196"/>
      <c r="B29" s="90" t="s">
        <v>132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2011-09-26T19:31:42Z</cp:lastPrinted>
  <dcterms:created xsi:type="dcterms:W3CDTF">1998-08-26T16:30:41Z</dcterms:created>
  <dcterms:modified xsi:type="dcterms:W3CDTF">2011-12-13T17:23:18Z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