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<sst xmlns="http://schemas.openxmlformats.org/spreadsheetml/2006/main" count="1483" uniqueCount="831">
  <si>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</si>
  <si>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</si>
  <si>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</si>
  <si>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</si>
  <si>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</si>
  <si>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</si>
  <si>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</si>
  <si>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</si>
  <si>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</si>
  <si>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</si>
  <si>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</si>
  <si>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</si>
  <si>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</si>
  <si>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</si>
  <si>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</si>
  <si>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</si>
  <si>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</si>
  <si>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</si>
  <si>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</si>
  <si>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</si>
  <si>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</si>
  <si>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</si>
  <si>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</si>
  <si>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</si>
  <si>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</si>
  <si>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</si>
  <si>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</si>
  <si>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</si>
  <si>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</si>
  <si>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</si>
  <si>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</si>
  <si>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</si>
  <si>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</si>
  <si>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</si>
  <si>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</si>
  <si>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</si>
  <si>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</si>
  <si>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</si>
  <si>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</si>
  <si>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</si>
  <si>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Bloomington Township</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</si>
  <si>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</si>
  <si>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</si>
  <si>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</si>
  <si>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</si>
  <si>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</si>
  <si>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</si>
  <si>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</si>
  <si>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</si>
  <si>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</si>
  <si>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</si>
  <si>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</si>
  <si>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</si>
  <si>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</si>
  <si>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</si>
  <si>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</si>
  <si>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</si>
  <si>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</si>
  <si>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</si>
  <si>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</si>
  <si>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</si>
  <si>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</si>
  <si>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</si>
  <si>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</si>
  <si>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</si>
  <si>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</si>
  <si>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</si>
  <si>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</si>
  <si>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</si>
  <si>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</si>
  <si>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</si>
  <si>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</si>
  <si>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</si>
  <si>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</si>
  <si>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</si>
  <si>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</si>
  <si>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</si>
  <si>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</si>
  <si>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</si>
  <si>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</si>
  <si>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</si>
  <si>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</si>
  <si>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</si>
  <si>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</si>
  <si>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</si>
  <si>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</si>
  <si>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</si>
  <si>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</si>
  <si>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</si>
  <si>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</si>
  <si>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</si>
  <si>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</si>
  <si>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</si>
  <si>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</si>
  <si>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</si>
  <si>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</si>
  <si>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</si>
  <si>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</si>
  <si>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</si>
  <si>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</si>
  <si>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</si>
  <si>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</si>
  <si>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</si>
  <si>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</si>
  <si>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</si>
  <si>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</si>
  <si>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</si>
  <si>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</si>
  <si>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</si>
  <si>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</si>
  <si>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</si>
  <si>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</si>
  <si>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</si>
  <si>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</si>
  <si>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</si>
  <si>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</si>
  <si>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</si>
  <si>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</si>
  <si>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</si>
  <si>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</si>
  <si>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</si>
  <si>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</si>
  <si>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</si>
  <si>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</si>
  <si>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</si>
  <si>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</si>
  <si>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</si>
  <si>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</si>
  <si>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</si>
  <si>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</si>
  <si>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</si>
  <si>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</si>
  <si>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</si>
  <si>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</si>
  <si>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</si>
  <si>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</si>
  <si>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</si>
  <si>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</si>
  <si>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</si>
  <si>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</si>
  <si>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</si>
  <si>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</si>
  <si>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</si>
  <si>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</si>
  <si>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</si>
  <si>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</si>
  <si>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</si>
  <si>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</si>
  <si>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</si>
  <si>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</si>
  <si>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</si>
  <si>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</si>
  <si>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</si>
  <si>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</si>
  <si>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</si>
  <si>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</si>
  <si>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</si>
  <si>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</si>
  <si>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</si>
  <si>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</si>
  <si>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</si>
  <si>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</si>
  <si>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</si>
  <si>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</si>
  <si>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</si>
  <si>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</si>
  <si>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</si>
  <si>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</si>
  <si>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</si>
  <si>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</si>
  <si>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</si>
  <si>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</si>
  <si>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</si>
  <si>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</si>
  <si>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</si>
  <si>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</si>
  <si>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</si>
  <si>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</si>
  <si>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</si>
  <si>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</si>
  <si>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</si>
  <si>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</si>
  <si>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</si>
  <si>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</si>
  <si>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</si>
  <si>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</si>
  <si>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</si>
  <si>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</si>
  <si>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</si>
  <si>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</si>
  <si>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</si>
  <si>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</si>
  <si>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</si>
  <si>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</si>
  <si>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</si>
  <si>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</si>
  <si>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</si>
  <si>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</si>
  <si>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</si>
  <si>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</si>
  <si>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</si>
  <si>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</si>
  <si>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</si>
  <si>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</si>
  <si>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</si>
  <si>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</si>
  <si>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</si>
  <si>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</si>
  <si>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</si>
  <si>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</si>
  <si>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</si>
  <si>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</si>
  <si>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</si>
  <si>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</si>
  <si>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</si>
  <si>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</si>
  <si>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</si>
  <si>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</si>
  <si>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</si>
  <si>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</si>
  <si>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</si>
  <si>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</si>
  <si>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</si>
  <si>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</si>
  <si>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Fuel</t>
  </si>
  <si>
    <t>Salary/Contract Labor/Officers Pay</t>
  </si>
  <si>
    <t>Equipment/Repairs/Repairs</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</si>
  <si>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</si>
  <si>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</si>
  <si>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</si>
  <si>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</si>
  <si>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</si>
  <si>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</si>
  <si>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</si>
  <si>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</si>
  <si>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</si>
  <si>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</si>
  <si>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</si>
  <si>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</si>
  <si>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</si>
  <si>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</si>
  <si>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</si>
  <si>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</si>
  <si>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</si>
  <si>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</si>
  <si>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</si>
  <si>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</si>
  <si>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</si>
  <si>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</si>
  <si>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</si>
  <si>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</si>
  <si>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</si>
  <si>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</si>
  <si>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</si>
  <si>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</si>
  <si>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</si>
  <si>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</si>
  <si>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</si>
  <si>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</si>
  <si>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</si>
  <si>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</si>
  <si>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</si>
  <si>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</si>
  <si>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</si>
  <si>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</si>
  <si>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</si>
  <si>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</si>
  <si>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</si>
  <si>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</si>
  <si>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</si>
  <si>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</si>
  <si>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</si>
  <si>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</si>
  <si>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</si>
  <si>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</si>
  <si>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</si>
  <si>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</si>
  <si>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</si>
  <si>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</si>
  <si>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</si>
  <si>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</si>
  <si>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</si>
  <si>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In this example, one mill for the municipality will generate $3,120 in taxes.</t>
  </si>
  <si>
    <t>Input the assessed valuation:</t>
  </si>
  <si>
    <t>=</t>
  </si>
  <si>
    <t>/</t>
  </si>
  <si>
    <t>(assessed valuation)</t>
  </si>
  <si>
    <t>(value of one mill)</t>
  </si>
  <si>
    <t>To Determine a Mill Rate Increase</t>
  </si>
  <si>
    <t>Example #2 and Formula</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</si>
  <si>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</si>
  <si>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</si>
  <si>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</si>
  <si>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</si>
  <si>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</si>
  <si>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</si>
  <si>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</si>
  <si>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</si>
  <si>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Refund Insurance</t>
  </si>
  <si>
    <t>FEMA</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</si>
  <si>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</si>
  <si>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</si>
  <si>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</si>
  <si>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</si>
  <si>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</si>
  <si>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</si>
  <si>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</si>
  <si>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</si>
  <si>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</si>
  <si>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</si>
  <si>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</si>
  <si>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</si>
  <si>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</si>
  <si>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</si>
  <si>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</si>
  <si>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</si>
  <si>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</si>
  <si>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</si>
  <si>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</si>
  <si>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</si>
  <si>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</si>
  <si>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</si>
  <si>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</si>
  <si>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</si>
  <si>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</si>
  <si>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</si>
  <si>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</si>
  <si>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</si>
  <si>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</si>
  <si>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</si>
  <si>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</si>
  <si>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</si>
  <si>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</si>
  <si>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</si>
  <si>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</si>
  <si>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</si>
  <si>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</si>
  <si>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</si>
  <si>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</si>
  <si>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</si>
  <si>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</si>
  <si>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</si>
  <si>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</si>
  <si>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</si>
  <si>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</si>
  <si>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</si>
  <si>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</si>
  <si>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</si>
  <si>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</si>
  <si>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</si>
  <si>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</si>
  <si>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</si>
  <si>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</si>
  <si>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</si>
  <si>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</si>
  <si>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</si>
  <si>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</si>
  <si>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</si>
  <si>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</si>
  <si>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</si>
  <si>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</si>
  <si>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</si>
  <si>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</si>
  <si>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</si>
  <si>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</si>
  <si>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</si>
  <si>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</si>
  <si>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</si>
  <si>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</si>
  <si>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</si>
  <si>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</si>
  <si>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</si>
  <si>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</si>
  <si>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</si>
  <si>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</si>
  <si>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</si>
  <si>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</si>
  <si>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</si>
  <si>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</si>
  <si>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</si>
  <si>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</si>
  <si>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</si>
  <si>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</si>
  <si>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</si>
  <si>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</si>
  <si>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</si>
  <si>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</si>
  <si>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</si>
  <si>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</si>
  <si>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</si>
  <si>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</si>
  <si>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</si>
  <si>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</si>
  <si>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</si>
  <si>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</si>
  <si>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</si>
  <si>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</si>
  <si>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</si>
  <si>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</si>
  <si>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</si>
  <si>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</si>
  <si>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</si>
  <si>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</si>
  <si>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</si>
  <si>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</si>
  <si>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</si>
  <si>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</si>
  <si>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</si>
  <si>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</si>
  <si>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</si>
  <si>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</si>
  <si>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</si>
  <si>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</si>
  <si>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</si>
  <si>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</si>
  <si>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</si>
  <si>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</si>
  <si>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</si>
  <si>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</si>
  <si>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</si>
  <si>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</si>
  <si>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</si>
  <si>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None</t>
  </si>
  <si>
    <t>Road Grader</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</si>
  <si>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</si>
  <si>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</si>
  <si>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</si>
  <si>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</si>
  <si>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</si>
  <si>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</si>
  <si>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</si>
  <si>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</si>
  <si>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</si>
  <si>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</si>
  <si>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</si>
  <si>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</si>
  <si>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</si>
  <si>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</si>
  <si>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</si>
  <si>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</si>
  <si>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</si>
  <si>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</si>
  <si>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</si>
  <si>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</si>
  <si>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</si>
  <si>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</si>
  <si>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</si>
  <si>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</si>
  <si>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</si>
  <si>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</si>
  <si>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</si>
  <si>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</si>
  <si>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</si>
  <si>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</si>
  <si>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</si>
  <si>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</si>
  <si>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</si>
  <si>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</si>
  <si>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</si>
  <si>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</si>
  <si>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</si>
  <si>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</si>
  <si>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</si>
  <si>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</si>
  <si>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</si>
  <si>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</si>
  <si>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</si>
  <si>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</si>
  <si>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</si>
  <si>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</si>
  <si>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</si>
  <si>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</si>
  <si>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</si>
  <si>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</si>
  <si>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</si>
  <si>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</si>
  <si>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</si>
  <si>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</si>
  <si>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</si>
  <si>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</si>
  <si>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</si>
  <si>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</si>
  <si>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</si>
  <si>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</si>
  <si>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</si>
  <si>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</si>
  <si>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</si>
  <si>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</si>
  <si>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</si>
  <si>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</si>
  <si>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</si>
  <si>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</si>
  <si>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</si>
  <si>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</si>
  <si>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</si>
  <si>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</si>
  <si>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</si>
  <si>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</si>
  <si>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</si>
  <si>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</si>
  <si>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</si>
  <si>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</si>
  <si>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</si>
  <si>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</si>
  <si>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</si>
  <si>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</si>
  <si>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</si>
  <si>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</si>
  <si>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</si>
  <si>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</si>
  <si>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</si>
  <si>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</si>
  <si>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</si>
  <si>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</si>
  <si>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</si>
  <si>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</si>
  <si>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</si>
  <si>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</si>
  <si>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</si>
  <si>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</si>
  <si>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</si>
  <si>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</si>
  <si>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</si>
  <si>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</si>
  <si>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</si>
  <si>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</si>
  <si>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</si>
  <si>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</si>
  <si>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</si>
  <si>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</si>
  <si>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</si>
  <si>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</si>
  <si>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</si>
  <si>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</si>
  <si>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</si>
  <si>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</si>
  <si>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</si>
  <si>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</si>
  <si>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</si>
  <si>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</si>
  <si>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</si>
  <si>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</si>
  <si>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</si>
  <si>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</si>
  <si>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</si>
  <si>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</si>
  <si>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</si>
  <si>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</si>
  <si>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</si>
  <si>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</si>
  <si>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</si>
  <si>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</si>
  <si>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</si>
  <si>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</si>
  <si>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</si>
  <si>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</si>
  <si>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</si>
  <si>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</si>
  <si>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</si>
  <si>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</si>
  <si>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</si>
  <si>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</si>
  <si>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</si>
  <si>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</si>
  <si>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</si>
  <si>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</si>
  <si>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</si>
  <si>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</si>
  <si>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</si>
  <si>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</si>
  <si>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</si>
  <si>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</si>
  <si>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</si>
  <si>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</si>
  <si>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</si>
  <si>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</si>
  <si>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</si>
  <si>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</si>
  <si>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</si>
  <si>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</si>
  <si>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</si>
  <si>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</si>
  <si>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</si>
  <si>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</si>
  <si>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</si>
  <si>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</si>
  <si>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</si>
  <si>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</si>
  <si>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</si>
  <si>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</si>
  <si>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</si>
  <si>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</si>
  <si>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</si>
  <si>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</si>
  <si>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</si>
  <si>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</si>
  <si>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</si>
  <si>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</si>
  <si>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</si>
  <si>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</si>
  <si>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</si>
  <si>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</si>
  <si>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</si>
  <si>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</si>
  <si>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</si>
  <si>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</si>
  <si>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</si>
  <si>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</si>
  <si>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</si>
  <si>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</si>
  <si>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</si>
  <si>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</si>
  <si>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</si>
  <si>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</si>
  <si>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</si>
  <si>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</si>
  <si>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</si>
  <si>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</si>
  <si>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</si>
  <si>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</si>
  <si>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</si>
  <si>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</si>
  <si>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</si>
  <si>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</si>
  <si>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</si>
  <si>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</si>
  <si>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</si>
  <si>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</si>
  <si>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</si>
  <si>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</si>
  <si>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</si>
  <si>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</si>
  <si>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</si>
  <si>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</si>
  <si>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</si>
  <si>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</si>
  <si>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</si>
  <si>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</si>
  <si>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</si>
  <si>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</si>
  <si>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</si>
  <si>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</si>
  <si>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</si>
  <si>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</si>
  <si>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</si>
  <si>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</si>
  <si>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</si>
  <si>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</si>
  <si>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</si>
  <si>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</si>
  <si>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</si>
  <si>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</si>
  <si>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</si>
  <si>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</si>
  <si>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Does miscellaneous exceed 10% of Total Expenditures</t>
  </si>
  <si>
    <t>Neighborhood Revitalization Rebate</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</si>
  <si>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</si>
  <si>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</si>
  <si>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</si>
  <si>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</si>
  <si>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</si>
  <si>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</si>
  <si>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</si>
  <si>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</si>
  <si>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</si>
  <si>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</si>
  <si>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</si>
  <si>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</si>
  <si>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</si>
  <si>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</si>
  <si>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</si>
  <si>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</si>
  <si>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</si>
  <si>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</si>
  <si>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</si>
  <si>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</si>
  <si>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</si>
  <si>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</si>
  <si>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</si>
  <si>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</si>
  <si>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</si>
  <si>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</si>
  <si>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</si>
  <si>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</si>
  <si>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</si>
  <si>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</si>
  <si>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</si>
  <si>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</si>
  <si>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</si>
  <si>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</si>
  <si>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</si>
  <si>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</si>
  <si>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</si>
  <si>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</si>
  <si>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</si>
  <si>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</si>
  <si>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</si>
  <si>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</si>
  <si>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t>Cemetery</t>
  </si>
  <si>
    <t>Publications</t>
  </si>
  <si>
    <t>Rent/Books</t>
  </si>
  <si>
    <t>Contract Labor</t>
  </si>
  <si>
    <t>Noxious Weed &amp; Brush Control</t>
  </si>
  <si>
    <t>Oil/Fuel</t>
  </si>
  <si>
    <t>Road Maintenance Mowing</t>
  </si>
  <si>
    <t>Noxious Weed Control</t>
  </si>
  <si>
    <t>Hauling</t>
  </si>
  <si>
    <t>Building Purchase</t>
  </si>
  <si>
    <t>Liability Insurance</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</si>
  <si>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</si>
  <si>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</si>
  <si>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</si>
  <si>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</si>
  <si>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</si>
  <si>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</si>
  <si>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August 25, 2011</t>
  </si>
  <si>
    <t>8:00 p.m.</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</si>
  <si>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</si>
  <si>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</si>
  <si>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</si>
  <si>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</si>
  <si>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</si>
  <si>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</si>
  <si>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</si>
  <si>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</si>
  <si>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</si>
  <si>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</si>
  <si>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</si>
  <si>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</si>
  <si>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</si>
  <si>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</si>
  <si>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</si>
  <si>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</si>
  <si>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</si>
  <si>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</si>
  <si>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</si>
  <si>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</si>
  <si>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</si>
  <si>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</si>
  <si>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</si>
  <si>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</si>
  <si>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</si>
  <si>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</si>
  <si>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</si>
  <si>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</si>
  <si>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</si>
  <si>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</si>
  <si>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</si>
  <si>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</si>
  <si>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</si>
  <si>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</si>
  <si>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</si>
  <si>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</si>
  <si>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</si>
  <si>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</si>
  <si>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</si>
  <si>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</si>
  <si>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</si>
  <si>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</si>
  <si>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</si>
  <si>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</si>
  <si>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</si>
  <si>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</si>
  <si>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</si>
  <si>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</si>
  <si>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</si>
  <si>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</si>
  <si>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</si>
  <si>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</si>
  <si>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</si>
  <si>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</si>
  <si>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</si>
  <si>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</si>
  <si>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</si>
  <si>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</si>
  <si>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</si>
  <si>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</si>
  <si>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</si>
  <si>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</si>
  <si>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</si>
  <si>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</si>
  <si>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</si>
  <si>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</si>
  <si>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</si>
  <si>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</si>
  <si>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</si>
  <si>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</si>
  <si>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</si>
  <si>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</si>
  <si>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</si>
  <si>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</si>
  <si>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</si>
  <si>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</si>
  <si>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</si>
  <si>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</si>
  <si>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</si>
  <si>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</si>
  <si>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</si>
  <si>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</si>
  <si>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</si>
  <si>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</si>
  <si>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</si>
  <si>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</si>
  <si>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</si>
  <si>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</si>
  <si>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</si>
  <si>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</si>
  <si>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</si>
  <si>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</si>
  <si>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</si>
  <si>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</si>
  <si>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</si>
  <si>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</si>
  <si>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</si>
  <si>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</si>
  <si>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</si>
  <si>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</si>
  <si>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</si>
  <si>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</si>
  <si>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Haverhill Christian Church at 10275 SW Haverhill Rd., Augusta</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</si>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</sst>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24" xfId="0" applyFont="1" applyFill="1" applyBorder="1" applyAlignment="1">
      <alignment horizontal="center"/>
    </xf>
    <xf numFmtId="186" fontId="38" fillId="4" borderId="0" xfId="0" applyNumberFormat="1"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xf numFmtId="186" fontId="38" fillId="18" borderId="11" xfId="0" applyNumberFormat="1" applyFont="1" applyFill="1" applyBorder="1" applyAlignment="1" applyProtection="1">
      <alignment horizontal="center"/>
      <protection locked="0"/>
    </xf>
    <xf numFmtId="5" fontId="38" fillId="4" borderId="11"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7" fillId="4" borderId="0" xfId="0" applyFont="1" applyFill="1" applyAlignment="1">
      <alignment horizontal="center" wrapText="1"/>
    </xf>
    <xf numFmtId="0" fontId="38" fillId="4" borderId="0" xfId="0" applyFont="1" applyFill="1" applyAlignment="1">
      <alignment wrapText="1"/>
    </xf>
    <xf numFmtId="0" fontId="38" fillId="4" borderId="0" xfId="0" applyFont="1" applyFill="1" applyBorder="1" applyAlignment="1">
      <alignment horizontal="center"/>
    </xf>
    <xf numFmtId="0" fontId="37" fillId="4" borderId="29" xfId="0" applyFont="1" applyFill="1" applyBorder="1" applyAlignment="1">
      <alignment horizontal="center" vertic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0" borderId="0" xfId="0" applyFont="1" applyAlignment="1">
      <alignment wrapText="1"/>
    </xf>
    <xf numFmtId="0" fontId="38" fillId="4" borderId="32" xfId="0" applyFont="1" applyFill="1" applyBorder="1" applyAlignment="1">
      <alignment/>
    </xf>
    <xf numFmtId="0" fontId="38" fillId="4" borderId="33" xfId="0" applyFont="1" applyFill="1" applyBorder="1" applyAlignment="1">
      <alignment/>
    </xf>
    <xf numFmtId="0" fontId="37" fillId="4" borderId="0" xfId="0" applyFont="1" applyFill="1" applyAlignment="1">
      <alignment horizontal="center"/>
    </xf>
    <xf numFmtId="186" fontId="38" fillId="4" borderId="0" xfId="0" applyNumberFormat="1" applyFont="1" applyFill="1" applyAlignment="1">
      <alignment/>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190500</xdr:rowOff>
    </xdr:to>
    <xdr:pic>
      <xdr:nvPicPr>
        <xdr:cNvPr id="1" name="Picture 2"/>
        <xdr:cNvPicPr preferRelativeResize="1">
          <a:picLocks noChangeAspect="1"/>
        </xdr:cNvPicPr>
      </xdr:nvPicPr>
      <xdr:blipFill>
        <a:blip r:embed="rId1"/>
        <a:stretch>
          <a:fillRect/>
        </a:stretch>
      </xdr:blipFill>
      <xdr:spPr>
        <a:xfrm>
          <a:off x="0" y="0"/>
          <a:ext cx="5476875" cy="719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26</xdr:row>
      <xdr:rowOff>171450</xdr:rowOff>
    </xdr:to>
    <xdr:pic>
      <xdr:nvPicPr>
        <xdr:cNvPr id="1" name="Picture 1"/>
        <xdr:cNvPicPr preferRelativeResize="1">
          <a:picLocks noChangeAspect="1"/>
        </xdr:cNvPicPr>
      </xdr:nvPicPr>
      <xdr:blipFill>
        <a:blip r:embed="rId1"/>
        <a:stretch>
          <a:fillRect/>
        </a:stretch>
      </xdr:blipFill>
      <xdr:spPr>
        <a:xfrm>
          <a:off x="0" y="0"/>
          <a:ext cx="5486400" cy="5372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35</xdr:row>
      <xdr:rowOff>95250</xdr:rowOff>
    </xdr:to>
    <xdr:pic>
      <xdr:nvPicPr>
        <xdr:cNvPr id="1" name="Picture 1"/>
        <xdr:cNvPicPr preferRelativeResize="1">
          <a:picLocks noChangeAspect="1"/>
        </xdr:cNvPicPr>
      </xdr:nvPicPr>
      <xdr:blipFill>
        <a:blip r:embed="rId1"/>
        <a:stretch>
          <a:fillRect/>
        </a:stretch>
      </xdr:blipFill>
      <xdr:spPr>
        <a:xfrm>
          <a:off x="0" y="0"/>
          <a:ext cx="5486400" cy="7096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374</v>
      </c>
    </row>
    <row r="3" ht="34.5" customHeight="1">
      <c r="A3" s="6" t="s">
        <v>509</v>
      </c>
    </row>
    <row r="4" ht="15.75">
      <c r="A4" s="2"/>
    </row>
    <row r="5" ht="52.5" customHeight="1">
      <c r="A5" s="4" t="s">
        <v>673</v>
      </c>
    </row>
    <row r="6" ht="15.75">
      <c r="A6" s="4"/>
    </row>
    <row r="7" ht="34.5" customHeight="1">
      <c r="A7" s="4" t="s">
        <v>692</v>
      </c>
    </row>
    <row r="8" ht="15.75">
      <c r="A8" s="4"/>
    </row>
    <row r="9" ht="15.75">
      <c r="A9" s="4" t="s">
        <v>510</v>
      </c>
    </row>
    <row r="12" ht="15.75">
      <c r="A12" s="3" t="s">
        <v>259</v>
      </c>
    </row>
    <row r="13" ht="15.75">
      <c r="A13" s="3"/>
    </row>
    <row r="14" ht="18.75" customHeight="1">
      <c r="A14" s="2" t="s">
        <v>261</v>
      </c>
    </row>
    <row r="16" ht="39" customHeight="1">
      <c r="A16" s="7" t="s">
        <v>345</v>
      </c>
    </row>
    <row r="17" ht="9.75" customHeight="1">
      <c r="A17" s="7"/>
    </row>
    <row r="20" ht="15.75">
      <c r="A20" s="3" t="s">
        <v>511</v>
      </c>
    </row>
    <row r="22" ht="34.5" customHeight="1">
      <c r="A22" s="4" t="s">
        <v>262</v>
      </c>
    </row>
    <row r="23" ht="9.75" customHeight="1">
      <c r="A23" s="4"/>
    </row>
    <row r="24" ht="15.75">
      <c r="A24" s="115" t="s">
        <v>512</v>
      </c>
    </row>
    <row r="25" ht="15.75">
      <c r="A25" s="4"/>
    </row>
    <row r="26" ht="17.25" customHeight="1">
      <c r="A26" s="90" t="s">
        <v>513</v>
      </c>
    </row>
    <row r="27" ht="17.25" customHeight="1">
      <c r="A27" s="91"/>
    </row>
    <row r="28" ht="87.75" customHeight="1">
      <c r="A28" s="92" t="s">
        <v>209</v>
      </c>
    </row>
    <row r="30" ht="15.75">
      <c r="A30" s="93" t="s">
        <v>514</v>
      </c>
    </row>
    <row r="32" ht="15.75">
      <c r="A32" s="116" t="s">
        <v>260</v>
      </c>
    </row>
    <row r="34" ht="15.75">
      <c r="A34" s="4" t="s">
        <v>515</v>
      </c>
    </row>
    <row r="37" ht="15.75">
      <c r="A37" s="3" t="s">
        <v>516</v>
      </c>
    </row>
    <row r="39" ht="78" customHeight="1">
      <c r="A39" s="4" t="s">
        <v>818</v>
      </c>
    </row>
    <row r="40" ht="57.75" customHeight="1">
      <c r="A40" s="94" t="s">
        <v>517</v>
      </c>
    </row>
    <row r="41" ht="10.5" customHeight="1">
      <c r="A41" s="4"/>
    </row>
    <row r="42" ht="74.25" customHeight="1">
      <c r="A42" s="4" t="s">
        <v>424</v>
      </c>
    </row>
    <row r="43" ht="59.25" customHeight="1">
      <c r="A43" s="4" t="s">
        <v>193</v>
      </c>
    </row>
    <row r="44" ht="84.75" customHeight="1">
      <c r="A44" s="4" t="s">
        <v>294</v>
      </c>
    </row>
    <row r="45" ht="12" customHeight="1">
      <c r="A45" s="4"/>
    </row>
    <row r="46" ht="73.5" customHeight="1">
      <c r="A46" s="450" t="s">
        <v>621</v>
      </c>
    </row>
    <row r="47" ht="69.75" customHeight="1">
      <c r="A47" s="451" t="s">
        <v>622</v>
      </c>
    </row>
    <row r="48" ht="12" customHeight="1">
      <c r="A48" s="4"/>
    </row>
    <row r="49" ht="68.25" customHeight="1">
      <c r="A49" s="4" t="s">
        <v>623</v>
      </c>
    </row>
    <row r="50" ht="74.25" customHeight="1">
      <c r="A50" s="4" t="s">
        <v>624</v>
      </c>
    </row>
    <row r="51" ht="50.25" customHeight="1">
      <c r="A51" s="4" t="s">
        <v>625</v>
      </c>
    </row>
    <row r="52" ht="15.75" customHeight="1"/>
    <row r="53" ht="80.25" customHeight="1">
      <c r="A53" s="4" t="s">
        <v>626</v>
      </c>
    </row>
    <row r="54" ht="40.5" customHeight="1">
      <c r="A54" s="4" t="s">
        <v>627</v>
      </c>
    </row>
    <row r="55" ht="45" customHeight="1">
      <c r="A55" s="4" t="s">
        <v>628</v>
      </c>
    </row>
    <row r="56" ht="15.75">
      <c r="A56" s="4"/>
    </row>
    <row r="57" ht="68.25" customHeight="1">
      <c r="A57" s="4" t="s">
        <v>191</v>
      </c>
    </row>
    <row r="58" ht="15.75">
      <c r="A58" s="4"/>
    </row>
    <row r="59" ht="40.5" customHeight="1">
      <c r="A59" s="4" t="s">
        <v>192</v>
      </c>
    </row>
    <row r="60" ht="30" customHeight="1">
      <c r="A60" s="4" t="s">
        <v>302</v>
      </c>
    </row>
    <row r="61" ht="75" customHeight="1">
      <c r="A61" s="414" t="s">
        <v>303</v>
      </c>
    </row>
    <row r="62" ht="41.25" customHeight="1">
      <c r="A62" s="4" t="s">
        <v>300</v>
      </c>
    </row>
    <row r="63" ht="41.25" customHeight="1">
      <c r="A63" s="4" t="s">
        <v>301</v>
      </c>
    </row>
    <row r="64" ht="9" customHeight="1">
      <c r="A64" s="4"/>
    </row>
    <row r="65" ht="58.5" customHeight="1">
      <c r="A65" s="4" t="s">
        <v>643</v>
      </c>
    </row>
    <row r="66" ht="9.75" customHeight="1"/>
    <row r="67" s="4" customFormat="1" ht="69" customHeight="1">
      <c r="A67" s="4" t="s">
        <v>644</v>
      </c>
    </row>
    <row r="68" ht="9" customHeight="1"/>
    <row r="69" ht="76.5" customHeight="1">
      <c r="A69" s="4" t="s">
        <v>518</v>
      </c>
    </row>
    <row r="70" ht="69" customHeight="1">
      <c r="A70" s="652" t="s">
        <v>425</v>
      </c>
    </row>
    <row r="71" ht="55.5" customHeight="1">
      <c r="A71" s="652" t="s">
        <v>780</v>
      </c>
    </row>
    <row r="72" ht="60" customHeight="1">
      <c r="A72" s="4" t="s">
        <v>781</v>
      </c>
    </row>
    <row r="73" ht="124.5" customHeight="1">
      <c r="A73" s="4" t="s">
        <v>782</v>
      </c>
    </row>
    <row r="74" ht="64.5" customHeight="1">
      <c r="A74" s="4" t="s">
        <v>828</v>
      </c>
    </row>
    <row r="75" ht="64.5" customHeight="1">
      <c r="A75" s="652" t="s">
        <v>829</v>
      </c>
    </row>
    <row r="76" ht="80.25" customHeight="1">
      <c r="A76" s="4" t="s">
        <v>830</v>
      </c>
    </row>
    <row r="77" ht="122.25" customHeight="1">
      <c r="A77" s="414" t="s">
        <v>426</v>
      </c>
    </row>
    <row r="78" ht="102.75" customHeight="1">
      <c r="A78" s="415" t="s">
        <v>817</v>
      </c>
    </row>
    <row r="79" ht="81" customHeight="1">
      <c r="A79" s="651" t="s">
        <v>465</v>
      </c>
    </row>
    <row r="80" ht="126.75" customHeight="1">
      <c r="A80" s="4" t="s">
        <v>0</v>
      </c>
    </row>
    <row r="81" ht="78" customHeight="1">
      <c r="A81" s="127" t="s">
        <v>1</v>
      </c>
    </row>
    <row r="82" ht="124.5" customHeight="1">
      <c r="A82" s="127" t="s">
        <v>463</v>
      </c>
    </row>
    <row r="83" ht="138" customHeight="1">
      <c r="A83" s="4" t="s">
        <v>464</v>
      </c>
    </row>
    <row r="84" ht="147" customHeight="1">
      <c r="A84" s="4" t="s">
        <v>70</v>
      </c>
    </row>
    <row r="85" ht="101.25" customHeight="1">
      <c r="A85" s="414" t="s">
        <v>43</v>
      </c>
    </row>
    <row r="87" ht="108.75" customHeight="1">
      <c r="A87" s="4" t="s">
        <v>645</v>
      </c>
    </row>
    <row r="88" ht="89.25" customHeight="1">
      <c r="A88" s="127" t="s">
        <v>646</v>
      </c>
    </row>
    <row r="89" ht="57" customHeight="1">
      <c r="A89" s="127" t="s">
        <v>647</v>
      </c>
    </row>
    <row r="90" ht="20.25" customHeight="1">
      <c r="A90" s="4" t="s">
        <v>648</v>
      </c>
    </row>
    <row r="92" ht="53.25" customHeight="1">
      <c r="A92" s="4" t="s">
        <v>649</v>
      </c>
    </row>
    <row r="93" ht="21" customHeight="1">
      <c r="A93" s="4" t="s">
        <v>650</v>
      </c>
    </row>
    <row r="94" ht="72.75" customHeight="1">
      <c r="A94" s="652" t="s">
        <v>44</v>
      </c>
    </row>
    <row r="95" ht="75.75" customHeight="1">
      <c r="A95" s="652" t="s">
        <v>45</v>
      </c>
    </row>
    <row r="96" ht="33.75" customHeight="1">
      <c r="A96" s="4" t="s">
        <v>46</v>
      </c>
    </row>
    <row r="97" ht="51.75" customHeight="1">
      <c r="A97" s="4" t="s">
        <v>47</v>
      </c>
    </row>
    <row r="98" ht="14.25" customHeight="1"/>
    <row r="99" ht="69.75" customHeight="1">
      <c r="A99" s="4" t="s">
        <v>651</v>
      </c>
    </row>
    <row r="101" ht="57.75" customHeight="1">
      <c r="A101" s="652" t="s">
        <v>491</v>
      </c>
    </row>
    <row r="102" ht="90" customHeight="1">
      <c r="A102" s="652" t="s">
        <v>492</v>
      </c>
    </row>
    <row r="103" ht="94.5">
      <c r="A103" s="652" t="s">
        <v>41</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367</v>
      </c>
    </row>
    <row r="2" ht="15.75">
      <c r="A2" s="182"/>
    </row>
    <row r="3" ht="51" customHeight="1">
      <c r="A3" s="475" t="s">
        <v>714</v>
      </c>
    </row>
    <row r="4" ht="17.25" customHeight="1">
      <c r="A4" s="475"/>
    </row>
    <row r="5" ht="15.75">
      <c r="A5" s="182"/>
    </row>
    <row r="6" ht="52.5" customHeight="1">
      <c r="A6" s="416" t="s">
        <v>413</v>
      </c>
    </row>
    <row r="7" ht="15.75">
      <c r="A7" s="182"/>
    </row>
    <row r="8" ht="15.75">
      <c r="A8" s="182"/>
    </row>
    <row r="9" ht="70.5" customHeight="1">
      <c r="A9" s="416" t="s">
        <v>414</v>
      </c>
    </row>
    <row r="10" ht="15.75">
      <c r="A10" s="417"/>
    </row>
    <row r="11" ht="15.75">
      <c r="A11" s="417"/>
    </row>
    <row r="12" ht="63">
      <c r="A12" s="479" t="s">
        <v>401</v>
      </c>
    </row>
    <row r="13" ht="15.75">
      <c r="A13" s="417"/>
    </row>
    <row r="14" ht="15.75">
      <c r="A14" s="417"/>
    </row>
    <row r="15" ht="63">
      <c r="A15" s="479" t="s">
        <v>402</v>
      </c>
    </row>
    <row r="16" ht="15.75">
      <c r="A16" s="417"/>
    </row>
    <row r="17" ht="15.75">
      <c r="A17" s="182"/>
    </row>
    <row r="18" ht="56.25" customHeight="1">
      <c r="A18" s="416" t="s">
        <v>415</v>
      </c>
    </row>
    <row r="19" ht="15.75">
      <c r="A19" s="417"/>
    </row>
    <row r="20" ht="15.75">
      <c r="A20" s="417"/>
    </row>
    <row r="21" ht="87.75" customHeight="1">
      <c r="A21" s="416" t="s">
        <v>416</v>
      </c>
    </row>
    <row r="22" ht="15.75">
      <c r="A22" s="417"/>
    </row>
    <row r="23" ht="15.75">
      <c r="A23" s="182"/>
    </row>
    <row r="24" ht="54.75" customHeight="1">
      <c r="A24" s="416" t="s">
        <v>417</v>
      </c>
    </row>
    <row r="25" ht="15.75">
      <c r="A25" s="182"/>
    </row>
    <row r="26" ht="15.75">
      <c r="A26" s="182"/>
    </row>
    <row r="27" ht="69" customHeight="1">
      <c r="A27" s="416" t="s">
        <v>418</v>
      </c>
    </row>
    <row r="28" ht="15.75">
      <c r="A28" s="182"/>
    </row>
    <row r="29" ht="15.75">
      <c r="A29" s="418"/>
    </row>
    <row r="30" ht="47.25" customHeight="1">
      <c r="A30" s="419" t="s">
        <v>419</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A7">
      <selection activeCell="H25" sqref="H25"/>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Bloomington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99</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611</v>
      </c>
      <c r="C5" s="209" t="s">
        <v>85</v>
      </c>
      <c r="D5" s="209"/>
      <c r="E5" s="209" t="s">
        <v>52</v>
      </c>
      <c r="F5" s="259"/>
      <c r="G5" s="260"/>
      <c r="H5" s="259" t="s">
        <v>612</v>
      </c>
      <c r="I5" s="260"/>
      <c r="J5" s="259" t="s">
        <v>612</v>
      </c>
      <c r="K5" s="260"/>
    </row>
    <row r="6" spans="1:11" ht="15.75">
      <c r="A6" s="130"/>
      <c r="B6" s="261" t="s">
        <v>613</v>
      </c>
      <c r="C6" s="261" t="s">
        <v>51</v>
      </c>
      <c r="D6" s="261" t="s">
        <v>52</v>
      </c>
      <c r="E6" s="261" t="s">
        <v>148</v>
      </c>
      <c r="F6" s="262" t="s">
        <v>614</v>
      </c>
      <c r="G6" s="263"/>
      <c r="H6" s="262">
        <f>K1-1</f>
        <v>2011</v>
      </c>
      <c r="I6" s="263"/>
      <c r="J6" s="262">
        <f>K1</f>
        <v>2012</v>
      </c>
      <c r="K6" s="263"/>
    </row>
    <row r="7" spans="1:11" ht="15.75">
      <c r="A7" s="264" t="s">
        <v>615</v>
      </c>
      <c r="B7" s="212" t="s">
        <v>616</v>
      </c>
      <c r="C7" s="212" t="s">
        <v>584</v>
      </c>
      <c r="D7" s="212" t="s">
        <v>83</v>
      </c>
      <c r="E7" s="265" t="str">
        <f>CONCATENATE("Jan 1,",K1-1,"")</f>
        <v>Jan 1,2011</v>
      </c>
      <c r="F7" s="153" t="s">
        <v>85</v>
      </c>
      <c r="G7" s="153" t="s">
        <v>86</v>
      </c>
      <c r="H7" s="153" t="s">
        <v>85</v>
      </c>
      <c r="I7" s="153" t="s">
        <v>86</v>
      </c>
      <c r="J7" s="153" t="s">
        <v>85</v>
      </c>
      <c r="K7" s="153" t="s">
        <v>86</v>
      </c>
    </row>
    <row r="8" spans="1:11" ht="15.75">
      <c r="A8" s="266" t="s">
        <v>606</v>
      </c>
      <c r="B8" s="267"/>
      <c r="C8" s="266"/>
      <c r="D8" s="266"/>
      <c r="E8" s="266"/>
      <c r="F8" s="268"/>
      <c r="G8" s="268"/>
      <c r="H8" s="266"/>
      <c r="I8" s="266"/>
      <c r="J8" s="266"/>
      <c r="K8" s="269"/>
    </row>
    <row r="9" spans="1:11" ht="15.75">
      <c r="A9" s="270" t="s">
        <v>422</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181</v>
      </c>
      <c r="B11" s="275"/>
      <c r="C11" s="276"/>
      <c r="D11" s="277"/>
      <c r="E11" s="278">
        <f>SUM(E9:E10)</f>
        <v>0</v>
      </c>
      <c r="F11" s="279"/>
      <c r="G11" s="279"/>
      <c r="H11" s="278">
        <f>SUM(H9:H10)</f>
        <v>0</v>
      </c>
      <c r="I11" s="278">
        <f>SUM(I9:I10)</f>
        <v>0</v>
      </c>
      <c r="J11" s="278">
        <f>SUM(J9:J10)</f>
        <v>0</v>
      </c>
      <c r="K11" s="278">
        <f>SUM(K9:K10)</f>
        <v>0</v>
      </c>
    </row>
    <row r="12" spans="1:11" ht="15.75">
      <c r="A12" s="245" t="s">
        <v>69</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182</v>
      </c>
      <c r="B15" s="275"/>
      <c r="C15" s="276"/>
      <c r="D15" s="277"/>
      <c r="E15" s="278">
        <f>SUM(E13:E14)</f>
        <v>0</v>
      </c>
      <c r="F15" s="279"/>
      <c r="G15" s="279"/>
      <c r="H15" s="278">
        <f>SUM(H13:H14)</f>
        <v>0</v>
      </c>
      <c r="I15" s="278">
        <f>SUM(I13:I14)</f>
        <v>0</v>
      </c>
      <c r="J15" s="278">
        <f>SUM(J13:J14)</f>
        <v>0</v>
      </c>
      <c r="K15" s="278">
        <f>SUM(K13:K14)</f>
        <v>0</v>
      </c>
    </row>
    <row r="16" spans="1:11" ht="15.75">
      <c r="A16" s="280" t="s">
        <v>101</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98</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84</v>
      </c>
      <c r="D20" s="208"/>
      <c r="E20" s="209" t="s">
        <v>775</v>
      </c>
      <c r="F20" s="208"/>
      <c r="G20" s="208"/>
      <c r="H20" s="208"/>
      <c r="I20" s="291"/>
      <c r="J20" s="292"/>
      <c r="K20" s="287"/>
    </row>
    <row r="21" spans="1:11" s="288" customFormat="1" ht="15.75">
      <c r="A21" s="140"/>
      <c r="B21" s="261"/>
      <c r="C21" s="261" t="s">
        <v>613</v>
      </c>
      <c r="D21" s="261" t="s">
        <v>85</v>
      </c>
      <c r="E21" s="261" t="s">
        <v>52</v>
      </c>
      <c r="F21" s="261" t="s">
        <v>86</v>
      </c>
      <c r="G21" s="261" t="s">
        <v>87</v>
      </c>
      <c r="H21" s="261" t="s">
        <v>87</v>
      </c>
      <c r="I21" s="287"/>
      <c r="J21" s="287"/>
      <c r="K21" s="287"/>
    </row>
    <row r="22" spans="1:11" s="288" customFormat="1" ht="15.75">
      <c r="A22" s="140"/>
      <c r="B22" s="261" t="s">
        <v>88</v>
      </c>
      <c r="C22" s="261" t="s">
        <v>89</v>
      </c>
      <c r="D22" s="261" t="s">
        <v>51</v>
      </c>
      <c r="E22" s="261" t="s">
        <v>90</v>
      </c>
      <c r="F22" s="261" t="s">
        <v>132</v>
      </c>
      <c r="G22" s="261" t="s">
        <v>91</v>
      </c>
      <c r="H22" s="261" t="s">
        <v>91</v>
      </c>
      <c r="I22" s="287"/>
      <c r="J22" s="287"/>
      <c r="K22" s="287"/>
    </row>
    <row r="23" spans="1:11" s="288" customFormat="1" ht="15.75">
      <c r="A23" s="293" t="s">
        <v>92</v>
      </c>
      <c r="B23" s="212" t="s">
        <v>611</v>
      </c>
      <c r="C23" s="294" t="s">
        <v>93</v>
      </c>
      <c r="D23" s="212" t="s">
        <v>584</v>
      </c>
      <c r="E23" s="294" t="s">
        <v>149</v>
      </c>
      <c r="F23" s="265" t="str">
        <f>CONCATENATE("Jan 1,",K1-1,"")</f>
        <v>Jan 1,2011</v>
      </c>
      <c r="G23" s="212">
        <f>K1-1</f>
        <v>2011</v>
      </c>
      <c r="H23" s="212">
        <f>K1</f>
        <v>2012</v>
      </c>
      <c r="I23" s="287"/>
      <c r="J23" s="287"/>
      <c r="K23" s="287"/>
    </row>
    <row r="24" spans="1:11" s="288" customFormat="1" ht="15.75">
      <c r="A24" s="270" t="s">
        <v>423</v>
      </c>
      <c r="B24" s="459">
        <v>40358</v>
      </c>
      <c r="C24" s="295">
        <v>60</v>
      </c>
      <c r="D24" s="271">
        <v>4.5</v>
      </c>
      <c r="E24" s="272">
        <v>74887</v>
      </c>
      <c r="F24" s="272">
        <v>74887</v>
      </c>
      <c r="G24" s="272">
        <v>23295</v>
      </c>
      <c r="H24" s="272">
        <v>23295</v>
      </c>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101</v>
      </c>
      <c r="B36" s="281"/>
      <c r="C36" s="282"/>
      <c r="D36" s="296"/>
      <c r="E36" s="285"/>
      <c r="F36" s="284">
        <f>SUM(F24:F35)</f>
        <v>74887</v>
      </c>
      <c r="G36" s="284">
        <f>SUM(G24:G35)</f>
        <v>23295</v>
      </c>
      <c r="H36" s="284">
        <f>SUM(H24:H35)</f>
        <v>23295</v>
      </c>
      <c r="I36" s="255"/>
      <c r="J36" s="255"/>
      <c r="K36" s="297"/>
    </row>
    <row r="37" spans="1:11" ht="15.75">
      <c r="A37" s="255"/>
      <c r="B37" s="255"/>
      <c r="C37" s="255"/>
      <c r="D37" s="255"/>
      <c r="E37" s="255"/>
      <c r="F37" s="255"/>
      <c r="G37" s="255"/>
      <c r="H37" s="255"/>
      <c r="I37" s="255"/>
      <c r="J37" s="255"/>
      <c r="K37" s="255"/>
    </row>
    <row r="38" spans="1:11" ht="15.75">
      <c r="A38" s="298" t="s">
        <v>631</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22">
      <selection activeCell="C9" sqref="C9"/>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Bloomington Township</v>
      </c>
      <c r="C1" s="130"/>
      <c r="D1" s="130"/>
      <c r="E1" s="202">
        <f>inputPrYr!D5</f>
        <v>2012</v>
      </c>
    </row>
    <row r="2" spans="2:5" ht="15.75">
      <c r="B2" s="194"/>
      <c r="C2" s="130"/>
      <c r="D2" s="130"/>
      <c r="E2" s="300"/>
    </row>
    <row r="3" spans="2:5" ht="15.75">
      <c r="B3" s="578" t="s">
        <v>409</v>
      </c>
      <c r="C3" s="143"/>
      <c r="D3" s="143"/>
      <c r="E3" s="301"/>
    </row>
    <row r="4" spans="2:5" ht="15.75">
      <c r="B4" s="137" t="s">
        <v>58</v>
      </c>
      <c r="C4" s="463" t="s">
        <v>59</v>
      </c>
      <c r="D4" s="465" t="s">
        <v>60</v>
      </c>
      <c r="E4" s="139" t="s">
        <v>61</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144</v>
      </c>
      <c r="C6" s="302">
        <v>5686</v>
      </c>
      <c r="D6" s="461">
        <f>C51</f>
        <v>12184</v>
      </c>
      <c r="E6" s="277">
        <f>D51</f>
        <v>0</v>
      </c>
    </row>
    <row r="7" spans="2:5" ht="15.75">
      <c r="B7" s="145" t="s">
        <v>146</v>
      </c>
      <c r="C7" s="461"/>
      <c r="D7" s="461"/>
      <c r="E7" s="305"/>
    </row>
    <row r="8" spans="2:5" ht="15.75">
      <c r="B8" s="145" t="s">
        <v>64</v>
      </c>
      <c r="C8" s="302">
        <v>22465</v>
      </c>
      <c r="D8" s="461">
        <f>inputPrYr!E16</f>
        <v>8968</v>
      </c>
      <c r="E8" s="305" t="s">
        <v>338</v>
      </c>
    </row>
    <row r="9" spans="2:5" ht="15.75">
      <c r="B9" s="145" t="s">
        <v>65</v>
      </c>
      <c r="C9" s="302">
        <v>1144</v>
      </c>
      <c r="D9" s="302"/>
      <c r="E9" s="272"/>
    </row>
    <row r="10" spans="2:5" ht="15.75">
      <c r="B10" s="145" t="s">
        <v>66</v>
      </c>
      <c r="C10" s="302">
        <v>1401</v>
      </c>
      <c r="D10" s="302">
        <v>4112</v>
      </c>
      <c r="E10" s="277">
        <f>mvalloc!G11</f>
        <v>1397</v>
      </c>
    </row>
    <row r="11" spans="2:5" ht="15.75">
      <c r="B11" s="145" t="s">
        <v>67</v>
      </c>
      <c r="C11" s="302">
        <v>41</v>
      </c>
      <c r="D11" s="302">
        <v>74</v>
      </c>
      <c r="E11" s="277">
        <f>mvalloc!I11</f>
        <v>43</v>
      </c>
    </row>
    <row r="12" spans="2:5" ht="15.75">
      <c r="B12" s="306" t="s">
        <v>94</v>
      </c>
      <c r="C12" s="302">
        <v>104</v>
      </c>
      <c r="D12" s="302">
        <v>122</v>
      </c>
      <c r="E12" s="277">
        <f>mvalloc!J11</f>
        <v>47</v>
      </c>
    </row>
    <row r="13" spans="2:5" ht="15.75">
      <c r="B13" s="306" t="s">
        <v>188</v>
      </c>
      <c r="C13" s="302"/>
      <c r="D13" s="302"/>
      <c r="E13" s="277">
        <f>inputOth!E36</f>
        <v>0</v>
      </c>
    </row>
    <row r="14" spans="2:5" ht="15.75">
      <c r="B14" s="306" t="s">
        <v>189</v>
      </c>
      <c r="C14" s="302"/>
      <c r="D14" s="302"/>
      <c r="E14" s="277">
        <f>mvalloc!K11</f>
        <v>0</v>
      </c>
    </row>
    <row r="15" spans="2:5" ht="15.75">
      <c r="B15" s="145" t="s">
        <v>68</v>
      </c>
      <c r="C15" s="302"/>
      <c r="D15" s="302"/>
      <c r="E15" s="277">
        <f>inputOth!E12</f>
        <v>0</v>
      </c>
    </row>
    <row r="16" spans="2:5" ht="15.75">
      <c r="B16" s="478"/>
      <c r="C16" s="302"/>
      <c r="D16" s="302"/>
      <c r="E16" s="477"/>
    </row>
    <row r="17" spans="2:5" ht="15.75">
      <c r="B17" s="308" t="s">
        <v>298</v>
      </c>
      <c r="C17" s="302">
        <v>23</v>
      </c>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577</v>
      </c>
      <c r="C23" s="302">
        <v>137</v>
      </c>
      <c r="D23" s="302"/>
      <c r="E23" s="272"/>
    </row>
    <row r="24" spans="2:5" ht="15.75">
      <c r="B24" s="310" t="s">
        <v>222</v>
      </c>
      <c r="C24" s="302"/>
      <c r="D24" s="302"/>
      <c r="E24" s="272"/>
    </row>
    <row r="25" spans="2:5" ht="15.75">
      <c r="B25" s="310" t="s">
        <v>223</v>
      </c>
      <c r="C25" s="460">
        <f>IF(C26*0.1&lt;C24,"Exceed 10% Rule","")</f>
      </c>
      <c r="D25" s="460">
        <f>IF(D26*0.1&lt;D24,"Exceed 10% Rule","")</f>
      </c>
      <c r="E25" s="316">
        <f>IF(E26*0.1+E57&lt;E24,"Exceed 10% Rule","")</f>
      </c>
    </row>
    <row r="26" spans="2:5" ht="15.75">
      <c r="B26" s="312" t="s">
        <v>578</v>
      </c>
      <c r="C26" s="462">
        <f>SUM(C8:C24)</f>
        <v>25315</v>
      </c>
      <c r="D26" s="462">
        <f>SUM(D8:D24)</f>
        <v>13276</v>
      </c>
      <c r="E26" s="313">
        <f>SUM(E8:E24)</f>
        <v>1487</v>
      </c>
    </row>
    <row r="27" spans="2:5" ht="15.75">
      <c r="B27" s="314" t="s">
        <v>579</v>
      </c>
      <c r="C27" s="462">
        <f>C26+C6</f>
        <v>31001</v>
      </c>
      <c r="D27" s="462">
        <f>D26+D6</f>
        <v>25460</v>
      </c>
      <c r="E27" s="313">
        <f>E26+E6</f>
        <v>1487</v>
      </c>
    </row>
    <row r="28" spans="2:5" ht="15.75">
      <c r="B28" s="145" t="s">
        <v>580</v>
      </c>
      <c r="C28" s="461"/>
      <c r="D28" s="461"/>
      <c r="E28" s="277"/>
    </row>
    <row r="29" spans="2:5" ht="15.75">
      <c r="B29" s="308" t="s">
        <v>698</v>
      </c>
      <c r="C29" s="302">
        <v>720</v>
      </c>
      <c r="D29" s="302">
        <v>2000</v>
      </c>
      <c r="E29" s="272">
        <v>2000</v>
      </c>
    </row>
    <row r="30" spans="2:5" ht="15.75">
      <c r="B30" s="309" t="s">
        <v>127</v>
      </c>
      <c r="C30" s="302">
        <v>5400</v>
      </c>
      <c r="D30" s="302"/>
      <c r="E30" s="272"/>
    </row>
    <row r="31" spans="2:5" ht="15.75">
      <c r="B31" s="309" t="s">
        <v>152</v>
      </c>
      <c r="C31" s="302"/>
      <c r="D31" s="302">
        <v>600</v>
      </c>
      <c r="E31" s="272">
        <v>600</v>
      </c>
    </row>
    <row r="32" spans="2:5" ht="15.75">
      <c r="B32" s="309" t="s">
        <v>128</v>
      </c>
      <c r="C32" s="302">
        <v>5521</v>
      </c>
      <c r="D32" s="302">
        <v>500</v>
      </c>
      <c r="E32" s="272">
        <v>500</v>
      </c>
    </row>
    <row r="33" spans="2:5" ht="15.75">
      <c r="B33" s="309" t="s">
        <v>591</v>
      </c>
      <c r="C33" s="302"/>
      <c r="D33" s="302"/>
      <c r="E33" s="272"/>
    </row>
    <row r="34" spans="2:5" ht="15.75">
      <c r="B34" s="308" t="s">
        <v>129</v>
      </c>
      <c r="C34" s="302">
        <v>35</v>
      </c>
      <c r="D34" s="302">
        <v>7000</v>
      </c>
      <c r="E34" s="272">
        <v>7000</v>
      </c>
    </row>
    <row r="35" spans="2:5" ht="15.75">
      <c r="B35" s="308" t="s">
        <v>153</v>
      </c>
      <c r="C35" s="302"/>
      <c r="D35" s="302">
        <v>2200</v>
      </c>
      <c r="E35" s="272">
        <v>2200</v>
      </c>
    </row>
    <row r="36" spans="2:5" ht="15.75">
      <c r="B36" s="309" t="s">
        <v>154</v>
      </c>
      <c r="C36" s="302"/>
      <c r="D36" s="302">
        <v>5000</v>
      </c>
      <c r="E36" s="272">
        <v>5000</v>
      </c>
    </row>
    <row r="37" spans="2:5" ht="15.75">
      <c r="B37" s="309" t="s">
        <v>699</v>
      </c>
      <c r="C37" s="302">
        <v>106</v>
      </c>
      <c r="D37" s="302">
        <v>260</v>
      </c>
      <c r="E37" s="272">
        <v>300</v>
      </c>
    </row>
    <row r="38" spans="2:5" ht="15.75">
      <c r="B38" s="308" t="s">
        <v>700</v>
      </c>
      <c r="C38" s="302">
        <v>630</v>
      </c>
      <c r="D38" s="302">
        <v>1000</v>
      </c>
      <c r="E38" s="272">
        <v>1000</v>
      </c>
    </row>
    <row r="39" spans="2:5" ht="15.75">
      <c r="B39" s="309" t="s">
        <v>701</v>
      </c>
      <c r="C39" s="302">
        <v>116</v>
      </c>
      <c r="D39" s="302">
        <v>1800</v>
      </c>
      <c r="E39" s="272">
        <v>1800</v>
      </c>
    </row>
    <row r="40" spans="2:5" ht="15.75">
      <c r="B40" s="309" t="s">
        <v>702</v>
      </c>
      <c r="C40" s="302"/>
      <c r="D40" s="302">
        <v>4000</v>
      </c>
      <c r="E40" s="272">
        <v>4000</v>
      </c>
    </row>
    <row r="41" spans="2:5" ht="15.75">
      <c r="B41" s="308" t="s">
        <v>224</v>
      </c>
      <c r="C41" s="302"/>
      <c r="D41" s="302"/>
      <c r="E41" s="272"/>
    </row>
    <row r="42" spans="2:5" ht="15.75">
      <c r="B42" s="309"/>
      <c r="C42" s="302"/>
      <c r="D42" s="302"/>
      <c r="E42" s="272"/>
    </row>
    <row r="43" spans="2:5" ht="15.75">
      <c r="B43" s="306" t="s">
        <v>767</v>
      </c>
      <c r="C43" s="302"/>
      <c r="D43" s="302"/>
      <c r="E43" s="272"/>
    </row>
    <row r="44" spans="2:10" ht="15.75">
      <c r="B44" s="306" t="s">
        <v>297</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768</v>
      </c>
      <c r="C45" s="302">
        <v>6289</v>
      </c>
      <c r="D45" s="302"/>
      <c r="E45" s="272"/>
      <c r="G45" s="589"/>
      <c r="H45" s="590"/>
      <c r="I45" s="590"/>
      <c r="J45" s="591"/>
    </row>
    <row r="46" spans="2:10" ht="15.75">
      <c r="B46" s="145" t="s">
        <v>403</v>
      </c>
      <c r="C46" s="460">
        <f>IF(C27*0.25&lt;C45,"Exceeds 25%","")</f>
      </c>
      <c r="D46" s="460">
        <f>IF(D27*0.25&lt;D45,"Exceeds 25%","")</f>
      </c>
      <c r="E46" s="316">
        <f>IF(E27*0.25+E57&lt;E45,"Exceeds 25%","")</f>
      </c>
      <c r="G46" s="592">
        <f>D51</f>
        <v>0</v>
      </c>
      <c r="H46" s="593" t="str">
        <f>CONCATENATE("",E1-1," Ending Cash Balance (est.)")</f>
        <v>2011 Ending Cash Balance (est.)</v>
      </c>
      <c r="I46" s="594"/>
      <c r="J46" s="591"/>
    </row>
    <row r="47" spans="2:10" ht="15.75">
      <c r="B47" s="306" t="s">
        <v>655</v>
      </c>
      <c r="C47" s="302"/>
      <c r="D47" s="302"/>
      <c r="E47" s="317">
        <f>nhood!E6</f>
      </c>
      <c r="G47" s="592">
        <f>E26</f>
        <v>1487</v>
      </c>
      <c r="H47" s="595" t="str">
        <f>CONCATENATE("",E1," Non-AV Receipts (est.)")</f>
        <v>2012 Non-AV Receipts (est.)</v>
      </c>
      <c r="I47" s="595"/>
      <c r="J47" s="591"/>
    </row>
    <row r="48" spans="2:10" ht="15.75">
      <c r="B48" s="306" t="s">
        <v>222</v>
      </c>
      <c r="C48" s="302"/>
      <c r="D48" s="302">
        <v>1100</v>
      </c>
      <c r="E48" s="272">
        <v>1100</v>
      </c>
      <c r="G48" s="596">
        <f>E57</f>
        <v>24013</v>
      </c>
      <c r="H48" s="595" t="str">
        <f>CONCATENATE("",E1," Ad Valorem Tax (est.)")</f>
        <v>2012 Ad Valorem Tax (est.)</v>
      </c>
      <c r="I48" s="595"/>
      <c r="J48" s="591"/>
    </row>
    <row r="49" spans="2:10" ht="15.75">
      <c r="B49" s="306" t="s">
        <v>404</v>
      </c>
      <c r="C49" s="460">
        <f>IF(C50*0.1&lt;C48,"Exceed 10% Rule","")</f>
      </c>
      <c r="D49" s="460">
        <f>IF(D50*0.1&lt;D48,"Exceed 10% Rule","")</f>
      </c>
      <c r="E49" s="316">
        <f>IF(E50*0.1&lt;E48,"Exceed 10% Rule","")</f>
      </c>
      <c r="G49" s="592">
        <f>SUM(G46:G48)</f>
        <v>25500</v>
      </c>
      <c r="H49" s="595" t="str">
        <f>CONCATENATE("Total ",E1," Resources Available")</f>
        <v>Total 2012 Resources Available</v>
      </c>
      <c r="I49" s="594"/>
      <c r="J49" s="591"/>
    </row>
    <row r="50" spans="2:10" ht="15.75">
      <c r="B50" s="314" t="s">
        <v>581</v>
      </c>
      <c r="C50" s="467">
        <f>SUM(C29:C48)</f>
        <v>18817</v>
      </c>
      <c r="D50" s="467">
        <f>SUM(D29:D48)</f>
        <v>25460</v>
      </c>
      <c r="E50" s="318">
        <f>SUM(E29:E43,E45,E47:E48)</f>
        <v>25500</v>
      </c>
      <c r="G50" s="597"/>
      <c r="H50" s="595"/>
      <c r="I50" s="595"/>
      <c r="J50" s="591"/>
    </row>
    <row r="51" spans="2:10" ht="15.75">
      <c r="B51" s="145" t="s">
        <v>145</v>
      </c>
      <c r="C51" s="468">
        <f>C27-C50</f>
        <v>12184</v>
      </c>
      <c r="D51" s="468">
        <f>SUM(D27-D50)</f>
        <v>0</v>
      </c>
      <c r="E51" s="305" t="s">
        <v>338</v>
      </c>
      <c r="G51" s="596">
        <f>C50*0.05+C50</f>
        <v>19757.85</v>
      </c>
      <c r="H51" s="595" t="str">
        <f>CONCATENATE("Less ",E1-2," Expenditures + 5%")</f>
        <v>Less 2010 Expenditures + 5%</v>
      </c>
      <c r="I51" s="594"/>
      <c r="J51" s="591"/>
    </row>
    <row r="52" spans="2:10" ht="15.75">
      <c r="B52" s="186" t="str">
        <f>CONCATENATE("",E1-2,"/",E1-1," Budget Authority Amount:")</f>
        <v>2010/2011 Budget Authority Amount:</v>
      </c>
      <c r="C52" s="572">
        <f>inputOth!B48</f>
        <v>19500</v>
      </c>
      <c r="D52" s="148">
        <f>inputPrYr!D16</f>
        <v>25500</v>
      </c>
      <c r="E52" s="305" t="s">
        <v>338</v>
      </c>
      <c r="F52" s="319"/>
      <c r="G52" s="598">
        <f>G49-G51</f>
        <v>5742.1500000000015</v>
      </c>
      <c r="H52" s="599" t="str">
        <f>CONCATENATE("Projected ",E1+1," Carryover (est.)")</f>
        <v>Projected 2013 Carryover (est.)</v>
      </c>
      <c r="I52" s="600"/>
      <c r="J52" s="601"/>
    </row>
    <row r="53" spans="2:6" ht="15.75">
      <c r="B53" s="186"/>
      <c r="C53" s="704" t="s">
        <v>406</v>
      </c>
      <c r="D53" s="705"/>
      <c r="E53" s="272"/>
      <c r="F53" s="319">
        <f>IF(E50/0.95-E50&lt;E53,"Exceeds 5%","")</f>
      </c>
    </row>
    <row r="54" spans="2:10" ht="15.75">
      <c r="B54" s="476" t="str">
        <f>CONCATENATE(C71,"     ",D71)</f>
        <v>     </v>
      </c>
      <c r="C54" s="706" t="s">
        <v>407</v>
      </c>
      <c r="D54" s="707"/>
      <c r="E54" s="277">
        <f>E50+E53</f>
        <v>25500</v>
      </c>
      <c r="G54" s="602">
        <f>IF(inputOth!E7=0,"",ROUND(gen!E57/inputOth!E7*1000,3))</f>
        <v>6.519</v>
      </c>
      <c r="H54" s="603" t="str">
        <f>CONCATENATE("Projected ",E1-1," Mill Rate (est.)")</f>
        <v>Projected 2011 Mill Rate (est.)</v>
      </c>
      <c r="I54" s="604"/>
      <c r="J54" s="605"/>
    </row>
    <row r="55" spans="2:10" ht="15.75">
      <c r="B55" s="476" t="str">
        <f>CONCATENATE(C72,"     ",D72)</f>
        <v>     </v>
      </c>
      <c r="C55" s="413"/>
      <c r="D55" s="203" t="s">
        <v>583</v>
      </c>
      <c r="E55" s="317">
        <f>IF(E54-E27&gt;0,E54-E27,0)</f>
        <v>24013</v>
      </c>
      <c r="G55" s="606"/>
      <c r="H55" s="606"/>
      <c r="I55" s="606"/>
      <c r="J55" s="606"/>
    </row>
    <row r="56" spans="2:10" ht="15.75">
      <c r="B56" s="203"/>
      <c r="C56" s="576" t="s">
        <v>408</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24013</v>
      </c>
      <c r="G57" s="607"/>
      <c r="H57" s="590"/>
      <c r="I57" s="595"/>
      <c r="J57" s="608"/>
    </row>
    <row r="58" spans="2:10" ht="15.75">
      <c r="B58" s="130"/>
      <c r="C58" s="130"/>
      <c r="D58" s="130"/>
      <c r="E58" s="130"/>
      <c r="G58" s="609" t="s">
        <v>410</v>
      </c>
      <c r="H58" s="595"/>
      <c r="I58" s="595"/>
      <c r="J58" s="610">
        <v>0</v>
      </c>
    </row>
    <row r="59" spans="2:10" s="321" customFormat="1" ht="15.75">
      <c r="B59" s="136"/>
      <c r="C59" s="136"/>
      <c r="D59" s="196"/>
      <c r="E59" s="136"/>
      <c r="G59" s="607" t="s">
        <v>411</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57</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F49" sqref="F49"/>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Bloomington Township</v>
      </c>
      <c r="C1" s="130"/>
      <c r="D1" s="130"/>
      <c r="E1" s="325">
        <f>inputPrYr!$D$5</f>
        <v>2012</v>
      </c>
    </row>
    <row r="2" spans="2:5" ht="15.75">
      <c r="B2" s="130"/>
      <c r="C2" s="130"/>
      <c r="D2" s="130"/>
      <c r="E2" s="203"/>
    </row>
    <row r="3" spans="2:5" ht="15.75">
      <c r="B3" s="194"/>
      <c r="C3" s="224"/>
      <c r="D3" s="224"/>
      <c r="E3" s="132"/>
    </row>
    <row r="4" spans="2:5" ht="15.75">
      <c r="B4" s="578" t="s">
        <v>409</v>
      </c>
      <c r="C4" s="326"/>
      <c r="D4" s="326"/>
      <c r="E4" s="326"/>
    </row>
    <row r="5" spans="2:5" ht="15.75">
      <c r="B5" s="137" t="s">
        <v>58</v>
      </c>
      <c r="C5" s="463" t="s">
        <v>59</v>
      </c>
      <c r="D5" s="465" t="s">
        <v>60</v>
      </c>
      <c r="E5" s="139" t="s">
        <v>61</v>
      </c>
    </row>
    <row r="6" spans="2:5" ht="15.75">
      <c r="B6" s="569" t="s">
        <v>349</v>
      </c>
      <c r="C6" s="464" t="str">
        <f>CONCATENATE("Actual ",$E$1-2,"")</f>
        <v>Actual 2010</v>
      </c>
      <c r="D6" s="464" t="str">
        <f>CONCATENATE("Estimate ",$E$1-1,"")</f>
        <v>Estimate 2011</v>
      </c>
      <c r="E6" s="144" t="str">
        <f>CONCATENATE("Year ",$E$1,"")</f>
        <v>Year 2012</v>
      </c>
    </row>
    <row r="7" spans="2:5" ht="15.75">
      <c r="B7" s="145" t="s">
        <v>170</v>
      </c>
      <c r="C7" s="471"/>
      <c r="D7" s="473">
        <f>C51</f>
        <v>0</v>
      </c>
      <c r="E7" s="327">
        <f>D51</f>
        <v>0</v>
      </c>
    </row>
    <row r="8" spans="2:5" ht="15.75">
      <c r="B8" s="145" t="s">
        <v>146</v>
      </c>
      <c r="C8" s="472"/>
      <c r="D8" s="473"/>
      <c r="E8" s="327"/>
    </row>
    <row r="9" spans="2:5" ht="15.75">
      <c r="B9" s="145" t="s">
        <v>64</v>
      </c>
      <c r="C9" s="302"/>
      <c r="D9" s="472">
        <f>inputPrYr!E17</f>
        <v>0</v>
      </c>
      <c r="E9" s="305" t="s">
        <v>338</v>
      </c>
    </row>
    <row r="10" spans="2:5" ht="15.75">
      <c r="B10" s="145" t="s">
        <v>65</v>
      </c>
      <c r="C10" s="302"/>
      <c r="D10" s="302"/>
      <c r="E10" s="328"/>
    </row>
    <row r="11" spans="2:5" ht="15.75">
      <c r="B11" s="145" t="s">
        <v>66</v>
      </c>
      <c r="C11" s="302"/>
      <c r="D11" s="302"/>
      <c r="E11" s="329">
        <f>mvalloc!G12</f>
        <v>0</v>
      </c>
    </row>
    <row r="12" spans="2:5" ht="15.75">
      <c r="B12" s="145" t="s">
        <v>67</v>
      </c>
      <c r="C12" s="302"/>
      <c r="D12" s="302"/>
      <c r="E12" s="329">
        <f>mvalloc!I12</f>
        <v>0</v>
      </c>
    </row>
    <row r="13" spans="2:5" ht="15.75">
      <c r="B13" s="330" t="s">
        <v>125</v>
      </c>
      <c r="C13" s="302"/>
      <c r="D13" s="302"/>
      <c r="E13" s="329">
        <f>mvalloc!J12</f>
        <v>0</v>
      </c>
    </row>
    <row r="14" spans="2:5" ht="15.75">
      <c r="B14" s="330" t="s">
        <v>189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180</v>
      </c>
      <c r="C25" s="302"/>
      <c r="D25" s="302"/>
      <c r="E25" s="328"/>
    </row>
    <row r="26" spans="2:5" ht="15.75">
      <c r="B26" s="333" t="s">
        <v>577</v>
      </c>
      <c r="C26" s="302"/>
      <c r="D26" s="302"/>
      <c r="E26" s="328"/>
    </row>
    <row r="27" spans="2:5" ht="15.75">
      <c r="B27" s="310" t="s">
        <v>222</v>
      </c>
      <c r="C27" s="471"/>
      <c r="D27" s="471"/>
      <c r="E27" s="328"/>
    </row>
    <row r="28" spans="2:5" ht="15.75">
      <c r="B28" s="310" t="s">
        <v>223</v>
      </c>
      <c r="C28" s="460">
        <f>IF(C29*0.1&lt;C27,"Exceed 10% Rule","")</f>
      </c>
      <c r="D28" s="460">
        <f>IF(D29*0.1&lt;D27,"Exceed 10% Rule","")</f>
      </c>
      <c r="E28" s="316">
        <f>IF(E29*0.1+E57&lt;E27,"Exceed 10% Rule","")</f>
      </c>
    </row>
    <row r="29" spans="2:5" ht="15.75">
      <c r="B29" s="314" t="s">
        <v>578</v>
      </c>
      <c r="C29" s="469">
        <f>SUM(C9:C27)</f>
        <v>0</v>
      </c>
      <c r="D29" s="469">
        <f>SUM(D9:D27)</f>
        <v>0</v>
      </c>
      <c r="E29" s="334">
        <f>SUM(E9:E27)</f>
        <v>0</v>
      </c>
    </row>
    <row r="30" spans="2:5" ht="15.75">
      <c r="B30" s="314" t="s">
        <v>579</v>
      </c>
      <c r="C30" s="469">
        <f>C7+C29</f>
        <v>0</v>
      </c>
      <c r="D30" s="469">
        <f>D7+D29</f>
        <v>0</v>
      </c>
      <c r="E30" s="335">
        <f>E7+E29</f>
        <v>0</v>
      </c>
    </row>
    <row r="31" spans="2:5" ht="15.75">
      <c r="B31" s="150" t="s">
        <v>580</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655</v>
      </c>
      <c r="C47" s="302"/>
      <c r="D47" s="302"/>
      <c r="E47" s="336">
        <f>nhood!E7</f>
      </c>
    </row>
    <row r="48" spans="2:5" ht="15.75">
      <c r="B48" s="306" t="s">
        <v>222</v>
      </c>
      <c r="C48" s="471"/>
      <c r="D48" s="471"/>
      <c r="E48" s="328"/>
    </row>
    <row r="49" spans="2:9" ht="15.75">
      <c r="B49" s="306" t="s">
        <v>404</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581</v>
      </c>
      <c r="C50" s="469">
        <f>SUM(C32:C48)</f>
        <v>0</v>
      </c>
      <c r="D50" s="469">
        <f>SUM(D32:D48)</f>
        <v>0</v>
      </c>
      <c r="E50" s="334">
        <f>SUM(E32:E48)</f>
        <v>0</v>
      </c>
      <c r="G50" s="589"/>
      <c r="H50" s="590"/>
      <c r="I50" s="591"/>
    </row>
    <row r="51" spans="2:9" ht="15.75">
      <c r="B51" s="145" t="s">
        <v>145</v>
      </c>
      <c r="C51" s="470">
        <f>C30-C50</f>
        <v>0</v>
      </c>
      <c r="D51" s="470">
        <f>D30-D50</f>
        <v>0</v>
      </c>
      <c r="E51" s="305" t="s">
        <v>338</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338</v>
      </c>
      <c r="F52" s="319"/>
      <c r="G52" s="617">
        <f>E29</f>
        <v>0</v>
      </c>
      <c r="H52" s="619" t="str">
        <f>CONCATENATE("",E1," Non-AV Receipts (est.)")</f>
        <v>2012 Non-AV Receipts (est.)</v>
      </c>
      <c r="I52" s="591"/>
    </row>
    <row r="53" spans="2:9" ht="15.75">
      <c r="B53" s="186"/>
      <c r="C53" s="704" t="s">
        <v>406</v>
      </c>
      <c r="D53" s="705"/>
      <c r="E53" s="272"/>
      <c r="F53" s="319">
        <f>IF(E50/0.95-E50&lt;E53,"Exceeds 5%","")</f>
      </c>
      <c r="G53" s="620">
        <f>E57</f>
        <v>0</v>
      </c>
      <c r="H53" s="619" t="str">
        <f>CONCATENATE("",E1," Ad Valorem Tax (est.)")</f>
        <v>2012 Ad Valorem Tax (est.)</v>
      </c>
      <c r="I53" s="591"/>
    </row>
    <row r="54" spans="2:9" ht="15.75">
      <c r="B54" s="476" t="str">
        <f>CONCATENATE(C71,"     ",D71)</f>
        <v>     </v>
      </c>
      <c r="C54" s="706" t="s">
        <v>407</v>
      </c>
      <c r="D54" s="707"/>
      <c r="E54" s="277">
        <f>E50+E53</f>
        <v>0</v>
      </c>
      <c r="G54" s="617">
        <f>SUM(G51:G53)</f>
        <v>0</v>
      </c>
      <c r="H54" s="619" t="str">
        <f>CONCATENATE("Total ",E1," Resources Available")</f>
        <v>Total 2012 Resources Available</v>
      </c>
      <c r="I54" s="591"/>
    </row>
    <row r="55" spans="2:9" ht="15.75">
      <c r="B55" s="476" t="str">
        <f>CONCATENATE(C72,"     ",D72)</f>
        <v>     </v>
      </c>
      <c r="C55" s="413"/>
      <c r="D55" s="203" t="s">
        <v>583</v>
      </c>
      <c r="E55" s="317">
        <f>IF(E54-E30&gt;0,E54-E30,0)</f>
        <v>0</v>
      </c>
      <c r="G55" s="621"/>
      <c r="H55" s="619"/>
      <c r="I55" s="591"/>
    </row>
    <row r="56" spans="2:9" ht="15.75">
      <c r="B56" s="203"/>
      <c r="C56" s="576" t="s">
        <v>408</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57</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0">
      <selection activeCell="C30" sqref="C3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Bloomington Township</v>
      </c>
      <c r="C1" s="130"/>
      <c r="D1" s="130"/>
      <c r="E1" s="202">
        <f>inputPrYr!D5</f>
        <v>2012</v>
      </c>
    </row>
    <row r="2" spans="2:5" ht="15.75">
      <c r="B2" s="578" t="s">
        <v>409</v>
      </c>
      <c r="C2" s="130"/>
      <c r="D2" s="224"/>
      <c r="E2" s="132"/>
    </row>
    <row r="3" spans="2:5" ht="15.75">
      <c r="B3" s="137" t="s">
        <v>58</v>
      </c>
      <c r="C3" s="135"/>
      <c r="D3" s="135"/>
      <c r="E3" s="135"/>
    </row>
    <row r="4" spans="2:5" ht="15.75">
      <c r="B4" s="130"/>
      <c r="C4" s="463" t="s">
        <v>59</v>
      </c>
      <c r="D4" s="465" t="s">
        <v>60</v>
      </c>
      <c r="E4" s="139" t="s">
        <v>61</v>
      </c>
    </row>
    <row r="5" spans="2:5" ht="15.75">
      <c r="B5" s="569" t="str">
        <f>inputPrYr!B18</f>
        <v>Road</v>
      </c>
      <c r="C5" s="464" t="str">
        <f>gen!C5</f>
        <v>Actual 2010</v>
      </c>
      <c r="D5" s="464" t="str">
        <f>gen!D5</f>
        <v>Estimate 2011</v>
      </c>
      <c r="E5" s="144" t="str">
        <f>gen!E5</f>
        <v>Year 2012</v>
      </c>
    </row>
    <row r="6" spans="2:5" ht="15.75">
      <c r="B6" s="145" t="s">
        <v>144</v>
      </c>
      <c r="C6" s="302">
        <v>6943</v>
      </c>
      <c r="D6" s="461">
        <f>C44</f>
        <v>16336</v>
      </c>
      <c r="E6" s="277">
        <f>D44</f>
        <v>9388</v>
      </c>
    </row>
    <row r="7" spans="2:5" ht="15.75">
      <c r="B7" s="145" t="s">
        <v>146</v>
      </c>
      <c r="C7" s="461"/>
      <c r="D7" s="461"/>
      <c r="E7" s="305"/>
    </row>
    <row r="8" spans="2:5" ht="15.75">
      <c r="B8" s="145" t="s">
        <v>64</v>
      </c>
      <c r="C8" s="302">
        <v>82146</v>
      </c>
      <c r="D8" s="461">
        <f>inputPrYr!E18</f>
        <v>105664</v>
      </c>
      <c r="E8" s="305" t="s">
        <v>338</v>
      </c>
    </row>
    <row r="9" spans="2:5" ht="15.75">
      <c r="B9" s="145" t="s">
        <v>65</v>
      </c>
      <c r="C9" s="302">
        <v>6457</v>
      </c>
      <c r="D9" s="302"/>
      <c r="E9" s="272"/>
    </row>
    <row r="10" spans="2:5" ht="15.75">
      <c r="B10" s="145" t="s">
        <v>66</v>
      </c>
      <c r="C10" s="302">
        <v>15967</v>
      </c>
      <c r="D10" s="302">
        <v>15037</v>
      </c>
      <c r="E10" s="277">
        <f>mvalloc!G13</f>
        <v>16460</v>
      </c>
    </row>
    <row r="11" spans="2:5" ht="15.75">
      <c r="B11" s="145" t="s">
        <v>67</v>
      </c>
      <c r="C11" s="302">
        <v>479</v>
      </c>
      <c r="D11" s="302">
        <v>271</v>
      </c>
      <c r="E11" s="277">
        <f>mvalloc!I13</f>
        <v>511</v>
      </c>
    </row>
    <row r="12" spans="2:5" ht="15.75">
      <c r="B12" s="145" t="s">
        <v>125</v>
      </c>
      <c r="C12" s="302">
        <v>509</v>
      </c>
      <c r="D12" s="302">
        <v>445</v>
      </c>
      <c r="E12" s="277">
        <f>mvalloc!J13</f>
        <v>559</v>
      </c>
    </row>
    <row r="13" spans="2:5" ht="15.75">
      <c r="B13" s="145" t="s">
        <v>189</v>
      </c>
      <c r="C13" s="302"/>
      <c r="D13" s="302">
        <v>0</v>
      </c>
      <c r="E13" s="277">
        <f>mvalloc!K13</f>
        <v>0</v>
      </c>
    </row>
    <row r="14" spans="2:5" ht="15.75">
      <c r="B14" s="145" t="s">
        <v>126</v>
      </c>
      <c r="C14" s="302">
        <v>4608</v>
      </c>
      <c r="D14" s="302">
        <v>4028</v>
      </c>
      <c r="E14" s="277">
        <f>inputOth!E38</f>
        <v>4378</v>
      </c>
    </row>
    <row r="15" spans="2:5" ht="15.75">
      <c r="B15" s="309"/>
      <c r="C15" s="302"/>
      <c r="D15" s="302"/>
      <c r="E15" s="272"/>
    </row>
    <row r="16" spans="2:5" ht="15.75">
      <c r="B16" s="309" t="s">
        <v>298</v>
      </c>
      <c r="C16" s="302">
        <v>421</v>
      </c>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577</v>
      </c>
      <c r="C20" s="302"/>
      <c r="D20" s="302"/>
      <c r="E20" s="272"/>
    </row>
    <row r="21" spans="2:5" ht="15.75">
      <c r="B21" s="310" t="s">
        <v>222</v>
      </c>
      <c r="C21" s="302"/>
      <c r="D21" s="302"/>
      <c r="E21" s="272"/>
    </row>
    <row r="22" spans="2:5" ht="15.75">
      <c r="B22" s="310" t="s">
        <v>223</v>
      </c>
      <c r="C22" s="460">
        <f>IF(C23*0.1&lt;C21,"Exceed 10% Rule","")</f>
      </c>
      <c r="D22" s="460">
        <f>IF(D23*0.1&lt;D21,"Exceed 10% Rule","")</f>
      </c>
      <c r="E22" s="316">
        <f>IF(E23*0.1+E50&lt;E21,"Exceed 10% Rule","")</f>
      </c>
    </row>
    <row r="23" spans="2:5" ht="15.75">
      <c r="B23" s="312" t="s">
        <v>578</v>
      </c>
      <c r="C23" s="462">
        <f>SUM(C8:C21)</f>
        <v>110587</v>
      </c>
      <c r="D23" s="462">
        <f>SUM(D8:D21)</f>
        <v>125445</v>
      </c>
      <c r="E23" s="313">
        <f>SUM(E8:E21)</f>
        <v>21908</v>
      </c>
    </row>
    <row r="24" spans="2:5" ht="15.75">
      <c r="B24" s="314" t="s">
        <v>579</v>
      </c>
      <c r="C24" s="462">
        <f>C23+C6</f>
        <v>117530</v>
      </c>
      <c r="D24" s="462">
        <f>D23+D6</f>
        <v>141781</v>
      </c>
      <c r="E24" s="313">
        <f>E23+E6</f>
        <v>31296</v>
      </c>
    </row>
    <row r="25" spans="2:5" ht="15.75">
      <c r="B25" s="145" t="s">
        <v>580</v>
      </c>
      <c r="C25" s="461"/>
      <c r="D25" s="461"/>
      <c r="E25" s="277"/>
    </row>
    <row r="26" spans="2:5" ht="15.75">
      <c r="B26" s="309" t="s">
        <v>225</v>
      </c>
      <c r="C26" s="302">
        <v>29991</v>
      </c>
      <c r="D26" s="302">
        <v>19000</v>
      </c>
      <c r="E26" s="272">
        <v>19000</v>
      </c>
    </row>
    <row r="27" spans="2:5" ht="15.75">
      <c r="B27" s="309" t="s">
        <v>703</v>
      </c>
      <c r="C27" s="302">
        <v>6979</v>
      </c>
      <c r="D27" s="302">
        <v>10000</v>
      </c>
      <c r="E27" s="272">
        <v>10000</v>
      </c>
    </row>
    <row r="28" spans="2:5" ht="15.75">
      <c r="B28" s="309" t="s">
        <v>704</v>
      </c>
      <c r="C28" s="302"/>
      <c r="D28" s="302">
        <v>10000</v>
      </c>
      <c r="E28" s="272">
        <v>10000</v>
      </c>
    </row>
    <row r="29" spans="2:5" ht="15.75">
      <c r="B29" s="308" t="s">
        <v>705</v>
      </c>
      <c r="C29" s="302"/>
      <c r="D29" s="302">
        <v>2000</v>
      </c>
      <c r="E29" s="272">
        <v>2000</v>
      </c>
    </row>
    <row r="30" spans="2:5" ht="15.75">
      <c r="B30" s="309" t="s">
        <v>131</v>
      </c>
      <c r="C30" s="302">
        <v>68159</v>
      </c>
      <c r="D30" s="302">
        <v>73502</v>
      </c>
      <c r="E30" s="272">
        <v>73502</v>
      </c>
    </row>
    <row r="31" spans="2:5" ht="15.75">
      <c r="B31" s="309" t="s">
        <v>226</v>
      </c>
      <c r="C31" s="302">
        <v>3869</v>
      </c>
      <c r="D31" s="302">
        <v>7200</v>
      </c>
      <c r="E31" s="272">
        <v>7200</v>
      </c>
    </row>
    <row r="32" spans="2:5" ht="15.75">
      <c r="B32" s="309" t="s">
        <v>706</v>
      </c>
      <c r="C32" s="302"/>
      <c r="D32" s="302">
        <v>300</v>
      </c>
      <c r="E32" s="272">
        <v>300</v>
      </c>
    </row>
    <row r="33" spans="2:5" ht="15.75">
      <c r="B33" s="309" t="s">
        <v>707</v>
      </c>
      <c r="C33" s="302"/>
      <c r="D33" s="302">
        <v>2000</v>
      </c>
      <c r="E33" s="272">
        <v>2000</v>
      </c>
    </row>
    <row r="34" spans="2:5" ht="15.75">
      <c r="B34" s="308" t="s">
        <v>708</v>
      </c>
      <c r="C34" s="302">
        <v>455</v>
      </c>
      <c r="D34" s="302">
        <v>6791</v>
      </c>
      <c r="E34" s="272">
        <v>6791</v>
      </c>
    </row>
    <row r="35" spans="2:5" ht="15.75">
      <c r="B35" s="308"/>
      <c r="C35" s="302"/>
      <c r="D35" s="302"/>
      <c r="E35" s="272"/>
    </row>
    <row r="36" spans="2:5" ht="15.75">
      <c r="B36" s="309" t="s">
        <v>299</v>
      </c>
      <c r="C36" s="302">
        <v>-35800</v>
      </c>
      <c r="D36" s="302"/>
      <c r="E36" s="272"/>
    </row>
    <row r="37" spans="2:5" ht="15.75">
      <c r="B37" s="309"/>
      <c r="C37" s="302"/>
      <c r="D37" s="302"/>
      <c r="E37" s="272"/>
    </row>
    <row r="38" spans="2:5" ht="15.75">
      <c r="B38" s="145" t="s">
        <v>130</v>
      </c>
      <c r="C38" s="302">
        <v>27541</v>
      </c>
      <c r="D38" s="302"/>
      <c r="E38" s="272"/>
    </row>
    <row r="39" spans="2:10" ht="15.75">
      <c r="B39" s="145" t="s">
        <v>405</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655</v>
      </c>
      <c r="C40" s="302"/>
      <c r="D40" s="302"/>
      <c r="E40" s="317">
        <f>nhood!E8</f>
      </c>
      <c r="G40" s="589"/>
      <c r="H40" s="590"/>
      <c r="I40" s="590"/>
      <c r="J40" s="591"/>
    </row>
    <row r="41" spans="2:10" ht="15.75">
      <c r="B41" s="306" t="s">
        <v>222</v>
      </c>
      <c r="C41" s="302"/>
      <c r="D41" s="302">
        <v>1600</v>
      </c>
      <c r="E41" s="272">
        <v>1600</v>
      </c>
      <c r="G41" s="592">
        <f>D44</f>
        <v>9388</v>
      </c>
      <c r="H41" s="593" t="str">
        <f>CONCATENATE("",E1-1," Ending Cash Balance (est.)")</f>
        <v>2011 Ending Cash Balance (est.)</v>
      </c>
      <c r="I41" s="594"/>
      <c r="J41" s="591"/>
    </row>
    <row r="42" spans="2:10" ht="15.75">
      <c r="B42" s="306" t="s">
        <v>404</v>
      </c>
      <c r="C42" s="460">
        <f>IF(C43*0.1&lt;C41,"Exceed 10% Rule","")</f>
      </c>
      <c r="D42" s="460">
        <f>IF(D43*0.1&lt;D41,"Exceed 10% Rule","")</f>
      </c>
      <c r="E42" s="316">
        <f>IF(E43*0.1&lt;E41,"Exceed 10% Rule","")</f>
      </c>
      <c r="G42" s="592">
        <f>E23</f>
        <v>21908</v>
      </c>
      <c r="H42" s="595" t="str">
        <f>CONCATENATE("",E1," Non-AV Receipts (est.)")</f>
        <v>2012 Non-AV Receipts (est.)</v>
      </c>
      <c r="I42" s="595"/>
      <c r="J42" s="591"/>
    </row>
    <row r="43" spans="2:10" ht="15.75">
      <c r="B43" s="314" t="s">
        <v>581</v>
      </c>
      <c r="C43" s="462">
        <f>SUM(C26:C38,C40:C41)</f>
        <v>101194</v>
      </c>
      <c r="D43" s="462">
        <f>SUM(D26:D38,D40:D41)</f>
        <v>132393</v>
      </c>
      <c r="E43" s="313">
        <f>SUM(E26:E38,E40:E41)</f>
        <v>132393</v>
      </c>
      <c r="G43" s="596">
        <f>E50</f>
        <v>101097</v>
      </c>
      <c r="H43" s="595" t="str">
        <f>CONCATENATE("",E1," Ad Valorem Tax (est.)")</f>
        <v>2012 Ad Valorem Tax (est.)</v>
      </c>
      <c r="I43" s="595"/>
      <c r="J43" s="591"/>
    </row>
    <row r="44" spans="2:10" ht="15.75">
      <c r="B44" s="145" t="s">
        <v>145</v>
      </c>
      <c r="C44" s="468">
        <f>C24-C43</f>
        <v>16336</v>
      </c>
      <c r="D44" s="468">
        <f>D24-D43</f>
        <v>9388</v>
      </c>
      <c r="E44" s="305" t="s">
        <v>338</v>
      </c>
      <c r="G44" s="592">
        <f>SUM(G41:G43)</f>
        <v>132393</v>
      </c>
      <c r="H44" s="595" t="str">
        <f>CONCATENATE("Total ",E1," Resources Available")</f>
        <v>Total 2012 Resources Available</v>
      </c>
      <c r="I44" s="594"/>
      <c r="J44" s="591"/>
    </row>
    <row r="45" spans="2:10" ht="15.75">
      <c r="B45" s="186" t="str">
        <f>CONCATENATE("",E1-2,"/",E1-1," Budget Authority Amount:")</f>
        <v>2010/2011 Budget Authority Amount:</v>
      </c>
      <c r="C45" s="572">
        <f>inputOth!B50</f>
        <v>111791</v>
      </c>
      <c r="D45" s="148">
        <f>inputPrYr!D18</f>
        <v>132393</v>
      </c>
      <c r="E45" s="305" t="s">
        <v>338</v>
      </c>
      <c r="F45" s="319"/>
      <c r="G45" s="597"/>
      <c r="H45" s="595"/>
      <c r="I45" s="595"/>
      <c r="J45" s="591"/>
    </row>
    <row r="46" spans="2:10" ht="15.75">
      <c r="B46" s="186"/>
      <c r="C46" s="704" t="s">
        <v>406</v>
      </c>
      <c r="D46" s="705"/>
      <c r="E46" s="272"/>
      <c r="F46" s="319">
        <f>IF(E43/0.95-E43&lt;E46,"Exceeds 5%","")</f>
      </c>
      <c r="G46" s="596">
        <f>C43*0.05+C43</f>
        <v>106253.7</v>
      </c>
      <c r="H46" s="595" t="str">
        <f>CONCATENATE("Less ",E1-2," Expenditures + 5%")</f>
        <v>Less 2010 Expenditures + 5%</v>
      </c>
      <c r="I46" s="594"/>
      <c r="J46" s="591"/>
    </row>
    <row r="47" spans="2:10" ht="15.75">
      <c r="B47" s="476" t="str">
        <f>CONCATENATE(C74,"     ",D74)</f>
        <v>     </v>
      </c>
      <c r="C47" s="706" t="s">
        <v>407</v>
      </c>
      <c r="D47" s="707"/>
      <c r="E47" s="277">
        <f>E43+E46</f>
        <v>132393</v>
      </c>
      <c r="G47" s="598">
        <f>G44-G46</f>
        <v>26139.300000000003</v>
      </c>
      <c r="H47" s="599" t="str">
        <f>CONCATENATE("Projected ",E1+1," Carryover (est.)")</f>
        <v>Projected 2013 Carryover (est.)</v>
      </c>
      <c r="I47" s="600"/>
      <c r="J47" s="601"/>
    </row>
    <row r="48" spans="2:5" ht="15.75">
      <c r="B48" s="476" t="str">
        <f>CONCATENATE(C75,"     ",D75)</f>
        <v>     </v>
      </c>
      <c r="C48" s="413"/>
      <c r="D48" s="203" t="s">
        <v>583</v>
      </c>
      <c r="E48" s="317">
        <f>IF(E47-E24&gt;0,E47-E24,0)</f>
        <v>101097</v>
      </c>
    </row>
    <row r="49" spans="2:10" ht="15.75">
      <c r="B49" s="203"/>
      <c r="C49" s="576" t="s">
        <v>408</v>
      </c>
      <c r="D49" s="577">
        <f>inputOth!$E$42</f>
        <v>0</v>
      </c>
      <c r="E49" s="277">
        <f>ROUND(IF(D49&gt;0,(E48*D49),0),0)</f>
        <v>0</v>
      </c>
      <c r="G49" s="602">
        <f>IF(inputOth!E7=0,"",ROUND(E50/inputOth!E7*1000,3))</f>
        <v>27.445</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101097</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585</v>
      </c>
      <c r="C53" s="340">
        <f>E1-2</f>
        <v>2010</v>
      </c>
      <c r="D53" s="130"/>
      <c r="E53" s="130"/>
      <c r="G53" s="609" t="s">
        <v>410</v>
      </c>
      <c r="H53" s="595"/>
      <c r="I53" s="595"/>
      <c r="J53" s="610">
        <v>0</v>
      </c>
    </row>
    <row r="54" spans="2:10" ht="15.75">
      <c r="B54" s="142" t="s">
        <v>586</v>
      </c>
      <c r="C54" s="144" t="s">
        <v>587</v>
      </c>
      <c r="D54" s="130"/>
      <c r="E54" s="130"/>
      <c r="G54" s="607" t="s">
        <v>411</v>
      </c>
      <c r="H54" s="590"/>
      <c r="I54" s="590"/>
      <c r="J54" s="611">
        <f>IF(J53=0,"",ROUND((J53+E50-G47)/inputOth!E7*1000,3)-G49)</f>
      </c>
    </row>
    <row r="55" spans="2:10" ht="15.75">
      <c r="B55" s="174" t="s">
        <v>62</v>
      </c>
      <c r="C55" s="272">
        <v>51230</v>
      </c>
      <c r="D55" s="130"/>
      <c r="E55" s="130"/>
      <c r="G55" s="612" t="str">
        <f>CONCATENATE("",E1," Total Expenditures Must Be:")</f>
        <v>2012 Total Expenditures Must Be:</v>
      </c>
      <c r="H55" s="613"/>
      <c r="I55" s="614"/>
      <c r="J55" s="615">
        <f>IF((J53&gt;0),(E43+J53-G47),0)</f>
        <v>0</v>
      </c>
    </row>
    <row r="56" spans="2:5" ht="15.75">
      <c r="B56" s="174" t="s">
        <v>588</v>
      </c>
      <c r="C56" s="245"/>
      <c r="D56" s="130"/>
      <c r="E56" s="130"/>
    </row>
    <row r="57" spans="2:5" ht="15.75">
      <c r="B57" s="174" t="s">
        <v>589</v>
      </c>
      <c r="C57" s="317">
        <f>IF(C38&gt;0,C38,0)</f>
        <v>27541</v>
      </c>
      <c r="D57" s="341">
        <f>IF(C38&gt;(C24*0.25),"Exceeds 25% of Resources Available","")</f>
      </c>
      <c r="E57" s="130"/>
    </row>
    <row r="58" spans="2:5" ht="15.75">
      <c r="B58" s="174" t="s">
        <v>632</v>
      </c>
      <c r="C58" s="317">
        <f>gen!C43</f>
        <v>0</v>
      </c>
      <c r="D58" s="714">
        <f>IF(AND(C58&gt;0,C59&gt;0),"Not Authtorize Two Transfers - Only One","")</f>
      </c>
      <c r="E58" s="130"/>
    </row>
    <row r="59" spans="2:5" ht="15.75">
      <c r="B59" s="342" t="s">
        <v>633</v>
      </c>
      <c r="C59" s="566">
        <f>gen!C45</f>
        <v>6289</v>
      </c>
      <c r="D59" s="715"/>
      <c r="E59" s="130"/>
    </row>
    <row r="60" spans="2:5" ht="15.75">
      <c r="B60" s="343"/>
      <c r="C60" s="272"/>
      <c r="D60" s="130"/>
      <c r="E60" s="130"/>
    </row>
    <row r="61" spans="2:5" ht="15.75">
      <c r="B61" s="343" t="s">
        <v>577</v>
      </c>
      <c r="C61" s="272"/>
      <c r="D61" s="130"/>
      <c r="E61" s="130"/>
    </row>
    <row r="62" spans="2:5" ht="15.75">
      <c r="B62" s="343" t="s">
        <v>69</v>
      </c>
      <c r="C62" s="272"/>
      <c r="D62" s="130"/>
      <c r="E62" s="130"/>
    </row>
    <row r="63" spans="2:5" ht="15.75">
      <c r="B63" s="344" t="s">
        <v>579</v>
      </c>
      <c r="C63" s="566">
        <f>SUM(C55:C62)</f>
        <v>85060</v>
      </c>
      <c r="D63" s="130"/>
      <c r="E63" s="130"/>
    </row>
    <row r="64" spans="2:5" ht="15.75">
      <c r="B64" s="344" t="s">
        <v>581</v>
      </c>
      <c r="C64" s="272">
        <v>30000</v>
      </c>
      <c r="D64" s="130"/>
      <c r="E64" s="130"/>
    </row>
    <row r="65" spans="2:5" ht="15.75">
      <c r="B65" s="344" t="s">
        <v>582</v>
      </c>
      <c r="C65" s="567">
        <f>C63-C64</f>
        <v>55060</v>
      </c>
      <c r="D65" s="130"/>
      <c r="E65" s="130"/>
    </row>
    <row r="66" spans="2:5" ht="15.75">
      <c r="B66" s="130"/>
      <c r="C66" s="130"/>
      <c r="D66" s="130"/>
      <c r="E66" s="130"/>
    </row>
    <row r="67" spans="2:5" ht="15.75">
      <c r="B67" s="203" t="s">
        <v>57</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0">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Bloomington Township</v>
      </c>
      <c r="C1" s="137" t="s">
        <v>590</v>
      </c>
      <c r="D1" s="130"/>
      <c r="E1" s="202">
        <f>inputPrYr!D5</f>
        <v>2012</v>
      </c>
    </row>
    <row r="2" spans="2:5" ht="15.75">
      <c r="B2" s="194"/>
      <c r="C2" s="130"/>
      <c r="D2" s="130"/>
      <c r="E2" s="346"/>
    </row>
    <row r="3" spans="2:5" ht="15.75">
      <c r="B3" s="578" t="s">
        <v>409</v>
      </c>
      <c r="C3" s="135"/>
      <c r="D3" s="135"/>
      <c r="E3" s="130"/>
    </row>
    <row r="4" spans="2:5" ht="15.75">
      <c r="B4" s="137" t="s">
        <v>58</v>
      </c>
      <c r="C4" s="340" t="s">
        <v>59</v>
      </c>
      <c r="D4" s="465" t="s">
        <v>60</v>
      </c>
      <c r="E4" s="139" t="s">
        <v>61</v>
      </c>
    </row>
    <row r="5" spans="2:5" ht="15.75">
      <c r="B5" s="569">
        <f>inputPrYr!B19</f>
        <v>0</v>
      </c>
      <c r="C5" s="144" t="str">
        <f>gen!C5</f>
        <v>Actual 2010</v>
      </c>
      <c r="D5" s="464" t="str">
        <f>gen!D5</f>
        <v>Estimate 2011</v>
      </c>
      <c r="E5" s="144" t="str">
        <f>gen!E5</f>
        <v>Year 2012</v>
      </c>
    </row>
    <row r="6" spans="2:5" ht="15.75">
      <c r="B6" s="174" t="s">
        <v>144</v>
      </c>
      <c r="C6" s="302"/>
      <c r="D6" s="461">
        <f>C32</f>
        <v>0</v>
      </c>
      <c r="E6" s="277">
        <f>D32</f>
        <v>0</v>
      </c>
    </row>
    <row r="7" spans="2:5" ht="15.75">
      <c r="B7" s="145" t="s">
        <v>146</v>
      </c>
      <c r="C7" s="461"/>
      <c r="D7" s="461"/>
      <c r="E7" s="305"/>
    </row>
    <row r="8" spans="2:5" ht="15.75">
      <c r="B8" s="145" t="s">
        <v>64</v>
      </c>
      <c r="C8" s="302"/>
      <c r="D8" s="461">
        <f>inputPrYr!E19</f>
        <v>0</v>
      </c>
      <c r="E8" s="305" t="s">
        <v>338</v>
      </c>
    </row>
    <row r="9" spans="2:5" ht="15.75">
      <c r="B9" s="145" t="s">
        <v>65</v>
      </c>
      <c r="C9" s="302"/>
      <c r="D9" s="302"/>
      <c r="E9" s="272"/>
    </row>
    <row r="10" spans="2:5" ht="15.75">
      <c r="B10" s="145" t="s">
        <v>66</v>
      </c>
      <c r="C10" s="302"/>
      <c r="D10" s="302"/>
      <c r="E10" s="277">
        <f>mvalloc!G14</f>
        <v>0</v>
      </c>
    </row>
    <row r="11" spans="2:5" ht="15.75">
      <c r="B11" s="145" t="s">
        <v>67</v>
      </c>
      <c r="C11" s="302"/>
      <c r="D11" s="302"/>
      <c r="E11" s="277">
        <f>mvalloc!I14</f>
        <v>0</v>
      </c>
    </row>
    <row r="12" spans="2:5" ht="15.75">
      <c r="B12" s="306" t="s">
        <v>94</v>
      </c>
      <c r="C12" s="302"/>
      <c r="D12" s="302"/>
      <c r="E12" s="277">
        <f>mvalloc!J14</f>
        <v>0</v>
      </c>
    </row>
    <row r="13" spans="2:5" ht="15.75">
      <c r="B13" s="306" t="s">
        <v>189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577</v>
      </c>
      <c r="C17" s="302"/>
      <c r="D17" s="302"/>
      <c r="E17" s="272"/>
    </row>
    <row r="18" spans="2:5" ht="15.75">
      <c r="B18" s="310" t="s">
        <v>222</v>
      </c>
      <c r="C18" s="302"/>
      <c r="D18" s="302"/>
      <c r="E18" s="272"/>
    </row>
    <row r="19" spans="2:5" ht="15.75">
      <c r="B19" s="310" t="s">
        <v>223</v>
      </c>
      <c r="C19" s="460">
        <f>IF(C20*0.1&lt;C18,"Exceed 10% Rule","")</f>
      </c>
      <c r="D19" s="460">
        <f>IF(D20*0.1&lt;D18,"Exceed 10% Rule","")</f>
      </c>
      <c r="E19" s="316">
        <f>IF(E20*0.1+E38&lt;E18,"Exceed 10% Rule","")</f>
      </c>
    </row>
    <row r="20" spans="2:5" ht="15.75">
      <c r="B20" s="312" t="s">
        <v>578</v>
      </c>
      <c r="C20" s="462">
        <f>SUM(C8:C18)</f>
        <v>0</v>
      </c>
      <c r="D20" s="462">
        <f>SUM(D8:D18)</f>
        <v>0</v>
      </c>
      <c r="E20" s="313">
        <f>SUM(E8:E18)</f>
        <v>0</v>
      </c>
    </row>
    <row r="21" spans="2:5" ht="15.75">
      <c r="B21" s="314" t="s">
        <v>579</v>
      </c>
      <c r="C21" s="462">
        <f>C20+C6</f>
        <v>0</v>
      </c>
      <c r="D21" s="462">
        <f>D20+D6</f>
        <v>0</v>
      </c>
      <c r="E21" s="313">
        <f>E20+E6</f>
        <v>0</v>
      </c>
    </row>
    <row r="22" spans="2:5" ht="15.75">
      <c r="B22" s="145" t="s">
        <v>580</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655</v>
      </c>
      <c r="C28" s="302"/>
      <c r="D28" s="302"/>
      <c r="E28" s="317">
        <f>nhood!E9</f>
      </c>
    </row>
    <row r="29" spans="2:5" ht="15.75">
      <c r="B29" s="306" t="s">
        <v>222</v>
      </c>
      <c r="C29" s="302"/>
      <c r="D29" s="302"/>
      <c r="E29" s="272"/>
    </row>
    <row r="30" spans="2:5" ht="15.75">
      <c r="B30" s="306" t="s">
        <v>404</v>
      </c>
      <c r="C30" s="460">
        <f>IF(C31*0.1&lt;C29,"Exceed 10% Rule","")</f>
      </c>
      <c r="D30" s="460">
        <f>IF(D31*0.1&lt;D29,"Exceed 10% Rule","")</f>
      </c>
      <c r="E30" s="316">
        <f>IF(E31*0.1&lt;E29,"Exceed 10% Rule","")</f>
      </c>
    </row>
    <row r="31" spans="2:5" ht="15.75">
      <c r="B31" s="314" t="s">
        <v>581</v>
      </c>
      <c r="C31" s="462">
        <f>SUM(C23:C29)</f>
        <v>0</v>
      </c>
      <c r="D31" s="462">
        <f>SUM(D23:D29)</f>
        <v>0</v>
      </c>
      <c r="E31" s="313">
        <f>SUM(E23:E29)</f>
        <v>0</v>
      </c>
    </row>
    <row r="32" spans="2:5" ht="15.75">
      <c r="B32" s="145" t="s">
        <v>145</v>
      </c>
      <c r="C32" s="468">
        <f>C21-C31</f>
        <v>0</v>
      </c>
      <c r="D32" s="468">
        <f>D21-D31</f>
        <v>0</v>
      </c>
      <c r="E32" s="305" t="s">
        <v>338</v>
      </c>
    </row>
    <row r="33" spans="2:6" ht="15.75">
      <c r="B33" s="186" t="str">
        <f>CONCATENATE("",E1-2,"/",E1-1," Budget Authority Amount:")</f>
        <v>2010/2011 Budget Authority Amount:</v>
      </c>
      <c r="C33" s="572">
        <f>inputOth!B51</f>
        <v>0</v>
      </c>
      <c r="D33" s="133">
        <f>inputPrYr!D19</f>
        <v>0</v>
      </c>
      <c r="E33" s="305" t="s">
        <v>338</v>
      </c>
      <c r="F33" s="319"/>
    </row>
    <row r="34" spans="2:6" ht="15.75">
      <c r="B34" s="186"/>
      <c r="C34" s="704" t="s">
        <v>406</v>
      </c>
      <c r="D34" s="705"/>
      <c r="E34" s="272"/>
      <c r="F34" s="319">
        <f>IF(E31/0.95-E31&lt;E34,"Exceeds 5%","")</f>
      </c>
    </row>
    <row r="35" spans="2:5" ht="15.75">
      <c r="B35" s="476" t="str">
        <f>CONCATENATE(C88,"     ",D88)</f>
        <v>     </v>
      </c>
      <c r="C35" s="706" t="s">
        <v>407</v>
      </c>
      <c r="D35" s="707"/>
      <c r="E35" s="277">
        <f>E31+E34</f>
        <v>0</v>
      </c>
    </row>
    <row r="36" spans="2:5" ht="15.75">
      <c r="B36" s="476" t="str">
        <f>CONCATENATE(C89,"     ",D89)</f>
        <v>     </v>
      </c>
      <c r="C36" s="413"/>
      <c r="D36" s="203" t="s">
        <v>583</v>
      </c>
      <c r="E36" s="317">
        <f>IF(E35-E21&gt;0,E35-E21,0)</f>
        <v>0</v>
      </c>
    </row>
    <row r="37" spans="2:5" ht="15.75">
      <c r="B37" s="203"/>
      <c r="C37" s="576" t="s">
        <v>408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v>
      </c>
      <c r="C39" s="135"/>
      <c r="D39" s="135"/>
      <c r="E39" s="135"/>
    </row>
    <row r="40" spans="2:5" ht="15.75">
      <c r="B40" s="130"/>
      <c r="C40" s="463" t="s">
        <v>59</v>
      </c>
      <c r="D40" s="465" t="s">
        <v>60</v>
      </c>
      <c r="E40" s="139" t="s">
        <v>61</v>
      </c>
    </row>
    <row r="41" spans="2:5" ht="15.75">
      <c r="B41" s="570">
        <f>inputPrYr!B20</f>
        <v>0</v>
      </c>
      <c r="C41" s="464" t="str">
        <f>C5</f>
        <v>Actual 2010</v>
      </c>
      <c r="D41" s="464" t="str">
        <f>D5</f>
        <v>Estimate 2011</v>
      </c>
      <c r="E41" s="144" t="str">
        <f>E5</f>
        <v>Year 2012</v>
      </c>
    </row>
    <row r="42" spans="2:5" ht="15.75">
      <c r="B42" s="145" t="s">
        <v>144</v>
      </c>
      <c r="C42" s="302"/>
      <c r="D42" s="461">
        <f>C68</f>
        <v>0</v>
      </c>
      <c r="E42" s="277">
        <f>D68</f>
        <v>0</v>
      </c>
    </row>
    <row r="43" spans="2:5" ht="15.75">
      <c r="B43" s="145" t="s">
        <v>146</v>
      </c>
      <c r="C43" s="461"/>
      <c r="D43" s="461"/>
      <c r="E43" s="305"/>
    </row>
    <row r="44" spans="2:5" ht="15.75">
      <c r="B44" s="145" t="s">
        <v>64</v>
      </c>
      <c r="C44" s="302"/>
      <c r="D44" s="461">
        <f>inputPrYr!E20</f>
        <v>0</v>
      </c>
      <c r="E44" s="305" t="s">
        <v>338</v>
      </c>
    </row>
    <row r="45" spans="2:5" ht="15.75">
      <c r="B45" s="145" t="s">
        <v>65</v>
      </c>
      <c r="C45" s="302"/>
      <c r="D45" s="302"/>
      <c r="E45" s="272"/>
    </row>
    <row r="46" spans="2:5" ht="15.75">
      <c r="B46" s="145" t="s">
        <v>66</v>
      </c>
      <c r="C46" s="302"/>
      <c r="D46" s="302"/>
      <c r="E46" s="277">
        <f>mvalloc!G15</f>
        <v>0</v>
      </c>
    </row>
    <row r="47" spans="2:5" ht="15.75">
      <c r="B47" s="145" t="s">
        <v>67</v>
      </c>
      <c r="C47" s="302"/>
      <c r="D47" s="302"/>
      <c r="E47" s="277">
        <f>mvalloc!I15</f>
        <v>0</v>
      </c>
    </row>
    <row r="48" spans="2:5" ht="15.75">
      <c r="B48" s="145" t="s">
        <v>125</v>
      </c>
      <c r="C48" s="302"/>
      <c r="D48" s="302"/>
      <c r="E48" s="277">
        <f>mvalloc!J15</f>
        <v>0</v>
      </c>
    </row>
    <row r="49" spans="2:5" ht="15.75">
      <c r="B49" s="145" t="s">
        <v>189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577</v>
      </c>
      <c r="C53" s="302"/>
      <c r="D53" s="302"/>
      <c r="E53" s="272"/>
    </row>
    <row r="54" spans="2:5" ht="15.75">
      <c r="B54" s="310" t="s">
        <v>222</v>
      </c>
      <c r="C54" s="302"/>
      <c r="D54" s="302"/>
      <c r="E54" s="272"/>
    </row>
    <row r="55" spans="2:5" ht="15.75">
      <c r="B55" s="310" t="s">
        <v>223</v>
      </c>
      <c r="C55" s="460">
        <f>IF(C56*0.1&lt;C54,"Exceed 10% Rule","")</f>
      </c>
      <c r="D55" s="460">
        <f>IF(D56*0.1&lt;D54,"Exceed 10% Rule","")</f>
      </c>
      <c r="E55" s="316">
        <f>IF(E56*0.1+E74&lt;E54,"Exceed 10% Rule","")</f>
      </c>
    </row>
    <row r="56" spans="2:5" ht="15.75">
      <c r="B56" s="312" t="s">
        <v>578</v>
      </c>
      <c r="C56" s="462">
        <f>SUM(C44:C54)</f>
        <v>0</v>
      </c>
      <c r="D56" s="462">
        <f>SUM(D44:D54)</f>
        <v>0</v>
      </c>
      <c r="E56" s="313">
        <f>SUM(E44:E54)</f>
        <v>0</v>
      </c>
    </row>
    <row r="57" spans="2:5" ht="15.75">
      <c r="B57" s="314" t="s">
        <v>579</v>
      </c>
      <c r="C57" s="462">
        <f>C56+C42</f>
        <v>0</v>
      </c>
      <c r="D57" s="462">
        <f>D56+D42</f>
        <v>0</v>
      </c>
      <c r="E57" s="313">
        <f>E56+E42</f>
        <v>0</v>
      </c>
    </row>
    <row r="58" spans="2:5" ht="15.75">
      <c r="B58" s="145" t="s">
        <v>580</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655</v>
      </c>
      <c r="C64" s="302"/>
      <c r="D64" s="302"/>
      <c r="E64" s="317">
        <f>nhood!E10</f>
      </c>
    </row>
    <row r="65" spans="2:5" ht="15.75">
      <c r="B65" s="306" t="s">
        <v>222</v>
      </c>
      <c r="C65" s="302"/>
      <c r="D65" s="302"/>
      <c r="E65" s="272"/>
    </row>
    <row r="66" spans="2:5" ht="15.75">
      <c r="B66" s="306" t="s">
        <v>404</v>
      </c>
      <c r="C66" s="460">
        <f>IF(C67*0.1&lt;C65,"Exceed 10% Rule","")</f>
      </c>
      <c r="D66" s="460">
        <f>IF(D67*0.1&lt;D65,"Exceed 10% Rule","")</f>
      </c>
      <c r="E66" s="316">
        <f>IF(E67*0.1&lt;E65,"Exceed 10% Rule","")</f>
      </c>
    </row>
    <row r="67" spans="2:5" ht="15.75">
      <c r="B67" s="314" t="s">
        <v>581</v>
      </c>
      <c r="C67" s="462">
        <f>SUM(C59:C65)</f>
        <v>0</v>
      </c>
      <c r="D67" s="462">
        <f>SUM(D59:D65)</f>
        <v>0</v>
      </c>
      <c r="E67" s="313">
        <f>SUM(E59:E65)</f>
        <v>0</v>
      </c>
    </row>
    <row r="68" spans="2:5" ht="15.75">
      <c r="B68" s="145" t="s">
        <v>145</v>
      </c>
      <c r="C68" s="468">
        <f>C57-C67</f>
        <v>0</v>
      </c>
      <c r="D68" s="468">
        <f>D57-D67</f>
        <v>0</v>
      </c>
      <c r="E68" s="305" t="s">
        <v>338</v>
      </c>
    </row>
    <row r="69" spans="2:6" ht="15.75">
      <c r="B69" s="186" t="str">
        <f>CONCATENATE("",E1-2,"/",E1-1," Budget Authority Amount:")</f>
        <v>2010/2011 Budget Authority Amount:</v>
      </c>
      <c r="C69" s="572">
        <f>inputOth!B52</f>
        <v>0</v>
      </c>
      <c r="D69" s="133">
        <f>inputPrYr!D20</f>
        <v>0</v>
      </c>
      <c r="E69" s="305" t="s">
        <v>338</v>
      </c>
      <c r="F69" s="319"/>
    </row>
    <row r="70" spans="2:6" ht="15.75">
      <c r="B70" s="186"/>
      <c r="C70" s="704" t="s">
        <v>406</v>
      </c>
      <c r="D70" s="705"/>
      <c r="E70" s="272"/>
      <c r="F70" s="319">
        <f>IF(E67/0.95-E67&lt;E70,"Exceeds 5%","")</f>
      </c>
    </row>
    <row r="71" spans="2:5" ht="15.75">
      <c r="B71" s="476" t="str">
        <f>CONCATENATE(C90,"     ",D90)</f>
        <v>     </v>
      </c>
      <c r="C71" s="706" t="s">
        <v>407</v>
      </c>
      <c r="D71" s="707"/>
      <c r="E71" s="277">
        <f>E67+E70</f>
        <v>0</v>
      </c>
    </row>
    <row r="72" spans="2:5" ht="15.75">
      <c r="B72" s="476" t="str">
        <f>CONCATENATE(C91,"      ",D91)</f>
        <v>      </v>
      </c>
      <c r="C72" s="413"/>
      <c r="D72" s="203" t="s">
        <v>583</v>
      </c>
      <c r="E72" s="317">
        <f>IF(E71-E57&gt;0,E71-E57,0)</f>
        <v>0</v>
      </c>
    </row>
    <row r="73" spans="2:5" ht="15.75">
      <c r="B73" s="203"/>
      <c r="C73" s="576" t="s">
        <v>408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57</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7">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Bloomington Township</v>
      </c>
      <c r="C1" s="130"/>
      <c r="D1" s="130"/>
      <c r="E1" s="202">
        <f>inputPrYr!D5</f>
        <v>2012</v>
      </c>
    </row>
    <row r="2" spans="2:5" ht="15.75">
      <c r="B2" s="194"/>
      <c r="C2" s="130"/>
      <c r="D2" s="224"/>
      <c r="E2" s="347"/>
    </row>
    <row r="3" spans="2:5" ht="15.75">
      <c r="B3" s="578" t="s">
        <v>409</v>
      </c>
      <c r="C3" s="135"/>
      <c r="D3" s="135"/>
      <c r="E3" s="135"/>
    </row>
    <row r="4" spans="2:5" ht="15.75">
      <c r="B4" s="137" t="s">
        <v>58</v>
      </c>
      <c r="C4" s="463" t="s">
        <v>59</v>
      </c>
      <c r="D4" s="465" t="s">
        <v>60</v>
      </c>
      <c r="E4" s="139" t="s">
        <v>61</v>
      </c>
    </row>
    <row r="5" spans="2:5" ht="15.75">
      <c r="B5" s="569">
        <f>inputPrYr!B21</f>
        <v>0</v>
      </c>
      <c r="C5" s="464" t="str">
        <f>gen!C5</f>
        <v>Actual 2010</v>
      </c>
      <c r="D5" s="464" t="str">
        <f>gen!D5</f>
        <v>Estimate 2011</v>
      </c>
      <c r="E5" s="144" t="str">
        <f>gen!E5</f>
        <v>Year 2012</v>
      </c>
    </row>
    <row r="6" spans="2:5" ht="15.75">
      <c r="B6" s="145" t="s">
        <v>144</v>
      </c>
      <c r="C6" s="302"/>
      <c r="D6" s="461">
        <f>C32</f>
        <v>0</v>
      </c>
      <c r="E6" s="277">
        <f>D32</f>
        <v>0</v>
      </c>
    </row>
    <row r="7" spans="2:5" ht="15.75">
      <c r="B7" s="145" t="s">
        <v>146</v>
      </c>
      <c r="C7" s="461"/>
      <c r="D7" s="461"/>
      <c r="E7" s="305"/>
    </row>
    <row r="8" spans="2:5" ht="15.75">
      <c r="B8" s="145" t="s">
        <v>64</v>
      </c>
      <c r="C8" s="302"/>
      <c r="D8" s="461">
        <f>inputPrYr!E21</f>
        <v>0</v>
      </c>
      <c r="E8" s="305" t="s">
        <v>338</v>
      </c>
    </row>
    <row r="9" spans="2:5" ht="15.75">
      <c r="B9" s="145" t="s">
        <v>65</v>
      </c>
      <c r="C9" s="302"/>
      <c r="D9" s="302"/>
      <c r="E9" s="272"/>
    </row>
    <row r="10" spans="2:5" ht="15.75">
      <c r="B10" s="145" t="s">
        <v>66</v>
      </c>
      <c r="C10" s="302"/>
      <c r="D10" s="302"/>
      <c r="E10" s="277">
        <f>mvalloc!G16</f>
        <v>0</v>
      </c>
    </row>
    <row r="11" spans="2:5" ht="15.75">
      <c r="B11" s="145" t="s">
        <v>67</v>
      </c>
      <c r="C11" s="302"/>
      <c r="D11" s="302"/>
      <c r="E11" s="277">
        <f>mvalloc!I16</f>
        <v>0</v>
      </c>
    </row>
    <row r="12" spans="2:5" ht="15.75">
      <c r="B12" s="145" t="s">
        <v>125</v>
      </c>
      <c r="C12" s="302"/>
      <c r="D12" s="302"/>
      <c r="E12" s="277">
        <f>mvalloc!J16</f>
        <v>0</v>
      </c>
    </row>
    <row r="13" spans="2:5" ht="15.75">
      <c r="B13" s="145" t="s">
        <v>189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577</v>
      </c>
      <c r="C17" s="302"/>
      <c r="D17" s="302"/>
      <c r="E17" s="272"/>
    </row>
    <row r="18" spans="2:5" ht="15.75">
      <c r="B18" s="310" t="s">
        <v>222</v>
      </c>
      <c r="C18" s="302"/>
      <c r="D18" s="302"/>
      <c r="E18" s="272"/>
    </row>
    <row r="19" spans="2:5" ht="15.75">
      <c r="B19" s="310" t="s">
        <v>223</v>
      </c>
      <c r="C19" s="460">
        <f>IF(C20*0.1&lt;C18,"Exceed 10% Rule","")</f>
      </c>
      <c r="D19" s="460">
        <f>IF(D20*0.1&lt;D18,"Exceed 10% Rule","")</f>
      </c>
      <c r="E19" s="316">
        <f>IF(E20*0.1+E38&lt;E18,"Exceed 10% Rule","")</f>
      </c>
    </row>
    <row r="20" spans="2:5" ht="15.75">
      <c r="B20" s="312" t="s">
        <v>578</v>
      </c>
      <c r="C20" s="462">
        <f>SUM(C8:C18)</f>
        <v>0</v>
      </c>
      <c r="D20" s="462">
        <f>SUM(D8:D18)</f>
        <v>0</v>
      </c>
      <c r="E20" s="313">
        <f>SUM(E8:E18)</f>
        <v>0</v>
      </c>
    </row>
    <row r="21" spans="2:5" ht="15.75">
      <c r="B21" s="314" t="s">
        <v>579</v>
      </c>
      <c r="C21" s="462">
        <f>C20+C6</f>
        <v>0</v>
      </c>
      <c r="D21" s="462">
        <f>D20+D6</f>
        <v>0</v>
      </c>
      <c r="E21" s="313">
        <f>E20+E6</f>
        <v>0</v>
      </c>
    </row>
    <row r="22" spans="2:5" ht="15.75">
      <c r="B22" s="145" t="s">
        <v>580</v>
      </c>
      <c r="C22" s="461"/>
      <c r="D22" s="461"/>
      <c r="E22" s="277"/>
    </row>
    <row r="23" spans="2:5" ht="15.75">
      <c r="B23" s="309" t="s">
        <v>152</v>
      </c>
      <c r="C23" s="302"/>
      <c r="D23" s="302"/>
      <c r="E23" s="272"/>
    </row>
    <row r="24" spans="2:5" ht="15.75">
      <c r="B24" s="309" t="s">
        <v>128</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655</v>
      </c>
      <c r="C28" s="302"/>
      <c r="D28" s="302"/>
      <c r="E28" s="317">
        <f>nhood!E11</f>
      </c>
    </row>
    <row r="29" spans="2:5" ht="15.75">
      <c r="B29" s="306" t="s">
        <v>222</v>
      </c>
      <c r="C29" s="302"/>
      <c r="D29" s="302"/>
      <c r="E29" s="272"/>
    </row>
    <row r="30" spans="2:5" ht="15.75">
      <c r="B30" s="306" t="s">
        <v>654</v>
      </c>
      <c r="C30" s="460">
        <f>IF(C31*0.1&lt;C29,"Exceed 10% Rule","")</f>
      </c>
      <c r="D30" s="460">
        <f>IF(D31*0.1&lt;D29,"Exceed 10% Rule","")</f>
      </c>
      <c r="E30" s="316">
        <f>IF(E31*0.1&lt;E29,"Exceed 10% Rule","")</f>
      </c>
    </row>
    <row r="31" spans="2:5" ht="15.75">
      <c r="B31" s="314" t="s">
        <v>581</v>
      </c>
      <c r="C31" s="462">
        <f>SUM(C23:C29)</f>
        <v>0</v>
      </c>
      <c r="D31" s="462">
        <f>SUM(D23:D29)</f>
        <v>0</v>
      </c>
      <c r="E31" s="313">
        <f>SUM(E23:E29)</f>
        <v>0</v>
      </c>
    </row>
    <row r="32" spans="2:5" ht="15.75">
      <c r="B32" s="145" t="s">
        <v>145</v>
      </c>
      <c r="C32" s="468">
        <f>C21-C31</f>
        <v>0</v>
      </c>
      <c r="D32" s="468">
        <f>D21-D31</f>
        <v>0</v>
      </c>
      <c r="E32" s="305" t="s">
        <v>338</v>
      </c>
    </row>
    <row r="33" spans="2:6" ht="15.75">
      <c r="B33" s="186" t="str">
        <f>CONCATENATE("",E1-2,"/",E1-1," Budget Authority Amount:")</f>
        <v>2010/2011 Budget Authority Amount:</v>
      </c>
      <c r="C33" s="572">
        <f>inputOth!B53</f>
        <v>0</v>
      </c>
      <c r="D33" s="133">
        <f>inputPrYr!D21</f>
        <v>0</v>
      </c>
      <c r="E33" s="305" t="s">
        <v>338</v>
      </c>
      <c r="F33" s="319"/>
    </row>
    <row r="34" spans="2:6" ht="15.75">
      <c r="B34" s="186"/>
      <c r="C34" s="704" t="s">
        <v>406</v>
      </c>
      <c r="D34" s="705"/>
      <c r="E34" s="272"/>
      <c r="F34" s="319">
        <f>IF(E31/0.95-E31&lt;E34,"Exceeds 5%","")</f>
      </c>
    </row>
    <row r="35" spans="2:5" ht="15.75">
      <c r="B35" s="476" t="str">
        <f>CONCATENATE(C88,"     ",D88)</f>
        <v>     </v>
      </c>
      <c r="C35" s="706" t="s">
        <v>407</v>
      </c>
      <c r="D35" s="707"/>
      <c r="E35" s="277">
        <f>E31+E34</f>
        <v>0</v>
      </c>
    </row>
    <row r="36" spans="2:5" ht="15.75">
      <c r="B36" s="476" t="str">
        <f>CONCATENATE(C89,"     ",D89)</f>
        <v>     </v>
      </c>
      <c r="C36" s="413"/>
      <c r="D36" s="203" t="s">
        <v>583</v>
      </c>
      <c r="E36" s="317">
        <f>IF(E35-E21&gt;0,E35-E21,0)</f>
        <v>0</v>
      </c>
    </row>
    <row r="37" spans="2:5" ht="15.75">
      <c r="B37" s="203"/>
      <c r="C37" s="576" t="s">
        <v>408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v>
      </c>
      <c r="C39" s="135"/>
      <c r="D39" s="135"/>
      <c r="E39" s="135"/>
    </row>
    <row r="40" spans="2:5" ht="15.75">
      <c r="B40" s="130"/>
      <c r="C40" s="463" t="s">
        <v>59</v>
      </c>
      <c r="D40" s="465" t="s">
        <v>60</v>
      </c>
      <c r="E40" s="139" t="s">
        <v>61</v>
      </c>
    </row>
    <row r="41" spans="2:5" ht="15.75">
      <c r="B41" s="570">
        <f>inputPrYr!B22</f>
        <v>0</v>
      </c>
      <c r="C41" s="464" t="str">
        <f>C5</f>
        <v>Actual 2010</v>
      </c>
      <c r="D41" s="464" t="str">
        <f>D5</f>
        <v>Estimate 2011</v>
      </c>
      <c r="E41" s="144" t="str">
        <f>E5</f>
        <v>Year 2012</v>
      </c>
    </row>
    <row r="42" spans="2:5" ht="15.75">
      <c r="B42" s="145" t="s">
        <v>144</v>
      </c>
      <c r="C42" s="302"/>
      <c r="D42" s="461">
        <f>C68</f>
        <v>0</v>
      </c>
      <c r="E42" s="277">
        <f>D68</f>
        <v>0</v>
      </c>
    </row>
    <row r="43" spans="2:5" ht="15.75">
      <c r="B43" s="145" t="s">
        <v>146</v>
      </c>
      <c r="C43" s="461"/>
      <c r="D43" s="461"/>
      <c r="E43" s="305"/>
    </row>
    <row r="44" spans="2:5" ht="15.75">
      <c r="B44" s="145" t="s">
        <v>64</v>
      </c>
      <c r="C44" s="302"/>
      <c r="D44" s="461">
        <f>inputPrYr!E22</f>
        <v>0</v>
      </c>
      <c r="E44" s="305" t="s">
        <v>338</v>
      </c>
    </row>
    <row r="45" spans="2:5" ht="15.75">
      <c r="B45" s="145" t="s">
        <v>65</v>
      </c>
      <c r="C45" s="302"/>
      <c r="D45" s="302"/>
      <c r="E45" s="272"/>
    </row>
    <row r="46" spans="2:5" ht="15.75">
      <c r="B46" s="145" t="s">
        <v>66</v>
      </c>
      <c r="C46" s="302"/>
      <c r="D46" s="302"/>
      <c r="E46" s="277">
        <f>mvalloc!G17</f>
        <v>0</v>
      </c>
    </row>
    <row r="47" spans="2:5" ht="15.75">
      <c r="B47" s="145" t="s">
        <v>67</v>
      </c>
      <c r="C47" s="302"/>
      <c r="D47" s="302"/>
      <c r="E47" s="277">
        <f>mvalloc!I17</f>
        <v>0</v>
      </c>
    </row>
    <row r="48" spans="2:5" ht="15.75">
      <c r="B48" s="145" t="s">
        <v>125</v>
      </c>
      <c r="C48" s="302"/>
      <c r="D48" s="302"/>
      <c r="E48" s="277">
        <f>mvalloc!J17</f>
        <v>0</v>
      </c>
    </row>
    <row r="49" spans="2:5" ht="15.75">
      <c r="B49" s="145" t="s">
        <v>189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577</v>
      </c>
      <c r="C53" s="302"/>
      <c r="D53" s="302"/>
      <c r="E53" s="272"/>
    </row>
    <row r="54" spans="2:5" ht="15.75">
      <c r="B54" s="310" t="s">
        <v>222</v>
      </c>
      <c r="C54" s="302"/>
      <c r="D54" s="302"/>
      <c r="E54" s="272"/>
    </row>
    <row r="55" spans="2:5" ht="15.75">
      <c r="B55" s="310" t="s">
        <v>223</v>
      </c>
      <c r="C55" s="460">
        <f>IF(C56*0.1&lt;C54,"Exceed 10% Rule","")</f>
      </c>
      <c r="D55" s="460">
        <f>IF(D56*0.1&lt;D54,"Exceed 10% Rule","")</f>
      </c>
      <c r="E55" s="316">
        <f>IF(E56*0.1+E74&lt;E54,"Exceed 10% Rule","")</f>
      </c>
    </row>
    <row r="56" spans="2:5" ht="15.75">
      <c r="B56" s="312" t="s">
        <v>578</v>
      </c>
      <c r="C56" s="462">
        <f>SUM(C44:C54)</f>
        <v>0</v>
      </c>
      <c r="D56" s="462">
        <f>SUM(D44:D54)</f>
        <v>0</v>
      </c>
      <c r="E56" s="313">
        <f>SUM(E44:E54)</f>
        <v>0</v>
      </c>
    </row>
    <row r="57" spans="2:5" ht="15.75">
      <c r="B57" s="314" t="s">
        <v>579</v>
      </c>
      <c r="C57" s="462">
        <f>C56+C42</f>
        <v>0</v>
      </c>
      <c r="D57" s="462">
        <f>D56+D42</f>
        <v>0</v>
      </c>
      <c r="E57" s="313">
        <f>E56+E42</f>
        <v>0</v>
      </c>
    </row>
    <row r="58" spans="2:5" ht="15.75">
      <c r="B58" s="145" t="s">
        <v>580</v>
      </c>
      <c r="C58" s="461"/>
      <c r="D58" s="461"/>
      <c r="E58" s="277"/>
    </row>
    <row r="59" spans="2:5" ht="15.75">
      <c r="B59" s="309" t="s">
        <v>152</v>
      </c>
      <c r="C59" s="302"/>
      <c r="D59" s="302"/>
      <c r="E59" s="272"/>
    </row>
    <row r="60" spans="2:5" ht="15.75">
      <c r="B60" s="309" t="s">
        <v>128</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655</v>
      </c>
      <c r="C64" s="302"/>
      <c r="D64" s="302"/>
      <c r="E64" s="317">
        <f>nhood!E12</f>
      </c>
    </row>
    <row r="65" spans="2:5" ht="15.75">
      <c r="B65" s="306" t="s">
        <v>222</v>
      </c>
      <c r="C65" s="302"/>
      <c r="D65" s="302"/>
      <c r="E65" s="272"/>
    </row>
    <row r="66" spans="2:5" ht="15.75">
      <c r="B66" s="306" t="s">
        <v>654</v>
      </c>
      <c r="C66" s="460">
        <f>IF(C67*0.1&lt;C65,"Exceed 10% Rule","")</f>
      </c>
      <c r="D66" s="460">
        <f>IF(D67*0.1&lt;D65,"Exceed 10% Rule","")</f>
      </c>
      <c r="E66" s="316">
        <f>IF(E67*0.1&lt;E65,"Exceed 10% Rule","")</f>
      </c>
    </row>
    <row r="67" spans="2:5" ht="15.75">
      <c r="B67" s="314" t="s">
        <v>581</v>
      </c>
      <c r="C67" s="462">
        <f>SUM(C59:C65)</f>
        <v>0</v>
      </c>
      <c r="D67" s="462">
        <f>SUM(D59:D65)</f>
        <v>0</v>
      </c>
      <c r="E67" s="313">
        <f>SUM(E59:E65)</f>
        <v>0</v>
      </c>
    </row>
    <row r="68" spans="2:5" ht="15.75">
      <c r="B68" s="145" t="s">
        <v>145</v>
      </c>
      <c r="C68" s="468">
        <f>C57-C67</f>
        <v>0</v>
      </c>
      <c r="D68" s="468">
        <f>D57-D67</f>
        <v>0</v>
      </c>
      <c r="E68" s="305" t="s">
        <v>338</v>
      </c>
    </row>
    <row r="69" spans="2:6" ht="15.75">
      <c r="B69" s="186" t="str">
        <f>CONCATENATE("",E1-2,"/",E1-1," Budget Authority Amount:")</f>
        <v>2010/2011 Budget Authority Amount:</v>
      </c>
      <c r="C69" s="572">
        <f>inputOth!B54</f>
        <v>0</v>
      </c>
      <c r="D69" s="133">
        <f>inputPrYr!D22</f>
        <v>0</v>
      </c>
      <c r="E69" s="305" t="s">
        <v>338</v>
      </c>
      <c r="F69" s="319"/>
    </row>
    <row r="70" spans="2:6" ht="15.75">
      <c r="B70" s="186"/>
      <c r="C70" s="704" t="s">
        <v>406</v>
      </c>
      <c r="D70" s="705"/>
      <c r="E70" s="272"/>
      <c r="F70" s="319">
        <f>IF(E67/0.95-E67&lt;E70,"Exceeds 5%","")</f>
      </c>
    </row>
    <row r="71" spans="2:5" ht="15.75">
      <c r="B71" s="476" t="str">
        <f>CONCATENATE(C90,"     ",D90)</f>
        <v>     </v>
      </c>
      <c r="C71" s="706" t="s">
        <v>407</v>
      </c>
      <c r="D71" s="707"/>
      <c r="E71" s="277">
        <f>E67+E70</f>
        <v>0</v>
      </c>
    </row>
    <row r="72" spans="2:5" ht="15.75">
      <c r="B72" s="476" t="str">
        <f>CONCATENATE(C91,"      ",D91)</f>
        <v>      </v>
      </c>
      <c r="C72" s="413"/>
      <c r="D72" s="203" t="s">
        <v>583</v>
      </c>
      <c r="E72" s="317">
        <f>IF(E71-E57&gt;0,E71-E57,0)</f>
        <v>0</v>
      </c>
    </row>
    <row r="73" spans="2:5" ht="15.75">
      <c r="B73" s="203"/>
      <c r="C73" s="576" t="s">
        <v>408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57</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6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Bloomington Township</v>
      </c>
      <c r="C1" s="130"/>
      <c r="D1" s="130"/>
      <c r="E1" s="202">
        <f>inputPrYr!D5</f>
        <v>2012</v>
      </c>
    </row>
    <row r="2" spans="2:5" ht="15.75">
      <c r="B2" s="194"/>
      <c r="C2" s="130"/>
      <c r="D2" s="224"/>
      <c r="E2" s="132"/>
    </row>
    <row r="3" spans="2:5" ht="15.75">
      <c r="B3" s="578" t="s">
        <v>409</v>
      </c>
      <c r="C3" s="135"/>
      <c r="D3" s="135"/>
      <c r="E3" s="135"/>
    </row>
    <row r="4" spans="2:5" ht="15.75">
      <c r="B4" s="137" t="s">
        <v>58</v>
      </c>
      <c r="C4" s="463" t="s">
        <v>59</v>
      </c>
      <c r="D4" s="465" t="s">
        <v>60</v>
      </c>
      <c r="E4" s="139" t="s">
        <v>61</v>
      </c>
    </row>
    <row r="5" spans="2:5" ht="15.75">
      <c r="B5" s="569">
        <f>inputPrYr!B23</f>
        <v>0</v>
      </c>
      <c r="C5" s="464" t="str">
        <f>gen!C5</f>
        <v>Actual 2010</v>
      </c>
      <c r="D5" s="464" t="str">
        <f>gen!D5</f>
        <v>Estimate 2011</v>
      </c>
      <c r="E5" s="144" t="str">
        <f>gen!E5</f>
        <v>Year 2012</v>
      </c>
    </row>
    <row r="6" spans="2:5" ht="15.75">
      <c r="B6" s="145" t="s">
        <v>144</v>
      </c>
      <c r="C6" s="302"/>
      <c r="D6" s="461">
        <f>C32</f>
        <v>0</v>
      </c>
      <c r="E6" s="277">
        <f>D32</f>
        <v>0</v>
      </c>
    </row>
    <row r="7" spans="2:5" ht="15.75">
      <c r="B7" s="145" t="s">
        <v>146</v>
      </c>
      <c r="C7" s="461"/>
      <c r="D7" s="461"/>
      <c r="E7" s="305"/>
    </row>
    <row r="8" spans="2:5" ht="15.75">
      <c r="B8" s="145" t="s">
        <v>64</v>
      </c>
      <c r="C8" s="302"/>
      <c r="D8" s="461">
        <f>inputPrYr!E23</f>
        <v>0</v>
      </c>
      <c r="E8" s="305" t="s">
        <v>338</v>
      </c>
    </row>
    <row r="9" spans="2:5" ht="15.75">
      <c r="B9" s="145" t="s">
        <v>65</v>
      </c>
      <c r="C9" s="302"/>
      <c r="D9" s="302"/>
      <c r="E9" s="272"/>
    </row>
    <row r="10" spans="2:5" ht="15.75">
      <c r="B10" s="145" t="s">
        <v>66</v>
      </c>
      <c r="C10" s="302"/>
      <c r="D10" s="302"/>
      <c r="E10" s="277">
        <f>mvalloc!G18</f>
        <v>0</v>
      </c>
    </row>
    <row r="11" spans="2:5" ht="15.75">
      <c r="B11" s="145" t="s">
        <v>67</v>
      </c>
      <c r="C11" s="302"/>
      <c r="D11" s="302"/>
      <c r="E11" s="277">
        <f>mvalloc!I18</f>
        <v>0</v>
      </c>
    </row>
    <row r="12" spans="2:5" ht="15.75">
      <c r="B12" s="145" t="s">
        <v>125</v>
      </c>
      <c r="C12" s="302"/>
      <c r="D12" s="302"/>
      <c r="E12" s="277">
        <f>mvalloc!J18</f>
        <v>0</v>
      </c>
    </row>
    <row r="13" spans="2:5" ht="15.75">
      <c r="B13" s="145" t="s">
        <v>189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577</v>
      </c>
      <c r="C17" s="302"/>
      <c r="D17" s="302"/>
      <c r="E17" s="272"/>
    </row>
    <row r="18" spans="2:5" ht="15.75">
      <c r="B18" s="310" t="s">
        <v>222</v>
      </c>
      <c r="C18" s="302"/>
      <c r="D18" s="302"/>
      <c r="E18" s="272"/>
    </row>
    <row r="19" spans="2:5" ht="15.75">
      <c r="B19" s="310" t="s">
        <v>223</v>
      </c>
      <c r="C19" s="460">
        <f>IF(C20*0.1&lt;C18,"Exceed 10% Rule","")</f>
      </c>
      <c r="D19" s="460">
        <f>IF(D20*0.1&lt;D18,"Exceed 10% Rule","")</f>
      </c>
      <c r="E19" s="316">
        <f>IF(E20*0.1+E38&lt;E18,"Exceed 10% Rule","")</f>
      </c>
    </row>
    <row r="20" spans="2:5" ht="15.75">
      <c r="B20" s="312" t="s">
        <v>578</v>
      </c>
      <c r="C20" s="462">
        <f>SUM(C8:C18)</f>
        <v>0</v>
      </c>
      <c r="D20" s="462">
        <f>SUM(D8:D18)</f>
        <v>0</v>
      </c>
      <c r="E20" s="313">
        <f>SUM(E8:E18)</f>
        <v>0</v>
      </c>
    </row>
    <row r="21" spans="2:5" ht="15.75">
      <c r="B21" s="314" t="s">
        <v>579</v>
      </c>
      <c r="C21" s="462">
        <f>C20+C6</f>
        <v>0</v>
      </c>
      <c r="D21" s="462">
        <f>D20+D6</f>
        <v>0</v>
      </c>
      <c r="E21" s="313">
        <f>E20+E6</f>
        <v>0</v>
      </c>
    </row>
    <row r="22" spans="2:5" ht="15.75">
      <c r="B22" s="145" t="s">
        <v>580</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655</v>
      </c>
      <c r="C28" s="302"/>
      <c r="D28" s="302"/>
      <c r="E28" s="317">
        <f>nhood!E13</f>
      </c>
    </row>
    <row r="29" spans="2:5" ht="15.75">
      <c r="B29" s="306" t="s">
        <v>222</v>
      </c>
      <c r="C29" s="302"/>
      <c r="D29" s="302"/>
      <c r="E29" s="272"/>
    </row>
    <row r="30" spans="2:5" ht="15.75">
      <c r="B30" s="306" t="s">
        <v>404</v>
      </c>
      <c r="C30" s="460">
        <f>IF(C31*0.1&lt;C29,"Exceed 10% Rule","")</f>
      </c>
      <c r="D30" s="460">
        <f>IF(D31*0.1&lt;D29,"Exceed 10% Rule","")</f>
      </c>
      <c r="E30" s="316">
        <f>IF(E31*0.1&lt;E29,"Exceed 10% Rule","")</f>
      </c>
    </row>
    <row r="31" spans="2:5" ht="15.75">
      <c r="B31" s="314" t="s">
        <v>581</v>
      </c>
      <c r="C31" s="462">
        <f>SUM(C23:C29)</f>
        <v>0</v>
      </c>
      <c r="D31" s="462">
        <f>SUM(D23:D29)</f>
        <v>0</v>
      </c>
      <c r="E31" s="313">
        <f>SUM(E23:E29)</f>
        <v>0</v>
      </c>
    </row>
    <row r="32" spans="2:5" ht="15.75">
      <c r="B32" s="145" t="s">
        <v>145</v>
      </c>
      <c r="C32" s="468">
        <f>C21-C31</f>
        <v>0</v>
      </c>
      <c r="D32" s="468">
        <f>D21-D31</f>
        <v>0</v>
      </c>
      <c r="E32" s="305" t="s">
        <v>338</v>
      </c>
    </row>
    <row r="33" spans="2:6" ht="15.75">
      <c r="B33" s="186" t="str">
        <f>CONCATENATE("",E1-2,"/",E1-1," Budget Authority Amount:")</f>
        <v>2010/2011 Budget Authority Amount:</v>
      </c>
      <c r="C33" s="572">
        <f>inputOth!B55</f>
        <v>0</v>
      </c>
      <c r="D33" s="148">
        <f>inputPrYr!D23</f>
        <v>0</v>
      </c>
      <c r="E33" s="305" t="s">
        <v>338</v>
      </c>
      <c r="F33" s="319"/>
    </row>
    <row r="34" spans="2:6" ht="15.75">
      <c r="B34" s="186"/>
      <c r="C34" s="704" t="s">
        <v>406</v>
      </c>
      <c r="D34" s="705"/>
      <c r="E34" s="272"/>
      <c r="F34" s="319">
        <f>IF(E31/0.95-E31&lt;E34,"Exceeds 5%","")</f>
      </c>
    </row>
    <row r="35" spans="2:5" ht="15.75">
      <c r="B35" s="476" t="str">
        <f>CONCATENATE(C88,"     ",D88)</f>
        <v>     </v>
      </c>
      <c r="C35" s="706" t="s">
        <v>407</v>
      </c>
      <c r="D35" s="707"/>
      <c r="E35" s="277">
        <f>E31+E34</f>
        <v>0</v>
      </c>
    </row>
    <row r="36" spans="2:5" ht="15.75">
      <c r="B36" s="476" t="str">
        <f>CONCATENATE(C89,"     ",D89)</f>
        <v>     </v>
      </c>
      <c r="C36" s="413"/>
      <c r="D36" s="203" t="s">
        <v>583</v>
      </c>
      <c r="E36" s="317">
        <f>IF(E35-E21&gt;0,E35-E21,0)</f>
        <v>0</v>
      </c>
    </row>
    <row r="37" spans="2:5" ht="15.75">
      <c r="B37" s="203"/>
      <c r="C37" s="576" t="s">
        <v>408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v>
      </c>
      <c r="C39" s="135"/>
      <c r="D39" s="135"/>
      <c r="E39" s="135"/>
    </row>
    <row r="40" spans="2:5" ht="15.75">
      <c r="B40" s="130"/>
      <c r="C40" s="463" t="s">
        <v>59</v>
      </c>
      <c r="D40" s="465" t="s">
        <v>60</v>
      </c>
      <c r="E40" s="139" t="s">
        <v>61</v>
      </c>
    </row>
    <row r="41" spans="2:5" ht="15.75">
      <c r="B41" s="570">
        <f>inputPrYr!B24</f>
        <v>0</v>
      </c>
      <c r="C41" s="464" t="str">
        <f>C5</f>
        <v>Actual 2010</v>
      </c>
      <c r="D41" s="464" t="str">
        <f>D5</f>
        <v>Estimate 2011</v>
      </c>
      <c r="E41" s="144" t="str">
        <f>E5</f>
        <v>Year 2012</v>
      </c>
    </row>
    <row r="42" spans="2:5" ht="15.75">
      <c r="B42" s="145" t="s">
        <v>144</v>
      </c>
      <c r="C42" s="302"/>
      <c r="D42" s="461">
        <f>C68</f>
        <v>0</v>
      </c>
      <c r="E42" s="277">
        <f>D68</f>
        <v>0</v>
      </c>
    </row>
    <row r="43" spans="2:5" ht="15.75">
      <c r="B43" s="145" t="s">
        <v>146</v>
      </c>
      <c r="C43" s="461"/>
      <c r="D43" s="461"/>
      <c r="E43" s="305"/>
    </row>
    <row r="44" spans="2:5" ht="15.75">
      <c r="B44" s="145" t="s">
        <v>64</v>
      </c>
      <c r="C44" s="302"/>
      <c r="D44" s="461">
        <f>inputPrYr!E24</f>
        <v>0</v>
      </c>
      <c r="E44" s="305" t="s">
        <v>338</v>
      </c>
    </row>
    <row r="45" spans="2:5" ht="15.75">
      <c r="B45" s="145" t="s">
        <v>65</v>
      </c>
      <c r="C45" s="302"/>
      <c r="D45" s="302"/>
      <c r="E45" s="272"/>
    </row>
    <row r="46" spans="2:5" ht="15.75">
      <c r="B46" s="145" t="s">
        <v>66</v>
      </c>
      <c r="C46" s="302"/>
      <c r="D46" s="302"/>
      <c r="E46" s="277">
        <f>mvalloc!G19</f>
        <v>0</v>
      </c>
    </row>
    <row r="47" spans="2:5" ht="15.75">
      <c r="B47" s="145" t="s">
        <v>67</v>
      </c>
      <c r="C47" s="302"/>
      <c r="D47" s="302"/>
      <c r="E47" s="277">
        <f>mvalloc!I19</f>
        <v>0</v>
      </c>
    </row>
    <row r="48" spans="2:5" ht="15.75">
      <c r="B48" s="145" t="s">
        <v>125</v>
      </c>
      <c r="C48" s="302"/>
      <c r="D48" s="302"/>
      <c r="E48" s="277">
        <f>mvalloc!J19</f>
        <v>0</v>
      </c>
    </row>
    <row r="49" spans="2:5" ht="15.75">
      <c r="B49" s="145" t="s">
        <v>189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577</v>
      </c>
      <c r="C53" s="302"/>
      <c r="D53" s="302"/>
      <c r="E53" s="272"/>
    </row>
    <row r="54" spans="2:5" ht="15.75">
      <c r="B54" s="310" t="s">
        <v>222</v>
      </c>
      <c r="C54" s="302"/>
      <c r="D54" s="302"/>
      <c r="E54" s="272"/>
    </row>
    <row r="55" spans="2:5" ht="15.75">
      <c r="B55" s="310" t="s">
        <v>223</v>
      </c>
      <c r="C55" s="460">
        <f>IF(C56*0.1&lt;C54,"Exceed 10% Rule","")</f>
      </c>
      <c r="D55" s="460">
        <f>IF(D56*0.1&lt;D54,"Exceed 10% Rule","")</f>
      </c>
      <c r="E55" s="316">
        <f>IF(E56*0.1+E74&lt;E54,"Exceed 10% Rule","")</f>
      </c>
    </row>
    <row r="56" spans="2:5" ht="15.75">
      <c r="B56" s="312" t="s">
        <v>578</v>
      </c>
      <c r="C56" s="462">
        <f>SUM(C44:C54)</f>
        <v>0</v>
      </c>
      <c r="D56" s="462">
        <f>SUM(D44:D54)</f>
        <v>0</v>
      </c>
      <c r="E56" s="313">
        <f>SUM(E44:E54)</f>
        <v>0</v>
      </c>
    </row>
    <row r="57" spans="2:5" ht="15.75">
      <c r="B57" s="314" t="s">
        <v>579</v>
      </c>
      <c r="C57" s="462">
        <f>C56+C42</f>
        <v>0</v>
      </c>
      <c r="D57" s="462">
        <f>D56+D42</f>
        <v>0</v>
      </c>
      <c r="E57" s="313">
        <f>E56+E42</f>
        <v>0</v>
      </c>
    </row>
    <row r="58" spans="2:5" ht="15.75">
      <c r="B58" s="145" t="s">
        <v>580</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655</v>
      </c>
      <c r="C64" s="302"/>
      <c r="D64" s="302"/>
      <c r="E64" s="317">
        <f>nhood!E14</f>
      </c>
    </row>
    <row r="65" spans="2:5" ht="15.75">
      <c r="B65" s="306" t="s">
        <v>222</v>
      </c>
      <c r="C65" s="302"/>
      <c r="D65" s="302"/>
      <c r="E65" s="272"/>
    </row>
    <row r="66" spans="2:5" ht="15.75">
      <c r="B66" s="306" t="s">
        <v>404</v>
      </c>
      <c r="C66" s="460">
        <f>IF(C67*0.1&lt;C65,"Exceed 10% Rule","")</f>
      </c>
      <c r="D66" s="460">
        <f>IF(D67*0.1&lt;D65,"Exceed 10% Rule","")</f>
      </c>
      <c r="E66" s="316">
        <f>IF(E67*0.1&lt;E65,"Exceed 10% Rule","")</f>
      </c>
    </row>
    <row r="67" spans="2:5" ht="15.75">
      <c r="B67" s="314" t="s">
        <v>581</v>
      </c>
      <c r="C67" s="462">
        <f>SUM(C59:C65)</f>
        <v>0</v>
      </c>
      <c r="D67" s="462">
        <f>SUM(D59:D65)</f>
        <v>0</v>
      </c>
      <c r="E67" s="313">
        <f>SUM(E59:E65)</f>
        <v>0</v>
      </c>
    </row>
    <row r="68" spans="2:5" ht="15.75">
      <c r="B68" s="145" t="s">
        <v>145</v>
      </c>
      <c r="C68" s="468">
        <f>C57-C67</f>
        <v>0</v>
      </c>
      <c r="D68" s="468">
        <f>D57-D67</f>
        <v>0</v>
      </c>
      <c r="E68" s="305" t="s">
        <v>338</v>
      </c>
    </row>
    <row r="69" spans="2:6" ht="15.75">
      <c r="B69" s="186" t="str">
        <f>CONCATENATE("",E1-2,"/",E1-1," Budget Authority Amount:")</f>
        <v>2010/2011 Budget Authority Amount:</v>
      </c>
      <c r="C69" s="572">
        <f>inputOth!B56</f>
        <v>0</v>
      </c>
      <c r="D69" s="133">
        <f>inputPrYr!D24</f>
        <v>0</v>
      </c>
      <c r="E69" s="305" t="s">
        <v>338</v>
      </c>
      <c r="F69" s="319"/>
    </row>
    <row r="70" spans="2:6" ht="15.75">
      <c r="B70" s="186"/>
      <c r="C70" s="704" t="s">
        <v>406</v>
      </c>
      <c r="D70" s="705"/>
      <c r="E70" s="272"/>
      <c r="F70" s="319">
        <f>IF(E67/0.95-E67&lt;E70,"Exceeds 5%","")</f>
      </c>
    </row>
    <row r="71" spans="2:5" ht="15.75">
      <c r="B71" s="476" t="str">
        <f>CONCATENATE(C90,"     ",D90)</f>
        <v>     </v>
      </c>
      <c r="C71" s="706" t="s">
        <v>407</v>
      </c>
      <c r="D71" s="707"/>
      <c r="E71" s="277">
        <f>E67+E70</f>
        <v>0</v>
      </c>
    </row>
    <row r="72" spans="2:5" ht="15.75">
      <c r="B72" s="476" t="str">
        <f>CONCATENATE(C91,"      ",D91)</f>
        <v>      </v>
      </c>
      <c r="C72" s="413"/>
      <c r="D72" s="203" t="s">
        <v>583</v>
      </c>
      <c r="E72" s="317">
        <f>IF(E71-E57&gt;0,E71-E57,0)</f>
        <v>0</v>
      </c>
    </row>
    <row r="73" spans="2:5" ht="15.75">
      <c r="B73" s="203"/>
      <c r="C73" s="576" t="s">
        <v>408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57</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Bloomington Township</v>
      </c>
      <c r="C1" s="130"/>
      <c r="D1" s="130"/>
      <c r="E1" s="202">
        <f>inputPrYr!D5</f>
        <v>2012</v>
      </c>
    </row>
    <row r="2" spans="2:5" ht="15.75">
      <c r="B2" s="194"/>
      <c r="C2" s="130"/>
      <c r="D2" s="224"/>
      <c r="E2" s="132"/>
    </row>
    <row r="3" spans="2:5" ht="15.75">
      <c r="B3" s="578" t="s">
        <v>409</v>
      </c>
      <c r="C3" s="135"/>
      <c r="D3" s="135"/>
      <c r="E3" s="135"/>
    </row>
    <row r="4" spans="2:5" ht="15.75">
      <c r="B4" s="137" t="s">
        <v>58</v>
      </c>
      <c r="C4" s="463" t="s">
        <v>59</v>
      </c>
      <c r="D4" s="465" t="s">
        <v>60</v>
      </c>
      <c r="E4" s="139" t="s">
        <v>61</v>
      </c>
    </row>
    <row r="5" spans="2:5" ht="15.75">
      <c r="B5" s="569">
        <f>inputPrYr!B25</f>
        <v>0</v>
      </c>
      <c r="C5" s="464" t="str">
        <f>gen!C5</f>
        <v>Actual 2010</v>
      </c>
      <c r="D5" s="464" t="str">
        <f>gen!D5</f>
        <v>Estimate 2011</v>
      </c>
      <c r="E5" s="144" t="str">
        <f>gen!E5</f>
        <v>Year 2012</v>
      </c>
    </row>
    <row r="6" spans="2:5" ht="15.75">
      <c r="B6" s="145" t="s">
        <v>144</v>
      </c>
      <c r="C6" s="302"/>
      <c r="D6" s="461">
        <f>C32</f>
        <v>0</v>
      </c>
      <c r="E6" s="277">
        <f>D32</f>
        <v>0</v>
      </c>
    </row>
    <row r="7" spans="2:5" ht="15.75">
      <c r="B7" s="145" t="s">
        <v>146</v>
      </c>
      <c r="C7" s="461"/>
      <c r="D7" s="461"/>
      <c r="E7" s="305"/>
    </row>
    <row r="8" spans="2:5" ht="15.75">
      <c r="B8" s="145" t="s">
        <v>64</v>
      </c>
      <c r="C8" s="302"/>
      <c r="D8" s="461">
        <f>inputPrYr!E25</f>
        <v>0</v>
      </c>
      <c r="E8" s="305" t="s">
        <v>338</v>
      </c>
    </row>
    <row r="9" spans="2:5" ht="15.75">
      <c r="B9" s="145" t="s">
        <v>65</v>
      </c>
      <c r="C9" s="302"/>
      <c r="D9" s="302"/>
      <c r="E9" s="272"/>
    </row>
    <row r="10" spans="2:5" ht="15.75">
      <c r="B10" s="145" t="s">
        <v>66</v>
      </c>
      <c r="C10" s="302"/>
      <c r="D10" s="302"/>
      <c r="E10" s="277">
        <f>mvalloc!G20</f>
        <v>0</v>
      </c>
    </row>
    <row r="11" spans="2:5" ht="15.75">
      <c r="B11" s="145" t="s">
        <v>67</v>
      </c>
      <c r="C11" s="302"/>
      <c r="D11" s="302"/>
      <c r="E11" s="277">
        <f>mvalloc!I20</f>
        <v>0</v>
      </c>
    </row>
    <row r="12" spans="2:5" ht="15.75">
      <c r="B12" s="145" t="s">
        <v>125</v>
      </c>
      <c r="C12" s="302"/>
      <c r="D12" s="302"/>
      <c r="E12" s="277">
        <f>mvalloc!J20</f>
        <v>0</v>
      </c>
    </row>
    <row r="13" spans="2:5" ht="15.75">
      <c r="B13" s="145" t="s">
        <v>189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577</v>
      </c>
      <c r="C17" s="302"/>
      <c r="D17" s="302"/>
      <c r="E17" s="272"/>
    </row>
    <row r="18" spans="2:5" ht="15.75">
      <c r="B18" s="310" t="s">
        <v>222</v>
      </c>
      <c r="C18" s="302"/>
      <c r="D18" s="302"/>
      <c r="E18" s="272"/>
    </row>
    <row r="19" spans="2:5" ht="15.75">
      <c r="B19" s="310" t="s">
        <v>223</v>
      </c>
      <c r="C19" s="460">
        <f>IF(C20*0.1&lt;C18,"Exceed 10% Rule","")</f>
      </c>
      <c r="D19" s="460">
        <f>IF(D20*0.1&lt;D18,"Exceed 10% Rule","")</f>
      </c>
      <c r="E19" s="316">
        <f>IF(E20*0.1+E38&lt;E18,"Exceed 10% Rule","")</f>
      </c>
    </row>
    <row r="20" spans="2:5" ht="15.75">
      <c r="B20" s="312" t="s">
        <v>578</v>
      </c>
      <c r="C20" s="462">
        <f>SUM(C8:C18)</f>
        <v>0</v>
      </c>
      <c r="D20" s="462">
        <f>SUM(D8:D18)</f>
        <v>0</v>
      </c>
      <c r="E20" s="313">
        <f>SUM(E8:E18)</f>
        <v>0</v>
      </c>
    </row>
    <row r="21" spans="2:5" ht="15.75">
      <c r="B21" s="314" t="s">
        <v>579</v>
      </c>
      <c r="C21" s="462">
        <f>C20+C6</f>
        <v>0</v>
      </c>
      <c r="D21" s="462">
        <f>D20+D6</f>
        <v>0</v>
      </c>
      <c r="E21" s="313">
        <f>E20+E6</f>
        <v>0</v>
      </c>
    </row>
    <row r="22" spans="2:5" ht="15.75">
      <c r="B22" s="145" t="s">
        <v>580</v>
      </c>
      <c r="C22" s="461"/>
      <c r="D22" s="461"/>
      <c r="E22" s="277"/>
    </row>
    <row r="23" spans="2:5" ht="15.75">
      <c r="B23" s="309" t="s">
        <v>152</v>
      </c>
      <c r="C23" s="302"/>
      <c r="D23" s="302"/>
      <c r="E23" s="272"/>
    </row>
    <row r="24" spans="2:5" ht="15.75">
      <c r="B24" s="309" t="s">
        <v>128</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655</v>
      </c>
      <c r="C28" s="302"/>
      <c r="D28" s="302"/>
      <c r="E28" s="317">
        <f>nhood!E15</f>
      </c>
    </row>
    <row r="29" spans="2:5" ht="15.75">
      <c r="B29" s="306" t="s">
        <v>222</v>
      </c>
      <c r="C29" s="302"/>
      <c r="D29" s="302"/>
      <c r="E29" s="272"/>
    </row>
    <row r="30" spans="2:5" ht="15.75">
      <c r="B30" s="306" t="s">
        <v>404</v>
      </c>
      <c r="C30" s="460">
        <f>IF(C31*0.1&lt;C29,"Exceed 10% Rule","")</f>
      </c>
      <c r="D30" s="460">
        <f>IF(D31*0.1&lt;D29,"Exceed 10% Rule","")</f>
      </c>
      <c r="E30" s="316">
        <f>IF(E31*0.1&lt;E29,"Exceed 10% Rule","")</f>
      </c>
    </row>
    <row r="31" spans="2:5" ht="15.75">
      <c r="B31" s="314" t="s">
        <v>581</v>
      </c>
      <c r="C31" s="462">
        <f>SUM(C23:C29)</f>
        <v>0</v>
      </c>
      <c r="D31" s="462">
        <f>SUM(D23:D29)</f>
        <v>0</v>
      </c>
      <c r="E31" s="313">
        <f>SUM(E23:E29)</f>
        <v>0</v>
      </c>
    </row>
    <row r="32" spans="2:5" ht="15.75">
      <c r="B32" s="145" t="s">
        <v>145</v>
      </c>
      <c r="C32" s="468">
        <f>C21-C31</f>
        <v>0</v>
      </c>
      <c r="D32" s="468">
        <f>D21-D31</f>
        <v>0</v>
      </c>
      <c r="E32" s="305" t="s">
        <v>338</v>
      </c>
    </row>
    <row r="33" spans="2:6" ht="15.75">
      <c r="B33" s="186" t="str">
        <f>CONCATENATE("",E1-2,"/",E1-1," Budget Authority Amount:")</f>
        <v>2010/2011 Budget Authority Amount:</v>
      </c>
      <c r="C33" s="572">
        <f>inputOth!B57</f>
        <v>0</v>
      </c>
      <c r="D33" s="133">
        <f>inputPrYr!D25</f>
        <v>0</v>
      </c>
      <c r="E33" s="305" t="s">
        <v>338</v>
      </c>
      <c r="F33" s="319"/>
    </row>
    <row r="34" spans="2:6" ht="15.75">
      <c r="B34" s="186"/>
      <c r="C34" s="704" t="s">
        <v>406</v>
      </c>
      <c r="D34" s="705"/>
      <c r="E34" s="272"/>
      <c r="F34" s="319">
        <f>IF(E31/0.95-E31&lt;E34,"Exceeds 5%","")</f>
      </c>
    </row>
    <row r="35" spans="2:5" ht="15.75">
      <c r="B35" s="476" t="str">
        <f>CONCATENATE(C88,"     ",D88)</f>
        <v>     </v>
      </c>
      <c r="C35" s="706" t="s">
        <v>407</v>
      </c>
      <c r="D35" s="707"/>
      <c r="E35" s="277">
        <f>E31+E34</f>
        <v>0</v>
      </c>
    </row>
    <row r="36" spans="2:5" ht="15.75">
      <c r="B36" s="476" t="str">
        <f>CONCATENATE(C89,"     ",D89)</f>
        <v>     </v>
      </c>
      <c r="C36" s="413"/>
      <c r="D36" s="203" t="s">
        <v>583</v>
      </c>
      <c r="E36" s="317">
        <f>IF(E35-E21&gt;0,E35-E21,0)</f>
        <v>0</v>
      </c>
    </row>
    <row r="37" spans="2:5" ht="15.75">
      <c r="B37" s="203"/>
      <c r="C37" s="576" t="s">
        <v>408</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v>
      </c>
      <c r="C39" s="135"/>
      <c r="D39" s="135"/>
      <c r="E39" s="135"/>
    </row>
    <row r="40" spans="2:5" ht="15.75">
      <c r="B40" s="130"/>
      <c r="C40" s="463" t="s">
        <v>59</v>
      </c>
      <c r="D40" s="465" t="s">
        <v>60</v>
      </c>
      <c r="E40" s="139" t="s">
        <v>61</v>
      </c>
    </row>
    <row r="41" spans="2:5" ht="15.75">
      <c r="B41" s="570">
        <f>inputPrYr!B26</f>
        <v>0</v>
      </c>
      <c r="C41" s="464" t="str">
        <f>C5</f>
        <v>Actual 2010</v>
      </c>
      <c r="D41" s="464" t="str">
        <f>D5</f>
        <v>Estimate 2011</v>
      </c>
      <c r="E41" s="144" t="str">
        <f>E5</f>
        <v>Year 2012</v>
      </c>
    </row>
    <row r="42" spans="2:5" ht="15.75">
      <c r="B42" s="145" t="s">
        <v>144</v>
      </c>
      <c r="C42" s="302"/>
      <c r="D42" s="461">
        <f>C68</f>
        <v>0</v>
      </c>
      <c r="E42" s="277">
        <f>D68</f>
        <v>0</v>
      </c>
    </row>
    <row r="43" spans="2:5" ht="15.75">
      <c r="B43" s="145" t="s">
        <v>146</v>
      </c>
      <c r="C43" s="461"/>
      <c r="D43" s="461"/>
      <c r="E43" s="305"/>
    </row>
    <row r="44" spans="2:5" ht="15.75">
      <c r="B44" s="145" t="s">
        <v>64</v>
      </c>
      <c r="C44" s="302"/>
      <c r="D44" s="461">
        <f>inputPrYr!E26</f>
        <v>0</v>
      </c>
      <c r="E44" s="305" t="s">
        <v>338</v>
      </c>
    </row>
    <row r="45" spans="2:5" ht="15.75">
      <c r="B45" s="145" t="s">
        <v>65</v>
      </c>
      <c r="C45" s="302"/>
      <c r="D45" s="302"/>
      <c r="E45" s="272"/>
    </row>
    <row r="46" spans="2:5" ht="15.75">
      <c r="B46" s="145" t="s">
        <v>66</v>
      </c>
      <c r="C46" s="302"/>
      <c r="D46" s="302"/>
      <c r="E46" s="277">
        <f>mvalloc!G21</f>
        <v>0</v>
      </c>
    </row>
    <row r="47" spans="2:5" ht="15.75">
      <c r="B47" s="145" t="s">
        <v>67</v>
      </c>
      <c r="C47" s="302"/>
      <c r="D47" s="302"/>
      <c r="E47" s="277">
        <f>mvalloc!I21</f>
        <v>0</v>
      </c>
    </row>
    <row r="48" spans="2:5" ht="15.75">
      <c r="B48" s="145" t="s">
        <v>125</v>
      </c>
      <c r="C48" s="302"/>
      <c r="D48" s="302"/>
      <c r="E48" s="277">
        <f>mvalloc!J21</f>
        <v>0</v>
      </c>
    </row>
    <row r="49" spans="2:5" ht="15.75">
      <c r="B49" s="145" t="s">
        <v>189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577</v>
      </c>
      <c r="C53" s="302"/>
      <c r="D53" s="302"/>
      <c r="E53" s="272"/>
    </row>
    <row r="54" spans="2:5" ht="15.75">
      <c r="B54" s="310" t="s">
        <v>222</v>
      </c>
      <c r="C54" s="302"/>
      <c r="D54" s="302"/>
      <c r="E54" s="272"/>
    </row>
    <row r="55" spans="2:5" ht="15.75">
      <c r="B55" s="310" t="s">
        <v>223</v>
      </c>
      <c r="C55" s="460">
        <f>IF(C56*0.1&lt;C54,"Exceed 10% Rule","")</f>
      </c>
      <c r="D55" s="460">
        <f>IF(D56*0.1&lt;D54,"Exceed 10% Rule","")</f>
      </c>
      <c r="E55" s="316">
        <f>IF(E56*0.1+E74&lt;E54,"Exceed 10% Rule","")</f>
      </c>
    </row>
    <row r="56" spans="2:5" ht="15.75">
      <c r="B56" s="312" t="s">
        <v>578</v>
      </c>
      <c r="C56" s="462">
        <f>SUM(C44:C54)</f>
        <v>0</v>
      </c>
      <c r="D56" s="462">
        <f>SUM(D44:D54)</f>
        <v>0</v>
      </c>
      <c r="E56" s="313">
        <f>SUM(E44:E54)</f>
        <v>0</v>
      </c>
    </row>
    <row r="57" spans="2:5" ht="15.75">
      <c r="B57" s="314" t="s">
        <v>579</v>
      </c>
      <c r="C57" s="462">
        <f>C56+C42</f>
        <v>0</v>
      </c>
      <c r="D57" s="462">
        <f>D56+D42</f>
        <v>0</v>
      </c>
      <c r="E57" s="313">
        <f>E56+E42</f>
        <v>0</v>
      </c>
    </row>
    <row r="58" spans="2:5" ht="15.75">
      <c r="B58" s="145" t="s">
        <v>580</v>
      </c>
      <c r="C58" s="461"/>
      <c r="D58" s="461"/>
      <c r="E58" s="277"/>
    </row>
    <row r="59" spans="2:5" ht="15.75">
      <c r="B59" s="309" t="s">
        <v>152</v>
      </c>
      <c r="C59" s="302"/>
      <c r="D59" s="302"/>
      <c r="E59" s="272"/>
    </row>
    <row r="60" spans="2:5" ht="15.75">
      <c r="B60" s="309" t="s">
        <v>128</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655</v>
      </c>
      <c r="C64" s="302"/>
      <c r="D64" s="302"/>
      <c r="E64" s="317">
        <f>nhood!E16</f>
      </c>
    </row>
    <row r="65" spans="2:5" ht="15.75">
      <c r="B65" s="306" t="s">
        <v>222</v>
      </c>
      <c r="C65" s="302"/>
      <c r="D65" s="302"/>
      <c r="E65" s="272"/>
    </row>
    <row r="66" spans="2:5" ht="15.75">
      <c r="B66" s="306" t="s">
        <v>404</v>
      </c>
      <c r="C66" s="460">
        <f>IF(C67*0.1&lt;C65,"Exceed 10% Rule","")</f>
      </c>
      <c r="D66" s="460">
        <f>IF(D67*0.1&lt;D65,"Exceed 10% Rule","")</f>
      </c>
      <c r="E66" s="316">
        <f>IF(E67*0.1&lt;E65,"Exceed 10% Rule","")</f>
      </c>
    </row>
    <row r="67" spans="2:5" ht="15.75">
      <c r="B67" s="314" t="s">
        <v>581</v>
      </c>
      <c r="C67" s="462">
        <f>SUM(C59:C65)</f>
        <v>0</v>
      </c>
      <c r="D67" s="462">
        <f>SUM(D59:D65)</f>
        <v>0</v>
      </c>
      <c r="E67" s="313">
        <f>SUM(E59:E65)</f>
        <v>0</v>
      </c>
    </row>
    <row r="68" spans="2:5" ht="15.75">
      <c r="B68" s="145" t="s">
        <v>145</v>
      </c>
      <c r="C68" s="468">
        <f>C57-C67</f>
        <v>0</v>
      </c>
      <c r="D68" s="468">
        <f>D57-D67</f>
        <v>0</v>
      </c>
      <c r="E68" s="305" t="s">
        <v>338</v>
      </c>
    </row>
    <row r="69" spans="2:6" ht="15.75">
      <c r="B69" s="186" t="str">
        <f>CONCATENATE("",E1-2,"/",E1-1," Budget Authority Amount:")</f>
        <v>2010/2011 Budget Authority Amount:</v>
      </c>
      <c r="C69" s="572">
        <f>inputOth!B58</f>
        <v>0</v>
      </c>
      <c r="D69" s="133">
        <f>inputPrYr!D26</f>
        <v>0</v>
      </c>
      <c r="E69" s="305" t="s">
        <v>338</v>
      </c>
      <c r="F69" s="319"/>
    </row>
    <row r="70" spans="2:6" ht="15.75">
      <c r="B70" s="186"/>
      <c r="C70" s="704" t="s">
        <v>406</v>
      </c>
      <c r="D70" s="705"/>
      <c r="E70" s="272"/>
      <c r="F70" s="319">
        <f>IF(E67/0.95-E67&lt;E70,"Exceeds 5%","")</f>
      </c>
    </row>
    <row r="71" spans="2:5" ht="15.75">
      <c r="B71" s="476" t="str">
        <f>CONCATENATE(C90,"     ",D90)</f>
        <v>     </v>
      </c>
      <c r="C71" s="706" t="s">
        <v>407</v>
      </c>
      <c r="D71" s="707"/>
      <c r="E71" s="277">
        <f>E67+E70</f>
        <v>0</v>
      </c>
    </row>
    <row r="72" spans="2:5" ht="15.75">
      <c r="B72" s="476" t="str">
        <f>CONCATENATE(C91,"      ",D91)</f>
        <v>      </v>
      </c>
      <c r="C72" s="413"/>
      <c r="D72" s="203" t="s">
        <v>583</v>
      </c>
      <c r="E72" s="317">
        <f>IF(E71-E57&gt;0,E71-E57,0)</f>
        <v>0</v>
      </c>
    </row>
    <row r="73" spans="2:5" ht="15.75">
      <c r="B73" s="203"/>
      <c r="C73" s="576" t="s">
        <v>408</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57</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3">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Bloomington Township</v>
      </c>
      <c r="C1" s="130"/>
      <c r="D1" s="130"/>
      <c r="E1" s="202">
        <f>inputPrYr!D5</f>
        <v>2012</v>
      </c>
    </row>
    <row r="2" spans="2:5" ht="15.75">
      <c r="B2" s="130"/>
      <c r="C2" s="130"/>
      <c r="D2" s="130"/>
      <c r="E2" s="203"/>
    </row>
    <row r="3" spans="2:5" ht="15.75">
      <c r="B3" s="194" t="s">
        <v>169</v>
      </c>
      <c r="C3" s="135"/>
      <c r="D3" s="135"/>
      <c r="E3" s="135"/>
    </row>
    <row r="4" spans="2:5" ht="15.75">
      <c r="B4" s="137" t="s">
        <v>58</v>
      </c>
      <c r="C4" s="340" t="s">
        <v>59</v>
      </c>
      <c r="D4" s="139" t="s">
        <v>60</v>
      </c>
      <c r="E4" s="139" t="s">
        <v>61</v>
      </c>
    </row>
    <row r="5" spans="2:5" ht="15.75">
      <c r="B5" s="569">
        <f>inputPrYr!B30</f>
        <v>0</v>
      </c>
      <c r="C5" s="144" t="str">
        <f>gen!C5</f>
        <v>Actual 2010</v>
      </c>
      <c r="D5" s="144" t="str">
        <f>gen!D5</f>
        <v>Estimate 2011</v>
      </c>
      <c r="E5" s="144" t="str">
        <f>gen!E5</f>
        <v>Year 2012</v>
      </c>
    </row>
    <row r="6" spans="2:5" ht="15.75">
      <c r="B6" s="348" t="s">
        <v>170</v>
      </c>
      <c r="C6" s="272"/>
      <c r="D6" s="277">
        <f>C29</f>
        <v>0</v>
      </c>
      <c r="E6" s="277">
        <f>D29</f>
        <v>0</v>
      </c>
    </row>
    <row r="7" spans="2:5" s="233" customFormat="1" ht="15.75">
      <c r="B7" s="349" t="s">
        <v>146</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577</v>
      </c>
      <c r="C12" s="272"/>
      <c r="D12" s="272"/>
      <c r="E12" s="272"/>
    </row>
    <row r="13" spans="2:5" ht="15.75">
      <c r="B13" s="310" t="s">
        <v>222</v>
      </c>
      <c r="C13" s="272"/>
      <c r="D13" s="303"/>
      <c r="E13" s="303"/>
    </row>
    <row r="14" spans="2:5" ht="15.75">
      <c r="B14" s="310" t="s">
        <v>223</v>
      </c>
      <c r="C14" s="316">
        <f>IF(C15*0.1&lt;C13,"Exceed 10% Rule","")</f>
      </c>
      <c r="D14" s="311">
        <f>IF(D15*0.1&lt;D13,"Exceed 10% Rule","")</f>
      </c>
      <c r="E14" s="311">
        <f>IF(E15*0.1&lt;E13,"Exceed 10% Rule","")</f>
      </c>
    </row>
    <row r="15" spans="2:5" ht="15.75">
      <c r="B15" s="314" t="s">
        <v>578</v>
      </c>
      <c r="C15" s="313">
        <f>SUM(C8:C13)</f>
        <v>0</v>
      </c>
      <c r="D15" s="313">
        <f>SUM(D8:D13)</f>
        <v>0</v>
      </c>
      <c r="E15" s="313">
        <f>SUM(E8:E13)</f>
        <v>0</v>
      </c>
    </row>
    <row r="16" spans="2:5" ht="15.75">
      <c r="B16" s="314" t="s">
        <v>579</v>
      </c>
      <c r="C16" s="313">
        <f>C6+C15</f>
        <v>0</v>
      </c>
      <c r="D16" s="313">
        <f>D6+D15</f>
        <v>0</v>
      </c>
      <c r="E16" s="313">
        <f>E6+E15</f>
        <v>0</v>
      </c>
    </row>
    <row r="17" spans="2:5" ht="15.75">
      <c r="B17" s="145" t="s">
        <v>580</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222</v>
      </c>
      <c r="C26" s="272"/>
      <c r="D26" s="303"/>
      <c r="E26" s="303"/>
    </row>
    <row r="27" spans="2:5" ht="15.75">
      <c r="B27" s="306" t="s">
        <v>404</v>
      </c>
      <c r="C27" s="316">
        <f>IF(C28*0.1&lt;C26,"Exceed 10% Rule","")</f>
      </c>
      <c r="D27" s="311">
        <f>IF(D28*0.1&lt;D26,"Exceed 10% Rule","")</f>
      </c>
      <c r="E27" s="311">
        <f>IF(E28*0.1&lt;E26,"Exceed 10% Rule","")</f>
      </c>
    </row>
    <row r="28" spans="2:5" ht="15.75">
      <c r="B28" s="314" t="s">
        <v>581</v>
      </c>
      <c r="C28" s="313">
        <f>SUM(C18:C26)</f>
        <v>0</v>
      </c>
      <c r="D28" s="313">
        <f>SUM(D18:D26)</f>
        <v>0</v>
      </c>
      <c r="E28" s="313">
        <f>SUM(E18:E26)</f>
        <v>0</v>
      </c>
    </row>
    <row r="29" spans="2:5" ht="15.75">
      <c r="B29" s="145" t="s">
        <v>145</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58</v>
      </c>
      <c r="C34" s="135"/>
      <c r="D34" s="135"/>
      <c r="E34" s="135"/>
    </row>
    <row r="35" spans="2:5" ht="15.75">
      <c r="B35" s="130"/>
      <c r="C35" s="340" t="s">
        <v>59</v>
      </c>
      <c r="D35" s="139" t="s">
        <v>60</v>
      </c>
      <c r="E35" s="139" t="s">
        <v>61</v>
      </c>
    </row>
    <row r="36" spans="2:5" ht="15.75">
      <c r="B36" s="570">
        <f>inputPrYr!B31</f>
        <v>0</v>
      </c>
      <c r="C36" s="144" t="str">
        <f>C5</f>
        <v>Actual 2010</v>
      </c>
      <c r="D36" s="144" t="str">
        <f>D5</f>
        <v>Estimate 2011</v>
      </c>
      <c r="E36" s="144" t="str">
        <f>E5</f>
        <v>Year 2012</v>
      </c>
    </row>
    <row r="37" spans="2:5" ht="15.75">
      <c r="B37" s="348" t="s">
        <v>170</v>
      </c>
      <c r="C37" s="272"/>
      <c r="D37" s="277">
        <f>C60</f>
        <v>0</v>
      </c>
      <c r="E37" s="277">
        <f>D60</f>
        <v>0</v>
      </c>
    </row>
    <row r="38" spans="2:5" s="233" customFormat="1" ht="15.75">
      <c r="B38" s="348" t="s">
        <v>146</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577</v>
      </c>
      <c r="C43" s="272"/>
      <c r="D43" s="272"/>
      <c r="E43" s="272"/>
    </row>
    <row r="44" spans="2:5" ht="15.75">
      <c r="B44" s="310" t="s">
        <v>222</v>
      </c>
      <c r="C44" s="272"/>
      <c r="D44" s="303"/>
      <c r="E44" s="303"/>
    </row>
    <row r="45" spans="2:5" ht="15.75">
      <c r="B45" s="310" t="s">
        <v>223</v>
      </c>
      <c r="C45" s="316">
        <f>IF(C46*0.1&lt;C44,"Exceed 10% Rule","")</f>
      </c>
      <c r="D45" s="311">
        <f>IF(D46*0.1&lt;D44,"Exceed 10% Rule","")</f>
      </c>
      <c r="E45" s="311">
        <f>IF(E46*0.1&lt;E44,"Exceed 10% Rule","")</f>
      </c>
    </row>
    <row r="46" spans="2:5" ht="15.75">
      <c r="B46" s="314" t="s">
        <v>578</v>
      </c>
      <c r="C46" s="313">
        <f>SUM(C39:C44)</f>
        <v>0</v>
      </c>
      <c r="D46" s="313">
        <f>SUM(D39:D44)</f>
        <v>0</v>
      </c>
      <c r="E46" s="313">
        <f>SUM(E39:E44)</f>
        <v>0</v>
      </c>
    </row>
    <row r="47" spans="2:5" ht="15.75">
      <c r="B47" s="314" t="s">
        <v>579</v>
      </c>
      <c r="C47" s="313">
        <f>C37+C46</f>
        <v>0</v>
      </c>
      <c r="D47" s="313">
        <f>D37+D46</f>
        <v>0</v>
      </c>
      <c r="E47" s="313">
        <f>E37+E46</f>
        <v>0</v>
      </c>
    </row>
    <row r="48" spans="2:5" ht="15.75">
      <c r="B48" s="145" t="s">
        <v>580</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222</v>
      </c>
      <c r="C57" s="272"/>
      <c r="D57" s="303"/>
      <c r="E57" s="303"/>
    </row>
    <row r="58" spans="2:5" ht="15.75">
      <c r="B58" s="306" t="s">
        <v>404</v>
      </c>
      <c r="C58" s="316">
        <f>IF(C59*0.1&lt;C57,"Exceed 10% Rule","")</f>
      </c>
      <c r="D58" s="311">
        <f>IF(D59*0.1&lt;D57,"Exceed 10% Rule","")</f>
      </c>
      <c r="E58" s="311">
        <f>IF(E59*0.1&lt;E57,"Exceed 10% Rule","")</f>
      </c>
    </row>
    <row r="59" spans="2:5" ht="15.75">
      <c r="B59" s="314" t="s">
        <v>581</v>
      </c>
      <c r="C59" s="313">
        <f>SUM(C49:C57)</f>
        <v>0</v>
      </c>
      <c r="D59" s="313">
        <f>SUM(D49:D57)</f>
        <v>0</v>
      </c>
      <c r="E59" s="313">
        <f>SUM(E49:E57)</f>
        <v>0</v>
      </c>
    </row>
    <row r="60" spans="2:5" ht="15.75">
      <c r="B60" s="145" t="s">
        <v>145</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57</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28">
      <selection activeCell="E59" sqref="E5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769</v>
      </c>
      <c r="B1" s="16"/>
      <c r="C1" s="16"/>
      <c r="D1" s="16"/>
      <c r="E1" s="16"/>
    </row>
    <row r="2" spans="1:5" ht="15.75">
      <c r="A2" s="34" t="s">
        <v>264</v>
      </c>
      <c r="B2" s="16"/>
      <c r="C2" s="16"/>
      <c r="D2" s="12" t="s">
        <v>40</v>
      </c>
      <c r="E2" s="23"/>
    </row>
    <row r="3" spans="1:5" ht="15.75">
      <c r="A3" s="34" t="s">
        <v>263</v>
      </c>
      <c r="B3" s="16"/>
      <c r="C3" s="16"/>
      <c r="D3" s="52" t="s">
        <v>522</v>
      </c>
      <c r="E3" s="23"/>
    </row>
    <row r="4" spans="1:5" ht="15.75">
      <c r="A4" s="16"/>
      <c r="B4" s="16"/>
      <c r="C4" s="16"/>
      <c r="D4" s="16"/>
      <c r="E4" s="16"/>
    </row>
    <row r="5" spans="1:5" ht="15.75">
      <c r="A5" s="22" t="s">
        <v>172</v>
      </c>
      <c r="B5" s="16"/>
      <c r="C5" s="16"/>
      <c r="D5" s="97">
        <v>2012</v>
      </c>
      <c r="E5" s="16"/>
    </row>
    <row r="6" spans="1:5" ht="15.75">
      <c r="A6" s="16"/>
      <c r="B6" s="16"/>
      <c r="C6" s="16"/>
      <c r="D6" s="16"/>
      <c r="E6" s="16"/>
    </row>
    <row r="7" spans="1:5" ht="15.75">
      <c r="A7" s="69" t="s">
        <v>174</v>
      </c>
      <c r="B7" s="70"/>
      <c r="C7" s="70"/>
      <c r="D7" s="70"/>
      <c r="E7" s="70"/>
    </row>
    <row r="8" spans="1:5" ht="15.75">
      <c r="A8" s="69" t="s">
        <v>207</v>
      </c>
      <c r="B8" s="70"/>
      <c r="C8" s="70"/>
      <c r="D8" s="70"/>
      <c r="E8" s="70"/>
    </row>
    <row r="9" spans="1:5" ht="15.75">
      <c r="A9" s="16"/>
      <c r="B9" s="16"/>
      <c r="C9" s="16"/>
      <c r="D9" s="16"/>
      <c r="E9" s="16"/>
    </row>
    <row r="10" spans="1:5" ht="15.75">
      <c r="A10" s="676" t="s">
        <v>185</v>
      </c>
      <c r="B10" s="677"/>
      <c r="C10" s="677"/>
      <c r="D10" s="677"/>
      <c r="E10" s="677"/>
    </row>
    <row r="11" spans="1:5" ht="15.75">
      <c r="A11" s="34"/>
      <c r="B11" s="16"/>
      <c r="C11" s="16"/>
      <c r="D11" s="16"/>
      <c r="E11" s="16"/>
    </row>
    <row r="12" spans="1:5" ht="15.75">
      <c r="A12" s="55" t="s">
        <v>173</v>
      </c>
      <c r="B12" s="53"/>
      <c r="C12" s="16"/>
      <c r="D12" s="19"/>
      <c r="E12" s="76"/>
    </row>
    <row r="13" spans="1:5" ht="15.75">
      <c r="A13" s="67" t="str">
        <f>CONCATENATE("the ",D5-1," Budget, Certificate Page:")</f>
        <v>the 2011 Budget, Certificate Page:</v>
      </c>
      <c r="B13" s="68"/>
      <c r="C13" s="19"/>
      <c r="D13" s="16"/>
      <c r="E13" s="16"/>
    </row>
    <row r="14" spans="1:5" ht="15.75">
      <c r="A14" s="67" t="s">
        <v>365</v>
      </c>
      <c r="B14" s="68"/>
      <c r="C14" s="19"/>
      <c r="D14" s="119">
        <f>$D$5-1</f>
        <v>2011</v>
      </c>
      <c r="E14" s="118">
        <f>$D$5-2</f>
        <v>2010</v>
      </c>
    </row>
    <row r="15" spans="1:5" ht="15.75">
      <c r="A15" s="18" t="s">
        <v>771</v>
      </c>
      <c r="B15" s="16"/>
      <c r="C15" s="75" t="s">
        <v>770</v>
      </c>
      <c r="D15" s="120" t="s">
        <v>691</v>
      </c>
      <c r="E15" s="117" t="s">
        <v>64</v>
      </c>
    </row>
    <row r="16" spans="1:5" ht="15.75">
      <c r="A16" s="16"/>
      <c r="B16" s="31" t="s">
        <v>772</v>
      </c>
      <c r="C16" s="66" t="s">
        <v>773</v>
      </c>
      <c r="D16" s="8">
        <v>25500</v>
      </c>
      <c r="E16" s="8">
        <v>8968</v>
      </c>
    </row>
    <row r="17" spans="1:5" ht="15.75">
      <c r="A17" s="16"/>
      <c r="B17" s="31" t="s">
        <v>349</v>
      </c>
      <c r="C17" s="66" t="s">
        <v>179</v>
      </c>
      <c r="D17" s="8"/>
      <c r="E17" s="8"/>
    </row>
    <row r="18" spans="1:5" ht="15.75">
      <c r="A18" s="16"/>
      <c r="B18" s="31" t="s">
        <v>774</v>
      </c>
      <c r="C18" s="29" t="s">
        <v>364</v>
      </c>
      <c r="D18" s="8">
        <v>132393</v>
      </c>
      <c r="E18" s="8">
        <v>105664</v>
      </c>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114632</v>
      </c>
    </row>
    <row r="28" spans="1:5" ht="15.75">
      <c r="A28" s="23"/>
      <c r="B28" s="23"/>
      <c r="C28" s="23"/>
      <c r="D28" s="51"/>
      <c r="E28" s="77"/>
    </row>
    <row r="29" spans="1:5" ht="15.75">
      <c r="A29" s="16" t="s">
        <v>168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157893</v>
      </c>
      <c r="E34" s="16"/>
    </row>
    <row r="35" spans="1:5" ht="15.75">
      <c r="A35" s="16"/>
      <c r="B35" s="16"/>
      <c r="C35" s="16"/>
      <c r="D35" s="16"/>
      <c r="E35" s="16"/>
    </row>
    <row r="36" spans="1:5" ht="15.75">
      <c r="A36" s="50" t="s">
        <v>686</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173</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6.814</v>
      </c>
      <c r="E45" s="16"/>
    </row>
    <row r="46" spans="1:5" ht="15.75">
      <c r="A46" s="16"/>
      <c r="B46" s="15" t="str">
        <f>B17</f>
        <v>Debt Service</v>
      </c>
      <c r="C46" s="16"/>
      <c r="D46" s="9"/>
      <c r="E46" s="16"/>
    </row>
    <row r="47" spans="1:5" ht="15.75">
      <c r="A47" s="16"/>
      <c r="B47" s="15" t="str">
        <f aca="true" t="shared" si="0" ref="B47:B55">B18</f>
        <v>Road</v>
      </c>
      <c r="C47" s="16"/>
      <c r="D47" s="9">
        <v>24.917</v>
      </c>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31.731</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114038</v>
      </c>
    </row>
    <row r="59" spans="1:5" ht="15.75">
      <c r="A59" s="123" t="str">
        <f>CONCATENATE("Assessed Valuation (",D5-2," budget column)")</f>
        <v>Assessed Valuation (2010 budget column)</v>
      </c>
      <c r="B59" s="85"/>
      <c r="C59" s="49"/>
      <c r="D59" s="56"/>
      <c r="E59" s="8">
        <v>3593959</v>
      </c>
    </row>
    <row r="60" spans="1:5" ht="15.75">
      <c r="A60" s="50"/>
      <c r="B60" s="23"/>
      <c r="C60" s="23"/>
      <c r="D60" s="23"/>
      <c r="E60" s="80"/>
    </row>
    <row r="61" spans="1:5" ht="15.75">
      <c r="A61" s="16"/>
      <c r="B61" s="16"/>
      <c r="C61" s="16"/>
      <c r="D61" s="16"/>
      <c r="E61" s="21"/>
    </row>
    <row r="62" spans="1:5" ht="15.75">
      <c r="A62" s="53" t="s">
        <v>208</v>
      </c>
      <c r="B62" s="53"/>
      <c r="C62" s="54"/>
      <c r="D62" s="82">
        <f>D5-3</f>
        <v>2009</v>
      </c>
      <c r="E62" s="82">
        <f>D5-2</f>
        <v>2010</v>
      </c>
    </row>
    <row r="63" spans="1:5" ht="15.75">
      <c r="A63" s="83" t="s">
        <v>496</v>
      </c>
      <c r="B63" s="83"/>
      <c r="C63" s="84"/>
      <c r="D63" s="14"/>
      <c r="E63" s="14"/>
    </row>
    <row r="64" spans="1:5" ht="15.75">
      <c r="A64" s="85" t="s">
        <v>497</v>
      </c>
      <c r="B64" s="85"/>
      <c r="C64" s="86"/>
      <c r="D64" s="14"/>
      <c r="E64" s="14"/>
    </row>
    <row r="65" spans="1:5" ht="15.75">
      <c r="A65" s="85" t="s">
        <v>498</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Bloomington Township</v>
      </c>
      <c r="B1" s="130"/>
      <c r="C1" s="130"/>
      <c r="D1" s="202">
        <f>inputPrYr!D5</f>
        <v>2012</v>
      </c>
    </row>
    <row r="2" spans="1:4" ht="15.75">
      <c r="A2" s="130"/>
      <c r="B2" s="130"/>
      <c r="C2" s="130"/>
      <c r="D2" s="203"/>
    </row>
    <row r="3" spans="1:4" ht="15.75">
      <c r="A3" s="194" t="s">
        <v>169</v>
      </c>
      <c r="B3" s="135"/>
      <c r="C3" s="135"/>
      <c r="D3" s="135"/>
    </row>
    <row r="4" spans="1:4" ht="15.75">
      <c r="A4" s="137" t="s">
        <v>58</v>
      </c>
      <c r="B4" s="340" t="s">
        <v>59</v>
      </c>
      <c r="C4" s="139" t="s">
        <v>60</v>
      </c>
      <c r="D4" s="139" t="s">
        <v>61</v>
      </c>
    </row>
    <row r="5" spans="1:4" ht="15.75">
      <c r="A5" s="569">
        <f>inputPrYr!B32</f>
        <v>0</v>
      </c>
      <c r="B5" s="144" t="str">
        <f>gen!C5</f>
        <v>Actual 2010</v>
      </c>
      <c r="C5" s="144" t="str">
        <f>gen!D5</f>
        <v>Estimate 2011</v>
      </c>
      <c r="D5" s="144" t="str">
        <f>gen!E5</f>
        <v>Year 2012</v>
      </c>
    </row>
    <row r="6" spans="1:4" ht="15.75">
      <c r="A6" s="348" t="s">
        <v>170</v>
      </c>
      <c r="B6" s="272"/>
      <c r="C6" s="277">
        <f>B29</f>
        <v>0</v>
      </c>
      <c r="D6" s="277">
        <f>C29</f>
        <v>0</v>
      </c>
    </row>
    <row r="7" spans="1:4" s="233" customFormat="1" ht="15.75">
      <c r="A7" s="349" t="s">
        <v>146</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577</v>
      </c>
      <c r="B12" s="272"/>
      <c r="C12" s="272"/>
      <c r="D12" s="272"/>
    </row>
    <row r="13" spans="1:4" ht="15.75">
      <c r="A13" s="310" t="s">
        <v>222</v>
      </c>
      <c r="B13" s="272"/>
      <c r="C13" s="303"/>
      <c r="D13" s="303"/>
    </row>
    <row r="14" spans="1:4" ht="15.75">
      <c r="A14" s="310" t="s">
        <v>223</v>
      </c>
      <c r="B14" s="316">
        <f>IF(B15*0.1&lt;B13,"Exceed 10% Rule","")</f>
      </c>
      <c r="C14" s="311">
        <f>IF(C15*0.1&lt;C13,"Exceed 10% Rule","")</f>
      </c>
      <c r="D14" s="311">
        <f>IF(D15*0.1&lt;D13,"Exceed 10% Rule","")</f>
      </c>
    </row>
    <row r="15" spans="1:4" ht="15.75">
      <c r="A15" s="314" t="s">
        <v>578</v>
      </c>
      <c r="B15" s="313">
        <f>SUM(B8:B13)</f>
        <v>0</v>
      </c>
      <c r="C15" s="313">
        <f>SUM(C8:C13)</f>
        <v>0</v>
      </c>
      <c r="D15" s="313">
        <f>SUM(D8:D13)</f>
        <v>0</v>
      </c>
    </row>
    <row r="16" spans="1:4" ht="15.75">
      <c r="A16" s="314" t="s">
        <v>579</v>
      </c>
      <c r="B16" s="313">
        <f>B6+B15</f>
        <v>0</v>
      </c>
      <c r="C16" s="313">
        <f>C6+C15</f>
        <v>0</v>
      </c>
      <c r="D16" s="313">
        <f>D6+D15</f>
        <v>0</v>
      </c>
    </row>
    <row r="17" spans="1:4" ht="15.75">
      <c r="A17" s="145" t="s">
        <v>580</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222</v>
      </c>
      <c r="B26" s="272"/>
      <c r="C26" s="303"/>
      <c r="D26" s="303"/>
    </row>
    <row r="27" spans="1:4" ht="15.75">
      <c r="A27" s="306" t="s">
        <v>404</v>
      </c>
      <c r="B27" s="316">
        <f>IF(B28*0.1&lt;B26,"Exceed 10% Rule","")</f>
      </c>
      <c r="C27" s="311">
        <f>IF(C28*0.1&lt;C26,"Exceed 10% Rule","")</f>
      </c>
      <c r="D27" s="311">
        <f>IF(D28*0.1&lt;D26,"Exceed 10% Rule","")</f>
      </c>
    </row>
    <row r="28" spans="1:4" ht="15.75">
      <c r="A28" s="314" t="s">
        <v>581</v>
      </c>
      <c r="B28" s="313">
        <f>SUM(B18:B26)</f>
        <v>0</v>
      </c>
      <c r="C28" s="313">
        <f>SUM(C18:C26)</f>
        <v>0</v>
      </c>
      <c r="D28" s="313">
        <f>SUM(D18:D26)</f>
        <v>0</v>
      </c>
    </row>
    <row r="29" spans="1:4" ht="15.75">
      <c r="A29" s="145" t="s">
        <v>145</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58</v>
      </c>
      <c r="B34" s="135"/>
      <c r="C34" s="135"/>
      <c r="D34" s="135"/>
    </row>
    <row r="35" spans="1:4" ht="15.75">
      <c r="A35" s="130"/>
      <c r="B35" s="340" t="s">
        <v>59</v>
      </c>
      <c r="C35" s="139" t="s">
        <v>60</v>
      </c>
      <c r="D35" s="139" t="s">
        <v>61</v>
      </c>
    </row>
    <row r="36" spans="1:4" ht="15.75">
      <c r="A36" s="570">
        <f>inputPrYr!B33</f>
        <v>0</v>
      </c>
      <c r="B36" s="144" t="str">
        <f>B5</f>
        <v>Actual 2010</v>
      </c>
      <c r="C36" s="144" t="str">
        <f>C5</f>
        <v>Estimate 2011</v>
      </c>
      <c r="D36" s="144" t="str">
        <f>D5</f>
        <v>Year 2012</v>
      </c>
    </row>
    <row r="37" spans="1:4" ht="15.75">
      <c r="A37" s="348" t="s">
        <v>170</v>
      </c>
      <c r="B37" s="272"/>
      <c r="C37" s="277">
        <f>B60</f>
        <v>0</v>
      </c>
      <c r="D37" s="277">
        <f>C60</f>
        <v>0</v>
      </c>
    </row>
    <row r="38" spans="1:4" s="233" customFormat="1" ht="15.75">
      <c r="A38" s="348" t="s">
        <v>146</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577</v>
      </c>
      <c r="B43" s="272"/>
      <c r="C43" s="272"/>
      <c r="D43" s="272"/>
    </row>
    <row r="44" spans="1:4" ht="15.75">
      <c r="A44" s="310" t="s">
        <v>222</v>
      </c>
      <c r="B44" s="272"/>
      <c r="C44" s="303"/>
      <c r="D44" s="303"/>
    </row>
    <row r="45" spans="1:4" ht="15.75">
      <c r="A45" s="310" t="s">
        <v>223</v>
      </c>
      <c r="B45" s="316">
        <f>IF(B46*0.1&lt;B44,"Exceed 10% Rule","")</f>
      </c>
      <c r="C45" s="311">
        <f>IF(C46*0.1&lt;C44,"Exceed 10% Rule","")</f>
      </c>
      <c r="D45" s="311">
        <f>IF(D46*0.1&lt;D44,"Exceed 10% Rule","")</f>
      </c>
    </row>
    <row r="46" spans="1:4" ht="15.75">
      <c r="A46" s="314" t="s">
        <v>578</v>
      </c>
      <c r="B46" s="313">
        <f>SUM(B39:B44)</f>
        <v>0</v>
      </c>
      <c r="C46" s="313">
        <f>SUM(C39:C44)</f>
        <v>0</v>
      </c>
      <c r="D46" s="313">
        <f>SUM(D39:D44)</f>
        <v>0</v>
      </c>
    </row>
    <row r="47" spans="1:4" ht="15.75">
      <c r="A47" s="314" t="s">
        <v>579</v>
      </c>
      <c r="B47" s="313">
        <f>B37+B46</f>
        <v>0</v>
      </c>
      <c r="C47" s="313">
        <f>C37+C46</f>
        <v>0</v>
      </c>
      <c r="D47" s="313">
        <f>D37+D46</f>
        <v>0</v>
      </c>
    </row>
    <row r="48" spans="1:4" ht="15.75">
      <c r="A48" s="145" t="s">
        <v>580</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222</v>
      </c>
      <c r="B57" s="272"/>
      <c r="C57" s="303"/>
      <c r="D57" s="303"/>
    </row>
    <row r="58" spans="1:4" ht="15.75">
      <c r="A58" s="306" t="s">
        <v>404</v>
      </c>
      <c r="B58" s="316">
        <f>IF(B59*0.1&lt;B57,"Exceed 10% Rule","")</f>
      </c>
      <c r="C58" s="311">
        <f>IF(C59*0.1&lt;C57,"Exceed 10% Rule","")</f>
      </c>
      <c r="D58" s="311">
        <f>IF(D59*0.1&lt;D57,"Exceed 10% Rule","")</f>
      </c>
    </row>
    <row r="59" spans="1:4" ht="15.75">
      <c r="A59" s="314" t="s">
        <v>581</v>
      </c>
      <c r="B59" s="313">
        <f>SUM(B49:B57)</f>
        <v>0</v>
      </c>
      <c r="C59" s="313">
        <f>SUM(C49:C57)</f>
        <v>0</v>
      </c>
      <c r="D59" s="313">
        <f>SUM(D49:D57)</f>
        <v>0</v>
      </c>
    </row>
    <row r="60" spans="1:4" ht="15.75">
      <c r="A60" s="145" t="s">
        <v>145</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57</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Bloomington Township</v>
      </c>
      <c r="B1" s="351"/>
      <c r="C1" s="181"/>
      <c r="D1" s="181"/>
      <c r="E1" s="181"/>
      <c r="F1" s="352" t="s">
        <v>674</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675</v>
      </c>
      <c r="B3" s="181"/>
      <c r="C3" s="181"/>
      <c r="D3" s="181"/>
      <c r="E3" s="181"/>
      <c r="F3" s="351"/>
      <c r="G3" s="181"/>
      <c r="H3" s="181"/>
      <c r="I3" s="181"/>
      <c r="J3" s="181"/>
      <c r="K3" s="181"/>
    </row>
    <row r="4" spans="1:11" ht="15.75">
      <c r="A4" s="181" t="s">
        <v>676</v>
      </c>
      <c r="B4" s="181"/>
      <c r="C4" s="181" t="s">
        <v>677</v>
      </c>
      <c r="D4" s="181"/>
      <c r="E4" s="181" t="s">
        <v>678</v>
      </c>
      <c r="F4" s="351"/>
      <c r="G4" s="181" t="s">
        <v>679</v>
      </c>
      <c r="H4" s="181"/>
      <c r="I4" s="181" t="s">
        <v>680</v>
      </c>
      <c r="J4" s="181"/>
      <c r="K4" s="181"/>
    </row>
    <row r="5" spans="1:11" ht="15.75">
      <c r="A5" s="718">
        <f>inputPrYr!B37</f>
        <v>0</v>
      </c>
      <c r="B5" s="717"/>
      <c r="C5" s="718">
        <f>inputPrYr!B38</f>
        <v>0</v>
      </c>
      <c r="D5" s="717"/>
      <c r="E5" s="718">
        <f>inputPrYr!B39</f>
        <v>0</v>
      </c>
      <c r="F5" s="717"/>
      <c r="G5" s="716">
        <f>inputPrYr!B40</f>
        <v>0</v>
      </c>
      <c r="H5" s="717"/>
      <c r="I5" s="716">
        <f>inputPrYr!B41</f>
        <v>0</v>
      </c>
      <c r="J5" s="717"/>
      <c r="K5" s="355"/>
    </row>
    <row r="6" spans="1:11" ht="15.75">
      <c r="A6" s="356" t="s">
        <v>681</v>
      </c>
      <c r="B6" s="357"/>
      <c r="C6" s="358" t="s">
        <v>681</v>
      </c>
      <c r="D6" s="359"/>
      <c r="E6" s="358" t="s">
        <v>681</v>
      </c>
      <c r="F6" s="360"/>
      <c r="G6" s="358" t="s">
        <v>681</v>
      </c>
      <c r="H6" s="354"/>
      <c r="I6" s="358" t="s">
        <v>681</v>
      </c>
      <c r="J6" s="181"/>
      <c r="K6" s="213" t="s">
        <v>775</v>
      </c>
    </row>
    <row r="7" spans="1:11" ht="15.75">
      <c r="A7" s="361" t="s">
        <v>682</v>
      </c>
      <c r="B7" s="362"/>
      <c r="C7" s="363" t="s">
        <v>682</v>
      </c>
      <c r="D7" s="362"/>
      <c r="E7" s="363" t="s">
        <v>682</v>
      </c>
      <c r="F7" s="362"/>
      <c r="G7" s="363" t="s">
        <v>682</v>
      </c>
      <c r="H7" s="362"/>
      <c r="I7" s="363" t="s">
        <v>682</v>
      </c>
      <c r="J7" s="362"/>
      <c r="K7" s="364">
        <f>SUM(B7+D7+F7+H7+J7)</f>
        <v>0</v>
      </c>
    </row>
    <row r="8" spans="1:11" ht="15.75">
      <c r="A8" s="365" t="s">
        <v>146</v>
      </c>
      <c r="B8" s="366"/>
      <c r="C8" s="365" t="s">
        <v>146</v>
      </c>
      <c r="D8" s="367"/>
      <c r="E8" s="365" t="s">
        <v>146</v>
      </c>
      <c r="F8" s="351"/>
      <c r="G8" s="365" t="s">
        <v>146</v>
      </c>
      <c r="H8" s="181"/>
      <c r="I8" s="365" t="s">
        <v>146</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578</v>
      </c>
      <c r="B17" s="364">
        <f>SUM(B9:B16)</f>
        <v>0</v>
      </c>
      <c r="C17" s="365" t="s">
        <v>578</v>
      </c>
      <c r="D17" s="364">
        <f>SUM(D9:D16)</f>
        <v>0</v>
      </c>
      <c r="E17" s="365" t="s">
        <v>578</v>
      </c>
      <c r="F17" s="378">
        <f>SUM(F9:F16)</f>
        <v>0</v>
      </c>
      <c r="G17" s="365" t="s">
        <v>578</v>
      </c>
      <c r="H17" s="364">
        <f>SUM(H9:H16)</f>
        <v>0</v>
      </c>
      <c r="I17" s="365" t="s">
        <v>578</v>
      </c>
      <c r="J17" s="364">
        <f>SUM(J9:J16)</f>
        <v>0</v>
      </c>
      <c r="K17" s="364">
        <f>SUM(B17+D17+F17+H17+J17)</f>
        <v>0</v>
      </c>
    </row>
    <row r="18" spans="1:11" ht="15.75">
      <c r="A18" s="365" t="s">
        <v>579</v>
      </c>
      <c r="B18" s="364">
        <f>SUM(B7+B17)</f>
        <v>0</v>
      </c>
      <c r="C18" s="365" t="s">
        <v>579</v>
      </c>
      <c r="D18" s="364">
        <f>SUM(D7+D17)</f>
        <v>0</v>
      </c>
      <c r="E18" s="365" t="s">
        <v>579</v>
      </c>
      <c r="F18" s="364">
        <f>SUM(F7+F17)</f>
        <v>0</v>
      </c>
      <c r="G18" s="365" t="s">
        <v>579</v>
      </c>
      <c r="H18" s="364">
        <f>SUM(H7+H17)</f>
        <v>0</v>
      </c>
      <c r="I18" s="365" t="s">
        <v>579</v>
      </c>
      <c r="J18" s="364">
        <f>SUM(J7+J17)</f>
        <v>0</v>
      </c>
      <c r="K18" s="364">
        <f>SUM(B18+D18+F18+H18+J18)</f>
        <v>0</v>
      </c>
    </row>
    <row r="19" spans="1:11" ht="15.75">
      <c r="A19" s="365" t="s">
        <v>580</v>
      </c>
      <c r="B19" s="366"/>
      <c r="C19" s="365" t="s">
        <v>580</v>
      </c>
      <c r="D19" s="367"/>
      <c r="E19" s="365" t="s">
        <v>580</v>
      </c>
      <c r="F19" s="351"/>
      <c r="G19" s="365" t="s">
        <v>580</v>
      </c>
      <c r="H19" s="181"/>
      <c r="I19" s="365" t="s">
        <v>580</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581</v>
      </c>
      <c r="B28" s="364">
        <f>SUM(B20:B27)</f>
        <v>0</v>
      </c>
      <c r="C28" s="365" t="s">
        <v>581</v>
      </c>
      <c r="D28" s="364">
        <f>SUM(D20:D27)</f>
        <v>0</v>
      </c>
      <c r="E28" s="365" t="s">
        <v>581</v>
      </c>
      <c r="F28" s="378">
        <f>SUM(F20:F27)</f>
        <v>0</v>
      </c>
      <c r="G28" s="365" t="s">
        <v>581</v>
      </c>
      <c r="H28" s="378">
        <f>SUM(H20:H27)</f>
        <v>0</v>
      </c>
      <c r="I28" s="365" t="s">
        <v>581</v>
      </c>
      <c r="J28" s="364">
        <f>SUM(J20:J27)</f>
        <v>0</v>
      </c>
      <c r="K28" s="364">
        <f>SUM(B28+D28+F28+H28+J28)</f>
        <v>0</v>
      </c>
    </row>
    <row r="29" spans="1:12" ht="15.75">
      <c r="A29" s="365" t="s">
        <v>683</v>
      </c>
      <c r="B29" s="364">
        <f>SUM(B18-B28)</f>
        <v>0</v>
      </c>
      <c r="C29" s="365" t="s">
        <v>683</v>
      </c>
      <c r="D29" s="364">
        <f>SUM(D18-D28)</f>
        <v>0</v>
      </c>
      <c r="E29" s="365" t="s">
        <v>683</v>
      </c>
      <c r="F29" s="364">
        <f>SUM(F18-F28)</f>
        <v>0</v>
      </c>
      <c r="G29" s="365" t="s">
        <v>683</v>
      </c>
      <c r="H29" s="364">
        <f>SUM(H18-H28)</f>
        <v>0</v>
      </c>
      <c r="I29" s="365" t="s">
        <v>683</v>
      </c>
      <c r="J29" s="364">
        <f>SUM(J18-J28)</f>
        <v>0</v>
      </c>
      <c r="K29" s="379">
        <f>SUM(B29+D29+F29+H29+J29)</f>
        <v>0</v>
      </c>
      <c r="L29" s="182" t="s">
        <v>684</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684</v>
      </c>
    </row>
    <row r="31" spans="1:11" ht="15.75">
      <c r="A31" s="181"/>
      <c r="B31" s="380"/>
      <c r="C31" s="181"/>
      <c r="D31" s="351"/>
      <c r="E31" s="181"/>
      <c r="F31" s="181"/>
      <c r="G31" s="381" t="s">
        <v>685</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57</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31">
      <selection activeCell="B2" sqref="B2"/>
    </sheetView>
  </sheetViews>
  <sheetFormatPr defaultColWidth="8.796875" defaultRowHeight="15.75"/>
  <cols>
    <col min="1" max="1" width="62.3984375" style="177" customWidth="1"/>
    <col min="2" max="16384" width="8.796875" style="177" customWidth="1"/>
  </cols>
  <sheetData>
    <row r="1" ht="20.25">
      <c r="A1" s="480" t="s">
        <v>693</v>
      </c>
    </row>
    <row r="2" ht="54.75" customHeight="1">
      <c r="A2" s="416" t="s">
        <v>694</v>
      </c>
    </row>
    <row r="3" ht="15.75">
      <c r="A3" s="417"/>
    </row>
    <row r="4" ht="56.25" customHeight="1">
      <c r="A4" s="416" t="s">
        <v>695</v>
      </c>
    </row>
    <row r="5" ht="15.75">
      <c r="A5" s="182"/>
    </row>
    <row r="6" ht="50.25" customHeight="1">
      <c r="A6" s="416" t="s">
        <v>696</v>
      </c>
    </row>
    <row r="7" ht="16.5" customHeight="1">
      <c r="A7" s="416"/>
    </row>
    <row r="8" ht="50.25" customHeight="1">
      <c r="A8" s="479" t="s">
        <v>713</v>
      </c>
    </row>
    <row r="9" ht="15.75">
      <c r="A9" s="417"/>
    </row>
    <row r="10" ht="40.5" customHeight="1">
      <c r="A10" s="416" t="s">
        <v>697</v>
      </c>
    </row>
    <row r="11" ht="15.75">
      <c r="A11" s="182"/>
    </row>
    <row r="12" ht="40.5" customHeight="1">
      <c r="A12" s="416" t="s">
        <v>820</v>
      </c>
    </row>
    <row r="13" ht="15.75">
      <c r="A13" s="417"/>
    </row>
    <row r="14" ht="71.25" customHeight="1">
      <c r="A14" s="416" t="s">
        <v>821</v>
      </c>
    </row>
    <row r="15" ht="15.75">
      <c r="A15" s="417"/>
    </row>
    <row r="16" ht="40.5" customHeight="1">
      <c r="A16" s="416" t="s">
        <v>822</v>
      </c>
    </row>
    <row r="17" ht="15.75">
      <c r="A17" s="182"/>
    </row>
    <row r="18" ht="49.5" customHeight="1">
      <c r="A18" s="416" t="s">
        <v>823</v>
      </c>
    </row>
    <row r="19" ht="15.75">
      <c r="A19" s="417"/>
    </row>
    <row r="20" ht="52.5" customHeight="1">
      <c r="A20" s="416" t="s">
        <v>824</v>
      </c>
    </row>
    <row r="21" ht="15.75">
      <c r="A21" s="417"/>
    </row>
    <row r="22" ht="48.75" customHeight="1">
      <c r="A22" s="416" t="s">
        <v>825</v>
      </c>
    </row>
    <row r="23" ht="15.75">
      <c r="A23" s="417"/>
    </row>
    <row r="24" ht="15.75">
      <c r="A24" s="182"/>
    </row>
    <row r="25" ht="51.75" customHeight="1">
      <c r="A25" s="416" t="s">
        <v>826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PageLayoutView="0" workbookViewId="0" topLeftCell="A4">
      <selection activeCell="G19" sqref="G19"/>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96</v>
      </c>
      <c r="C1" s="25"/>
      <c r="D1" s="25"/>
      <c r="E1" s="25"/>
      <c r="F1" s="25"/>
      <c r="G1" s="25"/>
      <c r="H1" s="25"/>
      <c r="I1" s="25">
        <f>inputPrYr!D5</f>
        <v>2012</v>
      </c>
    </row>
    <row r="2" spans="2:9" ht="15.75">
      <c r="B2" s="16"/>
      <c r="C2" s="16"/>
      <c r="D2" s="16"/>
      <c r="E2" s="16"/>
      <c r="F2" s="16"/>
      <c r="G2" s="18" t="s">
        <v>592</v>
      </c>
      <c r="H2" s="18" t="s">
        <v>593</v>
      </c>
      <c r="I2" s="16"/>
    </row>
    <row r="3" spans="2:9" ht="15.75">
      <c r="B3" s="724" t="s">
        <v>594</v>
      </c>
      <c r="C3" s="724"/>
      <c r="D3" s="724"/>
      <c r="E3" s="724"/>
      <c r="F3" s="724"/>
      <c r="G3" s="724"/>
      <c r="H3" s="724"/>
      <c r="I3" s="724"/>
    </row>
    <row r="4" spans="2:9" ht="15.75">
      <c r="B4" s="729" t="str">
        <f>inputPrYr!D2</f>
        <v>Bloomington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August 25, 2011 at 8:00 p.m. at Haverhill Christian Church at 10275 SW Haverhill Rd., Augusta for the purpose of hearing and</v>
      </c>
      <c r="C6" s="728"/>
      <c r="D6" s="728"/>
      <c r="E6" s="728"/>
      <c r="F6" s="728"/>
      <c r="G6" s="728"/>
      <c r="H6" s="728"/>
      <c r="I6" s="728"/>
    </row>
    <row r="7" spans="2:9" ht="15.75">
      <c r="B7" s="37" t="s">
        <v>440</v>
      </c>
      <c r="C7" s="25"/>
      <c r="D7" s="25"/>
      <c r="E7" s="25"/>
      <c r="F7" s="25"/>
      <c r="G7" s="25"/>
      <c r="H7" s="25"/>
      <c r="I7" s="25"/>
    </row>
    <row r="8" spans="2:9" ht="15.75">
      <c r="B8" s="434" t="str">
        <f>CONCATENATE("Detailed budget information is available at ",inputBudSum!B12," and will be available at this hearing.")</f>
        <v>Detailed budget information is available at Haverhill Christian Church at 10275 SW Haverhill Rd., Augusta and will be available at this hearing.</v>
      </c>
      <c r="C8" s="435"/>
      <c r="D8" s="435"/>
      <c r="E8" s="435"/>
      <c r="F8" s="435"/>
      <c r="G8" s="435"/>
      <c r="H8" s="435"/>
      <c r="I8" s="435"/>
    </row>
    <row r="9" spans="2:9" ht="15.75">
      <c r="B9" s="36" t="s">
        <v>97</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587</v>
      </c>
      <c r="E14" s="26"/>
      <c r="F14" s="654" t="s">
        <v>587</v>
      </c>
      <c r="G14" s="30"/>
      <c r="H14" s="725" t="str">
        <f>CONCATENATE("Amount of ",I1-1," Ad Valorem Tax")</f>
        <v>Amount of 2011 Ad Valorem Tax</v>
      </c>
      <c r="I14" s="26" t="s">
        <v>595</v>
      </c>
      <c r="J14" s="11"/>
    </row>
    <row r="15" spans="2:10" ht="15.75">
      <c r="B15" s="16"/>
      <c r="C15" s="44"/>
      <c r="D15" s="44" t="s">
        <v>596</v>
      </c>
      <c r="E15" s="44"/>
      <c r="F15" s="44" t="s">
        <v>596</v>
      </c>
      <c r="G15" s="655" t="s">
        <v>218</v>
      </c>
      <c r="H15" s="726"/>
      <c r="I15" s="44" t="s">
        <v>596</v>
      </c>
      <c r="J15" s="11"/>
    </row>
    <row r="16" spans="2:10" ht="15.75">
      <c r="B16" s="45" t="s">
        <v>334</v>
      </c>
      <c r="C16" s="27" t="s">
        <v>597</v>
      </c>
      <c r="D16" s="27" t="s">
        <v>598</v>
      </c>
      <c r="E16" s="27" t="s">
        <v>597</v>
      </c>
      <c r="F16" s="27" t="s">
        <v>598</v>
      </c>
      <c r="G16" s="647" t="s">
        <v>377</v>
      </c>
      <c r="H16" s="727"/>
      <c r="I16" s="27" t="s">
        <v>598</v>
      </c>
      <c r="J16" s="11"/>
    </row>
    <row r="17" spans="2:10" ht="15.75">
      <c r="B17" s="15" t="str">
        <f>inputPrYr!B16</f>
        <v>General</v>
      </c>
      <c r="C17" s="580">
        <f>IF(gen!$C$50&lt;&gt;0,gen!$C$50,"  ")</f>
        <v>18817</v>
      </c>
      <c r="D17" s="585">
        <f>IF(inputPrYr!D45&gt;0,inputPrYr!D45,"  ")</f>
        <v>6.814</v>
      </c>
      <c r="E17" s="580">
        <f>IF(gen!$D$50&lt;&gt;0,gen!$D$50,"  ")</f>
        <v>25460</v>
      </c>
      <c r="F17" s="585">
        <f>IF(inputOth!D17&gt;0,inputOth!D17,"  ")</f>
        <v>2.48</v>
      </c>
      <c r="G17" s="580">
        <f>IF(gen!$E$50&lt;&gt;0,gen!$E$50,"  ")</f>
        <v>25500</v>
      </c>
      <c r="H17" s="580">
        <f>IF(gen!$E$57&lt;&gt;0,gen!$E$57," ")</f>
        <v>24013</v>
      </c>
      <c r="I17" s="588">
        <f>IF(gen!E57&gt;0,ROUND(H17/$G$39*1000,3)," ")</f>
        <v>6.519</v>
      </c>
      <c r="J17" s="11"/>
    </row>
    <row r="18" spans="2:10" ht="15.75">
      <c r="B18" s="15" t="s">
        <v>349</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101194</v>
      </c>
      <c r="D19" s="585">
        <f>IF(inputPrYr!D47&gt;0,inputPrYr!D47,"  ")</f>
        <v>24.917</v>
      </c>
      <c r="E19" s="580">
        <f>IF(road!$D$43&lt;&gt;0,road!$D$43,"  ")</f>
        <v>132393</v>
      </c>
      <c r="F19" s="585">
        <f>IF(inputOth!D19&gt;0,inputOth!D19,"  ")</f>
        <v>29.217</v>
      </c>
      <c r="G19" s="580">
        <f>IF(road!$E$43&lt;&gt;0,road!$E$43,"  ")</f>
        <v>132393</v>
      </c>
      <c r="H19" s="580">
        <f>IF(road!$E$50&lt;&gt;0,road!$E$50,"  ")</f>
        <v>101097</v>
      </c>
      <c r="I19" s="588">
        <f>IF(road!E50&gt;0,ROUND(H19/$G$39*1000,3)," ")</f>
        <v>27.445</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412</v>
      </c>
      <c r="L25" s="628"/>
      <c r="M25" s="628"/>
      <c r="N25" s="629">
        <f>ROUND(G39/1000,0)</f>
        <v>3684</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31.697</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f>IF(N31&gt;0,"Increased By:","")</f>
      </c>
      <c r="L31" s="634"/>
      <c r="M31" s="634"/>
      <c r="N31" s="635">
        <f>IF(N38&lt;0,N38*-1,0)</f>
        <v>0</v>
      </c>
    </row>
    <row r="32" spans="2:14" ht="15.75">
      <c r="B32" s="15" t="str">
        <f>IF((inputPrYr!$B37&gt;"  "),(nonbud!$A3),"  ")</f>
        <v>  </v>
      </c>
      <c r="C32" s="384" t="str">
        <f>IF((nonbud!$K$28)&lt;&gt;0,(nonbud!$K$28),"  ")</f>
        <v>  </v>
      </c>
      <c r="D32" s="585"/>
      <c r="E32" s="580"/>
      <c r="F32" s="585"/>
      <c r="G32" s="580"/>
      <c r="H32" s="580"/>
      <c r="I32" s="585"/>
      <c r="K32" s="636" t="str">
        <f>IF($N$32&lt;0,"Reduced By:","")</f>
        <v>Reduced By:</v>
      </c>
      <c r="L32" s="613"/>
      <c r="M32" s="613"/>
      <c r="N32" s="637">
        <f>IF(N38&gt;0,N38*-1,0)</f>
        <v>-8350</v>
      </c>
    </row>
    <row r="33" spans="2:14" ht="16.5" thickBot="1">
      <c r="B33" s="31" t="s">
        <v>336</v>
      </c>
      <c r="C33" s="581">
        <f>IF(road!C65&lt;&gt;0,road!C65,"  ")</f>
        <v>55060</v>
      </c>
      <c r="D33" s="586"/>
      <c r="E33" s="581"/>
      <c r="F33" s="586"/>
      <c r="G33" s="581"/>
      <c r="H33" s="581"/>
      <c r="I33" s="586"/>
      <c r="K33" s="638"/>
      <c r="L33" s="638"/>
      <c r="M33" s="638"/>
      <c r="N33" s="638"/>
    </row>
    <row r="34" spans="2:14" ht="15.75">
      <c r="B34" s="31" t="s">
        <v>337</v>
      </c>
      <c r="C34" s="582">
        <f aca="true" t="shared" si="0" ref="C34:I34">SUM(C17:C33)</f>
        <v>175071</v>
      </c>
      <c r="D34" s="587">
        <f t="shared" si="0"/>
        <v>31.731</v>
      </c>
      <c r="E34" s="582">
        <f t="shared" si="0"/>
        <v>157853</v>
      </c>
      <c r="F34" s="587">
        <f t="shared" si="0"/>
        <v>31.697</v>
      </c>
      <c r="G34" s="582">
        <f t="shared" si="0"/>
        <v>157893</v>
      </c>
      <c r="H34" s="582">
        <f t="shared" si="0"/>
        <v>125110</v>
      </c>
      <c r="I34" s="587">
        <f t="shared" si="0"/>
        <v>33.964</v>
      </c>
      <c r="K34" s="719" t="str">
        <f>CONCATENATE("Impact On Keeping The Same Mill Rate As For ",I1-1,"")</f>
        <v>Impact On Keeping The Same Mill Rate As For 2011</v>
      </c>
      <c r="L34" s="722"/>
      <c r="M34" s="722"/>
      <c r="N34" s="723"/>
    </row>
    <row r="35" spans="2:14" ht="15.75">
      <c r="B35" s="31" t="s">
        <v>599</v>
      </c>
      <c r="C35" s="580">
        <f>transfer!C29</f>
        <v>33830</v>
      </c>
      <c r="D35" s="16"/>
      <c r="E35" s="580">
        <f>transfer!D29</f>
        <v>0</v>
      </c>
      <c r="F35" s="28"/>
      <c r="G35" s="580">
        <f>transfer!E29</f>
        <v>0</v>
      </c>
      <c r="H35" s="16"/>
      <c r="I35" s="16"/>
      <c r="K35" s="630"/>
      <c r="L35" s="625"/>
      <c r="M35" s="625"/>
      <c r="N35" s="631"/>
    </row>
    <row r="36" spans="2:14" ht="16.5" thickBot="1">
      <c r="B36" s="31" t="s">
        <v>600</v>
      </c>
      <c r="C36" s="583">
        <f>C34-C35</f>
        <v>141241</v>
      </c>
      <c r="D36" s="16"/>
      <c r="E36" s="583">
        <f>E34-E35</f>
        <v>157853</v>
      </c>
      <c r="F36" s="16"/>
      <c r="G36" s="583">
        <f>G34-G35</f>
        <v>157893</v>
      </c>
      <c r="H36" s="16"/>
      <c r="I36" s="16"/>
      <c r="K36" s="630" t="str">
        <f>CONCATENATE("",I1," Ad Valorem Tax Revenue:")</f>
        <v>2012 Ad Valorem Tax Revenue:</v>
      </c>
      <c r="L36" s="625"/>
      <c r="M36" s="625"/>
      <c r="N36" s="626">
        <f>H34</f>
        <v>125110</v>
      </c>
    </row>
    <row r="37" spans="2:14" ht="16.5" thickTop="1">
      <c r="B37" s="31" t="s">
        <v>601</v>
      </c>
      <c r="C37" s="584">
        <f>inputPrYr!E58</f>
        <v>114038</v>
      </c>
      <c r="D37" s="28"/>
      <c r="E37" s="584">
        <f>inputPrYr!E27</f>
        <v>114632</v>
      </c>
      <c r="F37" s="16"/>
      <c r="G37" s="573" t="s">
        <v>338</v>
      </c>
      <c r="H37" s="16"/>
      <c r="I37" s="16"/>
      <c r="K37" s="630" t="str">
        <f>CONCATENATE("",I1-1," Ad Valorem Tax Revenue:")</f>
        <v>2011 Ad Valorem Tax Revenue:</v>
      </c>
      <c r="L37" s="625"/>
      <c r="M37" s="625"/>
      <c r="N37" s="639">
        <f>ROUND(G39*N29/1000,0)</f>
        <v>116760</v>
      </c>
    </row>
    <row r="38" spans="2:14" ht="15.75">
      <c r="B38" s="645" t="s">
        <v>602</v>
      </c>
      <c r="C38" s="16"/>
      <c r="D38" s="28"/>
      <c r="E38" s="16"/>
      <c r="F38" s="28"/>
      <c r="G38" s="16"/>
      <c r="H38" s="16"/>
      <c r="I38" s="16"/>
      <c r="K38" s="640" t="s">
        <v>375</v>
      </c>
      <c r="L38" s="641"/>
      <c r="M38" s="641"/>
      <c r="N38" s="629">
        <f>N36-N37</f>
        <v>8350</v>
      </c>
    </row>
    <row r="39" spans="2:14" ht="15.75">
      <c r="B39" s="644" t="s">
        <v>603</v>
      </c>
      <c r="C39" s="646">
        <f>inputPrYr!E59</f>
        <v>3593959</v>
      </c>
      <c r="D39" s="16"/>
      <c r="E39" s="15">
        <f>inputOth!E30</f>
        <v>3616559</v>
      </c>
      <c r="F39" s="16"/>
      <c r="G39" s="15">
        <f>inputOth!E7</f>
        <v>3683640</v>
      </c>
      <c r="H39" s="16"/>
      <c r="I39" s="16"/>
      <c r="K39" s="642"/>
      <c r="L39" s="642"/>
      <c r="M39" s="642"/>
      <c r="N39" s="638"/>
    </row>
    <row r="40" spans="2:14" ht="15.75">
      <c r="B40" s="18" t="s">
        <v>604</v>
      </c>
      <c r="C40" s="16"/>
      <c r="D40" s="16"/>
      <c r="E40" s="16"/>
      <c r="F40" s="16"/>
      <c r="G40" s="16"/>
      <c r="H40" s="16"/>
      <c r="I40" s="16"/>
      <c r="K40" s="719" t="s">
        <v>376</v>
      </c>
      <c r="L40" s="720"/>
      <c r="M40" s="720"/>
      <c r="N40" s="721"/>
    </row>
    <row r="41" spans="2:14" ht="15.75">
      <c r="B41" s="18" t="s">
        <v>605</v>
      </c>
      <c r="C41" s="46">
        <f>I1-3</f>
        <v>2009</v>
      </c>
      <c r="D41" s="16"/>
      <c r="E41" s="46">
        <f>I1-2</f>
        <v>2010</v>
      </c>
      <c r="F41" s="16"/>
      <c r="G41" s="46">
        <f>I1-1</f>
        <v>2011</v>
      </c>
      <c r="H41" s="16"/>
      <c r="I41" s="16"/>
      <c r="K41" s="630"/>
      <c r="L41" s="625"/>
      <c r="M41" s="625"/>
      <c r="N41" s="631"/>
    </row>
    <row r="42" spans="2:14" ht="15.75">
      <c r="B42" s="18" t="s">
        <v>606</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33.964</v>
      </c>
    </row>
    <row r="43" spans="2:14" ht="15.75">
      <c r="B43" s="18" t="s">
        <v>69</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607</v>
      </c>
      <c r="C44" s="66">
        <f>inputPrYr!D65</f>
        <v>0</v>
      </c>
      <c r="D44" s="74"/>
      <c r="E44" s="66">
        <f>inputPrYr!E65</f>
        <v>0</v>
      </c>
      <c r="F44" s="74"/>
      <c r="G44" s="66">
        <f>debt!F36</f>
        <v>74887</v>
      </c>
      <c r="H44" s="16"/>
      <c r="I44" s="16"/>
      <c r="K44" s="630" t="str">
        <f>CONCATENATE("",I1," Ad Valorem Tax:")</f>
        <v>2012 Ad Valorem Tax:</v>
      </c>
      <c r="L44" s="625"/>
      <c r="M44" s="625"/>
      <c r="N44" s="639">
        <f>ROUND(G39*N43/1000,0)</f>
        <v>0</v>
      </c>
    </row>
    <row r="45" spans="2:14" ht="16.5" thickBot="1">
      <c r="B45" s="18" t="s">
        <v>608</v>
      </c>
      <c r="C45" s="99">
        <f>SUM(C42:C44)</f>
        <v>0</v>
      </c>
      <c r="D45" s="74"/>
      <c r="E45" s="99">
        <f>SUM(E42:E44)</f>
        <v>0</v>
      </c>
      <c r="F45" s="74"/>
      <c r="G45" s="99">
        <f>SUM(G42:G44)</f>
        <v>74887</v>
      </c>
      <c r="H45" s="16"/>
      <c r="I45" s="16"/>
      <c r="K45" s="640" t="str">
        <f>CONCATENATE("",I1," Tax Levy Fund Exp. Changed By:")</f>
        <v>2012 Tax Levy Fund Exp. Changed By:</v>
      </c>
      <c r="L45" s="641"/>
      <c r="M45" s="641"/>
      <c r="N45" s="629">
        <f>IF(N43=0,0,(N44-H34))</f>
        <v>0</v>
      </c>
    </row>
    <row r="46" spans="2:9" ht="16.5" thickTop="1">
      <c r="B46" s="18" t="s">
        <v>609</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610</v>
      </c>
      <c r="C49" s="25"/>
      <c r="D49" s="16"/>
      <c r="E49" s="16"/>
      <c r="F49" s="16"/>
      <c r="G49" s="16"/>
      <c r="H49" s="16"/>
      <c r="I49" s="16"/>
    </row>
    <row r="50" spans="2:9" ht="15.75">
      <c r="B50" s="16"/>
      <c r="C50" s="16"/>
      <c r="D50" s="16"/>
      <c r="E50" s="16"/>
      <c r="F50" s="16"/>
      <c r="G50" s="16"/>
      <c r="H50" s="16"/>
      <c r="I50" s="16"/>
    </row>
    <row r="51" spans="2:9" ht="15.75">
      <c r="B51" s="16"/>
      <c r="C51" s="24" t="s">
        <v>57</v>
      </c>
      <c r="D51" s="126">
        <v>10</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Bloomington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221</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3683640</v>
      </c>
      <c r="E20" s="16"/>
      <c r="F20" s="54"/>
    </row>
    <row r="21" spans="1:6" ht="15.75">
      <c r="A21" s="16"/>
      <c r="B21" s="16"/>
      <c r="C21" s="16"/>
      <c r="D21" s="16"/>
      <c r="E21" s="16"/>
      <c r="F21" s="54"/>
    </row>
    <row r="22" spans="1:6" ht="15.75">
      <c r="A22" s="16"/>
      <c r="B22" s="736" t="s">
        <v>421</v>
      </c>
      <c r="C22" s="736"/>
      <c r="D22" s="108">
        <f>IF(D20&gt;0,(D20*0.001),"")</f>
        <v>3683.64</v>
      </c>
      <c r="E22" s="16"/>
      <c r="F22" s="54"/>
    </row>
    <row r="23" spans="1:6" ht="15.75">
      <c r="A23" s="16"/>
      <c r="B23" s="71"/>
      <c r="C23" s="71"/>
      <c r="D23" s="109"/>
      <c r="E23" s="16"/>
      <c r="F23" s="54"/>
    </row>
    <row r="24" spans="1:6" ht="15.75">
      <c r="A24" s="732" t="s">
        <v>427</v>
      </c>
      <c r="B24" s="737"/>
      <c r="C24" s="737"/>
      <c r="D24" s="111">
        <f>inputOth!E13</f>
        <v>0</v>
      </c>
      <c r="E24" s="77"/>
      <c r="F24" s="77"/>
    </row>
    <row r="25" spans="1:6" ht="15.75">
      <c r="A25" s="77"/>
      <c r="B25" s="77"/>
      <c r="C25" s="77"/>
      <c r="D25" s="112"/>
      <c r="E25" s="77"/>
      <c r="F25" s="77"/>
    </row>
    <row r="26" spans="1:6" ht="15.75">
      <c r="A26" s="77"/>
      <c r="B26" s="732" t="s">
        <v>428</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652</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57</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740" t="s">
        <v>155</v>
      </c>
      <c r="B1" s="740"/>
      <c r="C1" s="740"/>
      <c r="D1" s="740"/>
      <c r="E1" s="740"/>
      <c r="F1" s="740"/>
      <c r="G1" s="740"/>
    </row>
    <row r="2" ht="15.75">
      <c r="A2" s="57"/>
    </row>
    <row r="3" spans="1:7" ht="15.75">
      <c r="A3" s="741" t="s">
        <v>156</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Bloomington Township </v>
      </c>
      <c r="I6">
        <f>CONCATENATE(I7)</f>
      </c>
    </row>
    <row r="7" spans="1:7" ht="15.75">
      <c r="A7" s="742" t="str">
        <f>CONCATENATE("   with respect to financing the ",inputPrYr!D5," annual budget for ",(inputPrYr!D2)," , ",(inputPrYr!D3)," , Kansas.")</f>
        <v>   with respect to financing the 2012 annual budget for Bloomington Township , Butler County , Kansas.</v>
      </c>
      <c r="B7" s="739"/>
      <c r="C7" s="739"/>
      <c r="D7" s="739"/>
      <c r="E7" s="739"/>
      <c r="F7" s="739"/>
      <c r="G7" s="739"/>
    </row>
    <row r="8" spans="1:7" ht="15.75">
      <c r="A8" s="739"/>
      <c r="B8" s="739"/>
      <c r="C8" s="739"/>
      <c r="D8" s="739"/>
      <c r="E8" s="739"/>
      <c r="F8" s="739"/>
      <c r="G8" s="739"/>
    </row>
    <row r="9" ht="15.75">
      <c r="A9" s="57"/>
    </row>
    <row r="10" ht="15.75">
      <c r="A10" s="65" t="s">
        <v>157</v>
      </c>
    </row>
    <row r="11" ht="15.75">
      <c r="A11" s="63" t="str">
        <f>CONCATENATE("to finance the ",inputPrYr!D5," ",(inputPrYr!D2)," budget exceed the amount levied to finance the ",inputPrYr!D5-1,"")</f>
        <v>to finance the 2012 Bloomington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Bloomington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162</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158</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Bloomington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159</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Bloomington Township of Butler County, Kansas that is our desire to notify the public of increased property taxes to finance the 2012 Bloomington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Bloomington Township Board, Butler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Bloomington Township Board</v>
      </c>
      <c r="E33" s="744"/>
      <c r="F33" s="744"/>
      <c r="G33" s="744"/>
    </row>
    <row r="35" spans="4:7" ht="15.75">
      <c r="D35" s="745" t="s">
        <v>160</v>
      </c>
      <c r="E35" s="745"/>
      <c r="F35" s="745"/>
      <c r="G35" s="745"/>
    </row>
    <row r="36" spans="1:7" ht="15.75">
      <c r="A36" s="61"/>
      <c r="D36" s="745" t="s">
        <v>164</v>
      </c>
      <c r="E36" s="745"/>
      <c r="F36" s="745"/>
      <c r="G36" s="745"/>
    </row>
    <row r="37" spans="4:7" ht="15.75">
      <c r="D37" s="745"/>
      <c r="E37" s="745"/>
      <c r="F37" s="745"/>
      <c r="G37" s="745"/>
    </row>
    <row r="38" spans="4:7" ht="15.75">
      <c r="D38" s="745" t="s">
        <v>160</v>
      </c>
      <c r="E38" s="745"/>
      <c r="F38" s="745"/>
      <c r="G38" s="745"/>
    </row>
    <row r="39" spans="1:7" ht="15.75">
      <c r="A39" s="60"/>
      <c r="D39" s="745" t="s">
        <v>165</v>
      </c>
      <c r="E39" s="745"/>
      <c r="F39" s="745"/>
      <c r="G39" s="745"/>
    </row>
    <row r="40" spans="4:7" ht="15.75">
      <c r="D40" s="745"/>
      <c r="E40" s="745"/>
      <c r="F40" s="745"/>
      <c r="G40" s="745"/>
    </row>
    <row r="41" spans="4:7" ht="15.75">
      <c r="D41" s="745" t="s">
        <v>163</v>
      </c>
      <c r="E41" s="745"/>
      <c r="F41" s="745"/>
      <c r="G41" s="745"/>
    </row>
    <row r="42" spans="1:7" ht="15.75">
      <c r="A42" s="60"/>
      <c r="D42" s="745" t="s">
        <v>166</v>
      </c>
      <c r="E42" s="745"/>
      <c r="F42" s="745"/>
      <c r="G42" s="745"/>
    </row>
    <row r="43" ht="15.75">
      <c r="A43" s="62"/>
    </row>
    <row r="44" ht="15.75">
      <c r="A44" s="62"/>
    </row>
    <row r="45" ht="15.75">
      <c r="A45" s="62" t="s">
        <v>161</v>
      </c>
    </row>
    <row r="50" spans="3:4" ht="15.75">
      <c r="C50" s="73" t="s">
        <v>57</v>
      </c>
      <c r="D50" s="100">
        <v>11</v>
      </c>
    </row>
  </sheetData>
  <sheetProtection sheet="1" objects="1" scenarios="1"/>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9">
      <selection activeCell="A24" sqref="A24"/>
    </sheetView>
  </sheetViews>
  <sheetFormatPr defaultColWidth="8.796875" defaultRowHeight="15.75"/>
  <cols>
    <col min="1" max="1" width="64.19921875" style="0" customWidth="1"/>
    <col min="2" max="16384" width="8.796875" style="177" customWidth="1"/>
  </cols>
  <sheetData>
    <row r="3" ht="15.75">
      <c r="A3" s="441" t="s">
        <v>446</v>
      </c>
    </row>
    <row r="5" ht="15.75">
      <c r="A5" s="442" t="s">
        <v>447</v>
      </c>
    </row>
    <row r="6" ht="15.75">
      <c r="A6" s="442" t="str">
        <f>CONCATENATE(inputPrYr!D5-2," 'total expenditures' exceed your ",inputPrYr!D5-2," 'budget authority.'")</f>
        <v>2010 'total expenditures' exceed your 2010 'budget authority.'</v>
      </c>
    </row>
    <row r="7" ht="15.75">
      <c r="A7" s="442"/>
    </row>
    <row r="8" ht="15.75">
      <c r="A8" s="442" t="s">
        <v>448</v>
      </c>
    </row>
    <row r="9" ht="15.75">
      <c r="A9" s="442" t="s">
        <v>449</v>
      </c>
    </row>
    <row r="10" ht="15.75">
      <c r="A10" s="442" t="s">
        <v>450</v>
      </c>
    </row>
    <row r="11" ht="15.75">
      <c r="A11" s="442"/>
    </row>
    <row r="12" ht="15.75">
      <c r="A12" s="442"/>
    </row>
    <row r="13" ht="15.75">
      <c r="A13" s="443" t="s">
        <v>451</v>
      </c>
    </row>
    <row r="15" ht="15.75">
      <c r="A15" s="442" t="s">
        <v>452</v>
      </c>
    </row>
    <row r="16" ht="15.75">
      <c r="A16" s="442" t="str">
        <f>CONCATENATE("(i.e. an audit has not been completed, or the ",inputPrYr!D5," adopted")</f>
        <v>(i.e. an audit has not been completed, or the 2012 adopted</v>
      </c>
    </row>
    <row r="17" ht="15.75">
      <c r="A17" s="442" t="s">
        <v>453</v>
      </c>
    </row>
    <row r="18" ht="15.75">
      <c r="A18" s="442" t="s">
        <v>454</v>
      </c>
    </row>
    <row r="19" ht="15.75">
      <c r="A19" s="442" t="s">
        <v>455</v>
      </c>
    </row>
    <row r="21" ht="15.75">
      <c r="A21" s="443" t="s">
        <v>456</v>
      </c>
    </row>
    <row r="22" ht="15.75">
      <c r="A22" s="443"/>
    </row>
    <row r="23" ht="15.75">
      <c r="A23" s="442" t="s">
        <v>457</v>
      </c>
    </row>
    <row r="24" ht="15.75">
      <c r="A24" s="442" t="s">
        <v>458</v>
      </c>
    </row>
    <row r="25" ht="15.75">
      <c r="A25" s="442" t="str">
        <f>CONCATENATE("particular fund.  If your ",inputPrYr!D5-2," budget was amended, did you")</f>
        <v>particular fund.  If your 2010 budget was amended, did you</v>
      </c>
    </row>
    <row r="26" ht="15.75">
      <c r="A26" s="442" t="s">
        <v>459</v>
      </c>
    </row>
    <row r="27" ht="15.75">
      <c r="A27" s="442"/>
    </row>
    <row r="28" ht="15.75">
      <c r="A28" s="442" t="str">
        <f>CONCATENATE("Next, look to see if any of your ",inputPrYr!D5-2," expenditures can be")</f>
        <v>Next, look to see if any of your 2010 expenditures can be</v>
      </c>
    </row>
    <row r="29" ht="15.75">
      <c r="A29" s="442" t="s">
        <v>460</v>
      </c>
    </row>
    <row r="30" ht="15.75">
      <c r="A30" s="442" t="s">
        <v>461</v>
      </c>
    </row>
    <row r="31" ht="15.75">
      <c r="A31" s="442" t="s">
        <v>462</v>
      </c>
    </row>
    <row r="32" ht="15.75">
      <c r="A32" s="442"/>
    </row>
    <row r="33" ht="15.75">
      <c r="A33" s="442" t="str">
        <f>CONCATENATE("Additionally, do your ",inputPrYr!D5-2," receipts contain a reimbursement")</f>
        <v>Additionally, do your 2010 receipts contain a reimbursement</v>
      </c>
    </row>
    <row r="34" ht="15.75">
      <c r="A34" s="442" t="s">
        <v>783</v>
      </c>
    </row>
    <row r="35" ht="15.75">
      <c r="A35" s="442" t="s">
        <v>784</v>
      </c>
    </row>
    <row r="36" ht="15.75">
      <c r="A36" s="442"/>
    </row>
    <row r="37" ht="15.75">
      <c r="A37" s="442" t="s">
        <v>785</v>
      </c>
    </row>
    <row r="38" ht="15.75">
      <c r="A38" s="442" t="s">
        <v>786</v>
      </c>
    </row>
    <row r="39" ht="15.75">
      <c r="A39" s="442" t="s">
        <v>787</v>
      </c>
    </row>
    <row r="40" ht="15.75">
      <c r="A40" s="442" t="s">
        <v>788</v>
      </c>
    </row>
    <row r="41" ht="15.75">
      <c r="A41" s="442" t="s">
        <v>789</v>
      </c>
    </row>
    <row r="42" ht="15.75">
      <c r="A42" s="442" t="s">
        <v>790</v>
      </c>
    </row>
    <row r="43" ht="15.75">
      <c r="A43" s="442" t="s">
        <v>791</v>
      </c>
    </row>
    <row r="44" ht="15.75">
      <c r="A44" s="442" t="s">
        <v>792</v>
      </c>
    </row>
    <row r="45" ht="15.75">
      <c r="A45" s="442"/>
    </row>
    <row r="46" ht="15.75">
      <c r="A46" s="442" t="s">
        <v>793</v>
      </c>
    </row>
    <row r="47" ht="15.75">
      <c r="A47" s="442" t="s">
        <v>794</v>
      </c>
    </row>
    <row r="48" ht="15.75">
      <c r="A48" s="442" t="s">
        <v>795</v>
      </c>
    </row>
    <row r="49" ht="15.75">
      <c r="A49" s="442"/>
    </row>
    <row r="50" ht="15.75">
      <c r="A50" s="442" t="s">
        <v>796</v>
      </c>
    </row>
    <row r="51" ht="15.75">
      <c r="A51" s="442" t="s">
        <v>797</v>
      </c>
    </row>
    <row r="52" ht="15.75">
      <c r="A52" s="442" t="s">
        <v>798</v>
      </c>
    </row>
    <row r="53" ht="15.75">
      <c r="A53" s="442"/>
    </row>
    <row r="54" ht="15.75">
      <c r="A54" s="443" t="s">
        <v>799</v>
      </c>
    </row>
    <row r="55" ht="15.75">
      <c r="A55" s="442"/>
    </row>
    <row r="56" ht="15.75">
      <c r="A56" s="442" t="s">
        <v>800</v>
      </c>
    </row>
    <row r="57" ht="15.75">
      <c r="A57" s="442" t="s">
        <v>801</v>
      </c>
    </row>
    <row r="58" ht="15.75">
      <c r="A58" s="442" t="s">
        <v>802</v>
      </c>
    </row>
    <row r="59" ht="15.75">
      <c r="A59" s="442" t="s">
        <v>803</v>
      </c>
    </row>
    <row r="60" ht="15.75">
      <c r="A60" s="442" t="s">
        <v>804</v>
      </c>
    </row>
    <row r="61" ht="15.75">
      <c r="A61" s="442" t="s">
        <v>805</v>
      </c>
    </row>
    <row r="62" ht="15.75">
      <c r="A62" s="442" t="s">
        <v>806</v>
      </c>
    </row>
    <row r="63" ht="15.75">
      <c r="A63" s="442" t="s">
        <v>807</v>
      </c>
    </row>
    <row r="64" ht="15.75">
      <c r="A64" s="442" t="s">
        <v>808</v>
      </c>
    </row>
    <row r="65" ht="15.75">
      <c r="A65" s="442" t="s">
        <v>809</v>
      </c>
    </row>
    <row r="66" ht="15.75">
      <c r="A66" s="442" t="s">
        <v>810</v>
      </c>
    </row>
    <row r="67" ht="15.75">
      <c r="A67" s="442" t="s">
        <v>811</v>
      </c>
    </row>
    <row r="68" ht="15.75">
      <c r="A68" s="442" t="s">
        <v>812</v>
      </c>
    </row>
    <row r="69" ht="15.75">
      <c r="A69" s="442"/>
    </row>
    <row r="70" ht="15.75">
      <c r="A70" s="442" t="s">
        <v>813</v>
      </c>
    </row>
    <row r="71" ht="15.75">
      <c r="A71" s="442" t="s">
        <v>814</v>
      </c>
    </row>
    <row r="72" ht="15.75">
      <c r="A72" s="442" t="s">
        <v>815</v>
      </c>
    </row>
    <row r="73" ht="15.75">
      <c r="A73" s="442"/>
    </row>
    <row r="74" ht="15.75">
      <c r="A74" s="443" t="str">
        <f>CONCATENATE("What if the ",inputPrYr!D5-2," financial records have been closed?")</f>
        <v>What if the 2010 financial records have been closed?</v>
      </c>
    </row>
    <row r="76" ht="15.75">
      <c r="A76" s="442" t="s">
        <v>816</v>
      </c>
    </row>
    <row r="77" ht="15.75">
      <c r="A77" s="442" t="str">
        <f>CONCATENATE("(i.e. an audit for ",inputPrYr!D5-2," has been completed, or the ",inputPrYr!D5)</f>
        <v>(i.e. an audit for 2010 has been completed, or the 2012</v>
      </c>
    </row>
    <row r="78" ht="15.75">
      <c r="A78" s="442" t="s">
        <v>71</v>
      </c>
    </row>
    <row r="79" ht="15.75">
      <c r="A79" s="442" t="s">
        <v>72</v>
      </c>
    </row>
    <row r="80" ht="15.75">
      <c r="A80" s="442"/>
    </row>
    <row r="81" ht="15.75">
      <c r="A81" s="442" t="s">
        <v>73</v>
      </c>
    </row>
    <row r="82" ht="15.75">
      <c r="A82" s="442" t="s">
        <v>74</v>
      </c>
    </row>
    <row r="83" ht="15.75">
      <c r="A83" s="442" t="s">
        <v>75</v>
      </c>
    </row>
    <row r="84" ht="15.75">
      <c r="A84" s="442"/>
    </row>
    <row r="85" ht="15.75">
      <c r="A85" s="442" t="s">
        <v>76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77</v>
      </c>
      <c r="B3" s="441"/>
      <c r="C3" s="441"/>
      <c r="D3" s="441"/>
      <c r="E3" s="441"/>
      <c r="F3" s="441"/>
      <c r="G3" s="441"/>
      <c r="H3" s="444"/>
      <c r="I3" s="444"/>
      <c r="J3" s="444"/>
    </row>
    <row r="5" ht="15.75">
      <c r="A5" s="442" t="s">
        <v>78</v>
      </c>
    </row>
    <row r="6" ht="15.75">
      <c r="A6" t="str">
        <f>CONCATENATE(inputPrYr!D5-2," expenditures show that you finished the year with a ")</f>
        <v>2010 expenditures show that you finished the year with a </v>
      </c>
    </row>
    <row r="7" ht="15.75">
      <c r="A7" t="s">
        <v>79</v>
      </c>
    </row>
    <row r="9" ht="15.75">
      <c r="A9" t="s">
        <v>80</v>
      </c>
    </row>
    <row r="10" ht="15.75">
      <c r="A10" t="s">
        <v>81</v>
      </c>
    </row>
    <row r="11" ht="15.75">
      <c r="A11" t="s">
        <v>82</v>
      </c>
    </row>
    <row r="13" ht="15.75">
      <c r="A13" s="443" t="s">
        <v>466</v>
      </c>
    </row>
    <row r="14" ht="15.75">
      <c r="A14" s="443"/>
    </row>
    <row r="15" ht="15.75">
      <c r="A15" s="442" t="s">
        <v>467</v>
      </c>
    </row>
    <row r="16" ht="15.75">
      <c r="A16" s="442" t="s">
        <v>468</v>
      </c>
    </row>
    <row r="17" ht="15.75">
      <c r="A17" s="442" t="s">
        <v>469</v>
      </c>
    </row>
    <row r="18" ht="15.75">
      <c r="A18" s="442"/>
    </row>
    <row r="19" ht="15.75">
      <c r="A19" s="443" t="s">
        <v>470</v>
      </c>
    </row>
    <row r="20" ht="15.75">
      <c r="A20" s="443"/>
    </row>
    <row r="21" ht="15.75">
      <c r="A21" s="442" t="s">
        <v>471</v>
      </c>
    </row>
    <row r="22" ht="15.75">
      <c r="A22" s="442" t="s">
        <v>472</v>
      </c>
    </row>
    <row r="23" ht="15.75">
      <c r="A23" s="442" t="s">
        <v>473</v>
      </c>
    </row>
    <row r="24" ht="15.75">
      <c r="A24" s="442"/>
    </row>
    <row r="25" ht="15.75">
      <c r="A25" s="443" t="s">
        <v>474</v>
      </c>
    </row>
    <row r="26" ht="15.75">
      <c r="A26" s="443"/>
    </row>
    <row r="27" ht="15.75">
      <c r="A27" s="442" t="s">
        <v>475</v>
      </c>
    </row>
    <row r="28" ht="15.75">
      <c r="A28" s="442" t="s">
        <v>476</v>
      </c>
    </row>
    <row r="29" ht="15.75">
      <c r="A29" s="442" t="s">
        <v>477</v>
      </c>
    </row>
    <row r="30" ht="15.75">
      <c r="A30" s="442"/>
    </row>
    <row r="31" ht="15.75">
      <c r="A31" s="443" t="s">
        <v>478</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479</v>
      </c>
      <c r="B35" s="442"/>
      <c r="C35" s="442"/>
      <c r="D35" s="442"/>
      <c r="E35" s="442"/>
      <c r="F35" s="442"/>
      <c r="G35" s="442"/>
      <c r="H35" s="442"/>
    </row>
    <row r="36" spans="1:8" ht="15.75">
      <c r="A36" s="442" t="s">
        <v>480</v>
      </c>
      <c r="B36" s="442"/>
      <c r="C36" s="442"/>
      <c r="D36" s="442"/>
      <c r="E36" s="442"/>
      <c r="F36" s="442"/>
      <c r="G36" s="442"/>
      <c r="H36" s="442"/>
    </row>
    <row r="37" spans="1:8" ht="15.75">
      <c r="A37" s="442" t="s">
        <v>481</v>
      </c>
      <c r="B37" s="442"/>
      <c r="C37" s="442"/>
      <c r="D37" s="442"/>
      <c r="E37" s="442"/>
      <c r="F37" s="442"/>
      <c r="G37" s="442"/>
      <c r="H37" s="442"/>
    </row>
    <row r="38" spans="1:8" ht="15.75">
      <c r="A38" s="442" t="s">
        <v>482</v>
      </c>
      <c r="B38" s="442"/>
      <c r="C38" s="442"/>
      <c r="D38" s="442"/>
      <c r="E38" s="442"/>
      <c r="F38" s="442"/>
      <c r="G38" s="442"/>
      <c r="H38" s="442"/>
    </row>
    <row r="39" spans="1:8" ht="15.75">
      <c r="A39" s="442" t="s">
        <v>483</v>
      </c>
      <c r="B39" s="442"/>
      <c r="C39" s="442"/>
      <c r="D39" s="442"/>
      <c r="E39" s="442"/>
      <c r="F39" s="442"/>
      <c r="G39" s="442"/>
      <c r="H39" s="442"/>
    </row>
    <row r="40" spans="1:8" ht="15.75">
      <c r="A40" s="442"/>
      <c r="B40" s="442"/>
      <c r="C40" s="442"/>
      <c r="D40" s="442"/>
      <c r="E40" s="442"/>
      <c r="F40" s="442"/>
      <c r="G40" s="442"/>
      <c r="H40" s="442"/>
    </row>
    <row r="41" spans="1:8" ht="15.75">
      <c r="A41" s="442" t="s">
        <v>484</v>
      </c>
      <c r="B41" s="442"/>
      <c r="C41" s="442"/>
      <c r="D41" s="442"/>
      <c r="E41" s="442"/>
      <c r="F41" s="442"/>
      <c r="G41" s="442"/>
      <c r="H41" s="442"/>
    </row>
    <row r="42" spans="1:8" ht="15.75">
      <c r="A42" s="442" t="s">
        <v>485</v>
      </c>
      <c r="B42" s="442"/>
      <c r="C42" s="442"/>
      <c r="D42" s="442"/>
      <c r="E42" s="442"/>
      <c r="F42" s="442"/>
      <c r="G42" s="442"/>
      <c r="H42" s="442"/>
    </row>
    <row r="43" spans="1:8" ht="15.75">
      <c r="A43" s="442" t="s">
        <v>486</v>
      </c>
      <c r="B43" s="442"/>
      <c r="C43" s="442"/>
      <c r="D43" s="442"/>
      <c r="E43" s="442"/>
      <c r="F43" s="442"/>
      <c r="G43" s="442"/>
      <c r="H43" s="442"/>
    </row>
    <row r="44" spans="1:8" ht="15.75">
      <c r="A44" s="442" t="s">
        <v>487</v>
      </c>
      <c r="B44" s="442"/>
      <c r="C44" s="442"/>
      <c r="D44" s="442"/>
      <c r="E44" s="442"/>
      <c r="F44" s="442"/>
      <c r="G44" s="442"/>
      <c r="H44" s="442"/>
    </row>
    <row r="45" spans="1:8" ht="15.75">
      <c r="A45" s="442"/>
      <c r="B45" s="442"/>
      <c r="C45" s="442"/>
      <c r="D45" s="442"/>
      <c r="E45" s="442"/>
      <c r="F45" s="442"/>
      <c r="G45" s="442"/>
      <c r="H45" s="442"/>
    </row>
    <row r="46" spans="1:8" ht="15.75">
      <c r="A46" s="442" t="s">
        <v>488</v>
      </c>
      <c r="B46" s="442"/>
      <c r="C46" s="442"/>
      <c r="D46" s="442"/>
      <c r="E46" s="442"/>
      <c r="F46" s="442"/>
      <c r="G46" s="442"/>
      <c r="H46" s="442"/>
    </row>
    <row r="47" spans="1:8" ht="15.75">
      <c r="A47" s="442" t="s">
        <v>489</v>
      </c>
      <c r="B47" s="442"/>
      <c r="C47" s="442"/>
      <c r="D47" s="442"/>
      <c r="E47" s="442"/>
      <c r="F47" s="442"/>
      <c r="G47" s="442"/>
      <c r="H47" s="442"/>
    </row>
    <row r="48" spans="1:8" ht="15.75">
      <c r="A48" s="442" t="s">
        <v>490</v>
      </c>
      <c r="B48" s="442"/>
      <c r="C48" s="442"/>
      <c r="D48" s="442"/>
      <c r="E48" s="442"/>
      <c r="F48" s="442"/>
      <c r="G48" s="442"/>
      <c r="H48" s="442"/>
    </row>
    <row r="49" spans="1:8" ht="15.75">
      <c r="A49" s="442" t="s">
        <v>2</v>
      </c>
      <c r="B49" s="442"/>
      <c r="C49" s="442"/>
      <c r="D49" s="442"/>
      <c r="E49" s="442"/>
      <c r="F49" s="442"/>
      <c r="G49" s="442"/>
      <c r="H49" s="442"/>
    </row>
    <row r="50" spans="1:8" ht="15.75">
      <c r="A50" s="442" t="s">
        <v>3</v>
      </c>
      <c r="B50" s="442"/>
      <c r="C50" s="442"/>
      <c r="D50" s="442"/>
      <c r="E50" s="442"/>
      <c r="F50" s="442"/>
      <c r="G50" s="442"/>
      <c r="H50" s="442"/>
    </row>
    <row r="51" spans="1:8" ht="15.75">
      <c r="A51" s="442"/>
      <c r="B51" s="442"/>
      <c r="C51" s="442"/>
      <c r="D51" s="442"/>
      <c r="E51" s="442"/>
      <c r="F51" s="442"/>
      <c r="G51" s="442"/>
      <c r="H51" s="442"/>
    </row>
    <row r="52" spans="1:8" ht="15.75">
      <c r="A52" s="443" t="s">
        <v>4</v>
      </c>
      <c r="B52" s="443"/>
      <c r="C52" s="443"/>
      <c r="D52" s="443"/>
      <c r="E52" s="443"/>
      <c r="F52" s="443"/>
      <c r="G52" s="443"/>
      <c r="H52" s="442"/>
    </row>
    <row r="53" spans="1:8" ht="15.75">
      <c r="A53" s="443" t="s">
        <v>5</v>
      </c>
      <c r="B53" s="443"/>
      <c r="C53" s="443"/>
      <c r="D53" s="443"/>
      <c r="E53" s="443"/>
      <c r="F53" s="443"/>
      <c r="G53" s="443"/>
      <c r="H53" s="442"/>
    </row>
    <row r="54" spans="1:8" ht="15.75">
      <c r="A54" s="442"/>
      <c r="B54" s="442"/>
      <c r="C54" s="442"/>
      <c r="D54" s="442"/>
      <c r="E54" s="442"/>
      <c r="F54" s="442"/>
      <c r="G54" s="442"/>
      <c r="H54" s="442"/>
    </row>
    <row r="55" spans="1:8" ht="15.75">
      <c r="A55" s="442" t="s">
        <v>6</v>
      </c>
      <c r="B55" s="442"/>
      <c r="C55" s="442"/>
      <c r="D55" s="442"/>
      <c r="E55" s="442"/>
      <c r="F55" s="442"/>
      <c r="G55" s="442"/>
      <c r="H55" s="442"/>
    </row>
    <row r="56" spans="1:8" ht="15.75">
      <c r="A56" s="442" t="s">
        <v>7</v>
      </c>
      <c r="B56" s="442"/>
      <c r="C56" s="442"/>
      <c r="D56" s="442"/>
      <c r="E56" s="442"/>
      <c r="F56" s="442"/>
      <c r="G56" s="442"/>
      <c r="H56" s="442"/>
    </row>
    <row r="57" spans="1:8" ht="15.75">
      <c r="A57" s="442" t="s">
        <v>8</v>
      </c>
      <c r="B57" s="442"/>
      <c r="C57" s="442"/>
      <c r="D57" s="442"/>
      <c r="E57" s="442"/>
      <c r="F57" s="442"/>
      <c r="G57" s="442"/>
      <c r="H57" s="442"/>
    </row>
    <row r="58" spans="1:8" ht="15.75">
      <c r="A58" s="442" t="s">
        <v>9</v>
      </c>
      <c r="B58" s="442"/>
      <c r="C58" s="442"/>
      <c r="D58" s="442"/>
      <c r="E58" s="442"/>
      <c r="F58" s="442"/>
      <c r="G58" s="442"/>
      <c r="H58" s="442"/>
    </row>
    <row r="59" spans="1:8" ht="15.75">
      <c r="A59" s="442"/>
      <c r="B59" s="442"/>
      <c r="C59" s="442"/>
      <c r="D59" s="442"/>
      <c r="E59" s="442"/>
      <c r="F59" s="442"/>
      <c r="G59" s="442"/>
      <c r="H59" s="442"/>
    </row>
    <row r="60" spans="1:8" ht="15.75">
      <c r="A60" s="442" t="s">
        <v>10</v>
      </c>
      <c r="B60" s="442"/>
      <c r="C60" s="442"/>
      <c r="D60" s="442"/>
      <c r="E60" s="442"/>
      <c r="F60" s="442"/>
      <c r="G60" s="442"/>
      <c r="H60" s="442"/>
    </row>
    <row r="61" spans="1:8" ht="15.75">
      <c r="A61" s="442" t="s">
        <v>11</v>
      </c>
      <c r="B61" s="442"/>
      <c r="C61" s="442"/>
      <c r="D61" s="442"/>
      <c r="E61" s="442"/>
      <c r="F61" s="442"/>
      <c r="G61" s="442"/>
      <c r="H61" s="442"/>
    </row>
    <row r="62" spans="1:8" ht="15.75">
      <c r="A62" s="442" t="s">
        <v>12</v>
      </c>
      <c r="B62" s="442"/>
      <c r="C62" s="442"/>
      <c r="D62" s="442"/>
      <c r="E62" s="442"/>
      <c r="F62" s="442"/>
      <c r="G62" s="442"/>
      <c r="H62" s="442"/>
    </row>
    <row r="63" spans="1:8" ht="15.75">
      <c r="A63" s="442" t="s">
        <v>13</v>
      </c>
      <c r="B63" s="442"/>
      <c r="C63" s="442"/>
      <c r="D63" s="442"/>
      <c r="E63" s="442"/>
      <c r="F63" s="442"/>
      <c r="G63" s="442"/>
      <c r="H63" s="442"/>
    </row>
    <row r="64" spans="1:8" ht="15.75">
      <c r="A64" s="442" t="s">
        <v>14</v>
      </c>
      <c r="B64" s="442"/>
      <c r="C64" s="442"/>
      <c r="D64" s="442"/>
      <c r="E64" s="442"/>
      <c r="F64" s="442"/>
      <c r="G64" s="442"/>
      <c r="H64" s="442"/>
    </row>
    <row r="65" spans="1:8" ht="15.75">
      <c r="A65" s="442" t="s">
        <v>15</v>
      </c>
      <c r="B65" s="442"/>
      <c r="C65" s="442"/>
      <c r="D65" s="442"/>
      <c r="E65" s="442"/>
      <c r="F65" s="442"/>
      <c r="G65" s="442"/>
      <c r="H65" s="442"/>
    </row>
    <row r="66" spans="1:8" ht="15.75">
      <c r="A66" s="442"/>
      <c r="B66" s="442"/>
      <c r="C66" s="442"/>
      <c r="D66" s="442"/>
      <c r="E66" s="442"/>
      <c r="F66" s="442"/>
      <c r="G66" s="442"/>
      <c r="H66" s="442"/>
    </row>
    <row r="67" spans="1:8" ht="15.75">
      <c r="A67" s="442" t="s">
        <v>16</v>
      </c>
      <c r="B67" s="442"/>
      <c r="C67" s="442"/>
      <c r="D67" s="442"/>
      <c r="E67" s="442"/>
      <c r="F67" s="442"/>
      <c r="G67" s="442"/>
      <c r="H67" s="442"/>
    </row>
    <row r="68" spans="1:8" ht="15.75">
      <c r="A68" s="442" t="s">
        <v>17</v>
      </c>
      <c r="B68" s="442"/>
      <c r="C68" s="442"/>
      <c r="D68" s="442"/>
      <c r="E68" s="442"/>
      <c r="F68" s="442"/>
      <c r="G68" s="442"/>
      <c r="H68" s="442"/>
    </row>
    <row r="69" spans="1:8" ht="15.75">
      <c r="A69" s="442" t="s">
        <v>18</v>
      </c>
      <c r="B69" s="442"/>
      <c r="C69" s="442"/>
      <c r="D69" s="442"/>
      <c r="E69" s="442"/>
      <c r="F69" s="442"/>
      <c r="G69" s="442"/>
      <c r="H69" s="442"/>
    </row>
    <row r="70" spans="1:8" ht="15.75">
      <c r="A70" s="442" t="s">
        <v>19</v>
      </c>
      <c r="B70" s="442"/>
      <c r="C70" s="442"/>
      <c r="D70" s="442"/>
      <c r="E70" s="442"/>
      <c r="F70" s="442"/>
      <c r="G70" s="442"/>
      <c r="H70" s="442"/>
    </row>
    <row r="71" spans="1:8" ht="15.75">
      <c r="A71" s="442" t="s">
        <v>20</v>
      </c>
      <c r="B71" s="442"/>
      <c r="C71" s="442"/>
      <c r="D71" s="442"/>
      <c r="E71" s="442"/>
      <c r="F71" s="442"/>
      <c r="G71" s="442"/>
      <c r="H71" s="442"/>
    </row>
    <row r="72" spans="1:8" ht="15.75">
      <c r="A72" s="442" t="s">
        <v>21</v>
      </c>
      <c r="B72" s="442"/>
      <c r="C72" s="442"/>
      <c r="D72" s="442"/>
      <c r="E72" s="442"/>
      <c r="F72" s="442"/>
      <c r="G72" s="442"/>
      <c r="H72" s="442"/>
    </row>
    <row r="73" spans="1:8" ht="15.75">
      <c r="A73" s="442" t="s">
        <v>22</v>
      </c>
      <c r="B73" s="442"/>
      <c r="C73" s="442"/>
      <c r="D73" s="442"/>
      <c r="E73" s="442"/>
      <c r="F73" s="442"/>
      <c r="G73" s="442"/>
      <c r="H73" s="442"/>
    </row>
    <row r="74" spans="1:8" ht="15.75">
      <c r="A74" s="442"/>
      <c r="B74" s="442"/>
      <c r="C74" s="442"/>
      <c r="D74" s="442"/>
      <c r="E74" s="442"/>
      <c r="F74" s="442"/>
      <c r="G74" s="442"/>
      <c r="H74" s="442"/>
    </row>
    <row r="75" spans="1:8" ht="15.75">
      <c r="A75" s="442" t="s">
        <v>23</v>
      </c>
      <c r="B75" s="442"/>
      <c r="C75" s="442"/>
      <c r="D75" s="442"/>
      <c r="E75" s="442"/>
      <c r="F75" s="442"/>
      <c r="G75" s="442"/>
      <c r="H75" s="442"/>
    </row>
    <row r="76" spans="1:8" ht="15.75">
      <c r="A76" s="442" t="s">
        <v>24</v>
      </c>
      <c r="B76" s="442"/>
      <c r="C76" s="442"/>
      <c r="D76" s="442"/>
      <c r="E76" s="442"/>
      <c r="F76" s="442"/>
      <c r="G76" s="442"/>
      <c r="H76" s="442"/>
    </row>
    <row r="77" spans="1:8" ht="15.75">
      <c r="A77" s="442" t="s">
        <v>25</v>
      </c>
      <c r="B77" s="442"/>
      <c r="C77" s="442"/>
      <c r="D77" s="442"/>
      <c r="E77" s="442"/>
      <c r="F77" s="442"/>
      <c r="G77" s="442"/>
      <c r="H77" s="442"/>
    </row>
    <row r="78" spans="1:8" ht="15.75">
      <c r="A78" s="442"/>
      <c r="B78" s="442"/>
      <c r="C78" s="442"/>
      <c r="D78" s="442"/>
      <c r="E78" s="442"/>
      <c r="F78" s="442"/>
      <c r="G78" s="442"/>
      <c r="H78" s="442"/>
    </row>
    <row r="79" ht="15.75">
      <c r="A79" s="442" t="s">
        <v>76</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5">
      <selection activeCell="B50" sqref="B50"/>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Bloomington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185</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3683640</v>
      </c>
    </row>
    <row r="8" spans="1:5" ht="15.75">
      <c r="A8" s="137" t="str">
        <f>CONCATENATE("New Improvements for ",E1-1,"")</f>
        <v>New Improvements for 2011</v>
      </c>
      <c r="B8" s="136"/>
      <c r="C8" s="136"/>
      <c r="D8" s="136"/>
      <c r="E8" s="388">
        <v>5758</v>
      </c>
    </row>
    <row r="9" spans="1:5" ht="15.75">
      <c r="A9" s="137" t="str">
        <f>CONCATENATE("Personal Property excluding oil, gas, and mobile homes - ",E1-1,"")</f>
        <v>Personal Property excluding oil, gas, and mobile homes - 2011</v>
      </c>
      <c r="B9" s="136"/>
      <c r="C9" s="136"/>
      <c r="D9" s="136"/>
      <c r="E9" s="388">
        <v>89392</v>
      </c>
    </row>
    <row r="10" spans="1:5" ht="15.75">
      <c r="A10" s="137" t="str">
        <f>CONCATENATE("Property that has changed in use for ",E1-1,"")</f>
        <v>Property that has changed in use for 2011</v>
      </c>
      <c r="B10" s="136"/>
      <c r="C10" s="136"/>
      <c r="D10" s="136"/>
      <c r="E10" s="388">
        <v>66</v>
      </c>
    </row>
    <row r="11" spans="1:5" ht="15.75">
      <c r="A11" s="137" t="str">
        <f>CONCATENATE("Personal Property excluding oil, gas, and mobile homes- ",E1-2,"")</f>
        <v>Personal Property excluding oil, gas, and mobile homes- 2010</v>
      </c>
      <c r="B11" s="136"/>
      <c r="C11" s="136"/>
      <c r="D11" s="136"/>
      <c r="E11" s="388">
        <v>99659</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334</v>
      </c>
      <c r="B16" s="681"/>
      <c r="C16" s="181"/>
      <c r="D16" s="392" t="s">
        <v>51</v>
      </c>
      <c r="E16" s="391"/>
    </row>
    <row r="17" spans="1:5" ht="15.75">
      <c r="A17" s="142" t="str">
        <f>inputPrYr!B16</f>
        <v>General</v>
      </c>
      <c r="B17" s="143"/>
      <c r="C17" s="136"/>
      <c r="D17" s="393">
        <v>2.48</v>
      </c>
      <c r="E17" s="391"/>
    </row>
    <row r="18" spans="1:5" ht="15.75">
      <c r="A18" s="142" t="str">
        <f>inputPrYr!B17</f>
        <v>Debt Service</v>
      </c>
      <c r="B18" s="165"/>
      <c r="C18" s="136"/>
      <c r="D18" s="394"/>
      <c r="E18" s="391"/>
    </row>
    <row r="19" spans="1:5" ht="15.75">
      <c r="A19" s="142" t="str">
        <f>inputPrYr!B18</f>
        <v>Road</v>
      </c>
      <c r="B19" s="165"/>
      <c r="C19" s="136"/>
      <c r="D19" s="394">
        <v>29.217</v>
      </c>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775</v>
      </c>
      <c r="C28" s="154"/>
      <c r="D28" s="396">
        <f>SUM(D17:D27)</f>
        <v>31.697</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3616559</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186</v>
      </c>
      <c r="B33" s="143"/>
      <c r="C33" s="143"/>
      <c r="D33" s="400"/>
      <c r="E33" s="272">
        <v>17857</v>
      </c>
    </row>
    <row r="34" spans="1:5" ht="15.75">
      <c r="A34" s="401" t="s">
        <v>776</v>
      </c>
      <c r="B34" s="165"/>
      <c r="C34" s="165"/>
      <c r="D34" s="304"/>
      <c r="E34" s="272">
        <v>554</v>
      </c>
    </row>
    <row r="35" spans="1:5" ht="15.75">
      <c r="A35" s="401" t="s">
        <v>187</v>
      </c>
      <c r="B35" s="165"/>
      <c r="C35" s="165"/>
      <c r="D35" s="304"/>
      <c r="E35" s="272">
        <v>606</v>
      </c>
    </row>
    <row r="36" spans="1:5" ht="15.75">
      <c r="A36" s="401" t="s">
        <v>188</v>
      </c>
      <c r="B36" s="165"/>
      <c r="C36" s="165"/>
      <c r="D36" s="304"/>
      <c r="E36" s="272"/>
    </row>
    <row r="37" spans="1:5" ht="15.75">
      <c r="A37" s="401" t="s">
        <v>189</v>
      </c>
      <c r="B37" s="165"/>
      <c r="C37" s="165"/>
      <c r="D37" s="304"/>
      <c r="E37" s="272"/>
    </row>
    <row r="38" spans="1:5" ht="15.75">
      <c r="A38" s="401" t="s">
        <v>126</v>
      </c>
      <c r="B38" s="143"/>
      <c r="C38" s="143"/>
      <c r="D38" s="400"/>
      <c r="E38" s="272">
        <v>4378</v>
      </c>
    </row>
    <row r="39" spans="1:5" ht="15.75">
      <c r="A39" s="130" t="s">
        <v>190</v>
      </c>
      <c r="B39" s="130"/>
      <c r="C39" s="130"/>
      <c r="D39" s="130"/>
      <c r="E39" s="130"/>
    </row>
    <row r="40" spans="1:5" ht="15.75">
      <c r="A40" s="339" t="s">
        <v>493</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494</v>
      </c>
      <c r="B42" s="176"/>
      <c r="C42" s="136"/>
      <c r="D42" s="136"/>
      <c r="E42" s="571"/>
    </row>
    <row r="43" spans="1:5" ht="15.75">
      <c r="A43" s="403" t="s">
        <v>495</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217</v>
      </c>
      <c r="B47" s="407" t="s">
        <v>218</v>
      </c>
      <c r="C47" s="408" t="s">
        <v>219</v>
      </c>
      <c r="D47" s="409"/>
      <c r="E47" s="409"/>
    </row>
    <row r="48" spans="1:5" ht="15.75">
      <c r="A48" s="410" t="str">
        <f>inputPrYr!B16</f>
        <v>General</v>
      </c>
      <c r="B48" s="307">
        <v>19500</v>
      </c>
      <c r="C48" s="408" t="s">
        <v>220</v>
      </c>
      <c r="D48" s="409"/>
      <c r="E48" s="409"/>
    </row>
    <row r="49" spans="1:5" ht="15.75">
      <c r="A49" s="410" t="str">
        <f>inputPrYr!B17</f>
        <v>Debt Service</v>
      </c>
      <c r="B49" s="307"/>
      <c r="C49" s="408"/>
      <c r="D49" s="409"/>
      <c r="E49" s="409"/>
    </row>
    <row r="50" spans="1:5" ht="15.75">
      <c r="A50" s="410" t="str">
        <f>inputPrYr!B18</f>
        <v>Road</v>
      </c>
      <c r="B50" s="307">
        <v>111791</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26</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447</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27</v>
      </c>
      <c r="I7" s="441"/>
      <c r="J7" s="441"/>
      <c r="K7" s="441"/>
      <c r="L7" s="441"/>
    </row>
    <row r="8" spans="1:12" ht="15.75">
      <c r="A8" s="442"/>
      <c r="I8" s="441"/>
      <c r="J8" s="441"/>
      <c r="K8" s="441"/>
      <c r="L8" s="441"/>
    </row>
    <row r="9" spans="1:12" ht="15.75">
      <c r="A9" s="442" t="s">
        <v>28</v>
      </c>
      <c r="I9" s="441"/>
      <c r="J9" s="441"/>
      <c r="K9" s="441"/>
      <c r="L9" s="441"/>
    </row>
    <row r="10" spans="1:12" ht="15.75">
      <c r="A10" s="442" t="s">
        <v>29</v>
      </c>
      <c r="I10" s="441"/>
      <c r="J10" s="441"/>
      <c r="K10" s="441"/>
      <c r="L10" s="441"/>
    </row>
    <row r="11" spans="1:12" ht="15.75">
      <c r="A11" s="442" t="s">
        <v>30</v>
      </c>
      <c r="I11" s="441"/>
      <c r="J11" s="441"/>
      <c r="K11" s="441"/>
      <c r="L11" s="441"/>
    </row>
    <row r="12" spans="1:12" ht="15.75">
      <c r="A12" s="442" t="s">
        <v>31</v>
      </c>
      <c r="I12" s="441"/>
      <c r="J12" s="441"/>
      <c r="K12" s="441"/>
      <c r="L12" s="441"/>
    </row>
    <row r="13" spans="1:12" ht="15.75">
      <c r="A13" s="442" t="s">
        <v>32</v>
      </c>
      <c r="I13" s="441"/>
      <c r="J13" s="441"/>
      <c r="K13" s="441"/>
      <c r="L13" s="441"/>
    </row>
    <row r="14" spans="1:12" ht="15.75">
      <c r="A14" s="441"/>
      <c r="B14" s="441"/>
      <c r="C14" s="441"/>
      <c r="D14" s="441"/>
      <c r="E14" s="441"/>
      <c r="F14" s="441"/>
      <c r="G14" s="441"/>
      <c r="H14" s="441"/>
      <c r="I14" s="441"/>
      <c r="J14" s="441"/>
      <c r="K14" s="441"/>
      <c r="L14" s="441"/>
    </row>
    <row r="15" ht="15.75">
      <c r="A15" s="443" t="s">
        <v>33</v>
      </c>
    </row>
    <row r="16" ht="15.75">
      <c r="A16" s="443" t="s">
        <v>34</v>
      </c>
    </row>
    <row r="17" ht="15.75">
      <c r="A17" s="443"/>
    </row>
    <row r="18" spans="1:7" ht="15.75">
      <c r="A18" s="442" t="s">
        <v>35</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36</v>
      </c>
      <c r="B20" s="442"/>
      <c r="C20" s="442"/>
      <c r="D20" s="442"/>
      <c r="E20" s="442"/>
      <c r="F20" s="442"/>
      <c r="G20" s="442"/>
    </row>
    <row r="21" spans="1:7" ht="15.75">
      <c r="A21" s="442" t="s">
        <v>37</v>
      </c>
      <c r="B21" s="442"/>
      <c r="C21" s="442"/>
      <c r="D21" s="442"/>
      <c r="E21" s="442"/>
      <c r="F21" s="442"/>
      <c r="G21" s="442"/>
    </row>
    <row r="22" ht="15.75">
      <c r="A22" s="442"/>
    </row>
    <row r="23" ht="15.75">
      <c r="A23" s="443" t="s">
        <v>38</v>
      </c>
    </row>
    <row r="24" ht="15.75">
      <c r="A24" s="443"/>
    </row>
    <row r="25" ht="15.75">
      <c r="A25" s="442" t="s">
        <v>39</v>
      </c>
    </row>
    <row r="26" spans="1:6" ht="15.75">
      <c r="A26" s="442" t="s">
        <v>526</v>
      </c>
      <c r="B26" s="442"/>
      <c r="C26" s="442"/>
      <c r="D26" s="442"/>
      <c r="E26" s="442"/>
      <c r="F26" s="442"/>
    </row>
    <row r="27" spans="1:6" ht="15.75">
      <c r="A27" s="442" t="s">
        <v>527</v>
      </c>
      <c r="B27" s="442"/>
      <c r="C27" s="442"/>
      <c r="D27" s="442"/>
      <c r="E27" s="442"/>
      <c r="F27" s="442"/>
    </row>
    <row r="28" spans="1:6" ht="15.75">
      <c r="A28" s="442" t="s">
        <v>528</v>
      </c>
      <c r="B28" s="442"/>
      <c r="C28" s="442"/>
      <c r="D28" s="442"/>
      <c r="E28" s="442"/>
      <c r="F28" s="442"/>
    </row>
    <row r="29" spans="1:6" ht="15.75">
      <c r="A29" s="442"/>
      <c r="B29" s="442"/>
      <c r="C29" s="442"/>
      <c r="D29" s="442"/>
      <c r="E29" s="442"/>
      <c r="F29" s="442"/>
    </row>
    <row r="30" spans="1:7" ht="15.75">
      <c r="A30" s="443" t="s">
        <v>529</v>
      </c>
      <c r="B30" s="443"/>
      <c r="C30" s="443"/>
      <c r="D30" s="443"/>
      <c r="E30" s="443"/>
      <c r="F30" s="443"/>
      <c r="G30" s="443"/>
    </row>
    <row r="31" spans="1:7" ht="15.75">
      <c r="A31" s="443" t="s">
        <v>530</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531</v>
      </c>
      <c r="B34" s="442"/>
      <c r="C34" s="442"/>
      <c r="D34" s="442"/>
      <c r="E34" s="442"/>
      <c r="F34" s="442"/>
    </row>
    <row r="35" spans="1:6" ht="15.75">
      <c r="A35" s="446" t="s">
        <v>461</v>
      </c>
      <c r="B35" s="442"/>
      <c r="C35" s="442"/>
      <c r="D35" s="442"/>
      <c r="E35" s="442"/>
      <c r="F35" s="442"/>
    </row>
    <row r="36" spans="1:6" ht="15.75">
      <c r="A36" s="446" t="s">
        <v>462</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783</v>
      </c>
      <c r="B39" s="442"/>
      <c r="C39" s="442"/>
      <c r="D39" s="442"/>
      <c r="E39" s="442"/>
      <c r="F39" s="442"/>
    </row>
    <row r="40" spans="1:6" ht="15.75">
      <c r="A40" s="446" t="s">
        <v>784</v>
      </c>
      <c r="B40" s="442"/>
      <c r="C40" s="442"/>
      <c r="D40" s="442"/>
      <c r="E40" s="442"/>
      <c r="F40" s="442"/>
    </row>
    <row r="41" spans="1:6" ht="15.75">
      <c r="A41" s="446"/>
      <c r="B41" s="442"/>
      <c r="C41" s="442"/>
      <c r="D41" s="442"/>
      <c r="E41" s="442"/>
      <c r="F41" s="442"/>
    </row>
    <row r="42" spans="1:6" ht="15.75">
      <c r="A42" s="446" t="s">
        <v>785</v>
      </c>
      <c r="B42" s="442"/>
      <c r="C42" s="442"/>
      <c r="D42" s="442"/>
      <c r="E42" s="442"/>
      <c r="F42" s="442"/>
    </row>
    <row r="43" spans="1:6" ht="15.75">
      <c r="A43" s="446" t="s">
        <v>786</v>
      </c>
      <c r="B43" s="442"/>
      <c r="C43" s="442"/>
      <c r="D43" s="442"/>
      <c r="E43" s="442"/>
      <c r="F43" s="442"/>
    </row>
    <row r="44" spans="1:6" ht="15.75">
      <c r="A44" s="446" t="s">
        <v>787</v>
      </c>
      <c r="B44" s="442"/>
      <c r="C44" s="442"/>
      <c r="D44" s="442"/>
      <c r="E44" s="442"/>
      <c r="F44" s="442"/>
    </row>
    <row r="45" spans="1:6" ht="15.75">
      <c r="A45" s="446" t="s">
        <v>532</v>
      </c>
      <c r="B45" s="442"/>
      <c r="C45" s="442"/>
      <c r="D45" s="442"/>
      <c r="E45" s="442"/>
      <c r="F45" s="442"/>
    </row>
    <row r="46" spans="1:6" ht="15.75">
      <c r="A46" s="446" t="s">
        <v>789</v>
      </c>
      <c r="B46" s="442"/>
      <c r="C46" s="442"/>
      <c r="D46" s="442"/>
      <c r="E46" s="442"/>
      <c r="F46" s="442"/>
    </row>
    <row r="47" spans="1:6" ht="15.75">
      <c r="A47" s="446" t="s">
        <v>533</v>
      </c>
      <c r="B47" s="442"/>
      <c r="C47" s="442"/>
      <c r="D47" s="442"/>
      <c r="E47" s="442"/>
      <c r="F47" s="442"/>
    </row>
    <row r="48" spans="1:6" ht="15.75">
      <c r="A48" s="446" t="s">
        <v>534</v>
      </c>
      <c r="B48" s="442"/>
      <c r="C48" s="442"/>
      <c r="D48" s="442"/>
      <c r="E48" s="442"/>
      <c r="F48" s="442"/>
    </row>
    <row r="49" spans="1:6" ht="15.75">
      <c r="A49" s="446" t="s">
        <v>792</v>
      </c>
      <c r="B49" s="442"/>
      <c r="C49" s="442"/>
      <c r="D49" s="442"/>
      <c r="E49" s="442"/>
      <c r="F49" s="442"/>
    </row>
    <row r="50" spans="1:6" ht="15.75">
      <c r="A50" s="446"/>
      <c r="B50" s="442"/>
      <c r="C50" s="442"/>
      <c r="D50" s="442"/>
      <c r="E50" s="442"/>
      <c r="F50" s="442"/>
    </row>
    <row r="51" spans="1:6" ht="15.75">
      <c r="A51" s="446" t="s">
        <v>793</v>
      </c>
      <c r="B51" s="442"/>
      <c r="C51" s="442"/>
      <c r="D51" s="442"/>
      <c r="E51" s="442"/>
      <c r="F51" s="442"/>
    </row>
    <row r="52" spans="1:6" ht="15.75">
      <c r="A52" s="446" t="s">
        <v>794</v>
      </c>
      <c r="B52" s="442"/>
      <c r="C52" s="442"/>
      <c r="D52" s="442"/>
      <c r="E52" s="442"/>
      <c r="F52" s="442"/>
    </row>
    <row r="53" spans="1:6" ht="15.75">
      <c r="A53" s="446" t="s">
        <v>795</v>
      </c>
      <c r="B53" s="442"/>
      <c r="C53" s="442"/>
      <c r="D53" s="442"/>
      <c r="E53" s="442"/>
      <c r="F53" s="442"/>
    </row>
    <row r="54" spans="1:6" ht="15.75">
      <c r="A54" s="446"/>
      <c r="B54" s="442"/>
      <c r="C54" s="442"/>
      <c r="D54" s="442"/>
      <c r="E54" s="442"/>
      <c r="F54" s="442"/>
    </row>
    <row r="55" spans="1:6" ht="15.75">
      <c r="A55" s="446" t="s">
        <v>535</v>
      </c>
      <c r="B55" s="442"/>
      <c r="C55" s="442"/>
      <c r="D55" s="442"/>
      <c r="E55" s="442"/>
      <c r="F55" s="442"/>
    </row>
    <row r="56" spans="1:6" ht="15.75">
      <c r="A56" s="446" t="s">
        <v>536</v>
      </c>
      <c r="B56" s="442"/>
      <c r="C56" s="442"/>
      <c r="D56" s="442"/>
      <c r="E56" s="442"/>
      <c r="F56" s="442"/>
    </row>
    <row r="57" spans="1:6" ht="15.75">
      <c r="A57" s="446" t="s">
        <v>537</v>
      </c>
      <c r="B57" s="442"/>
      <c r="C57" s="442"/>
      <c r="D57" s="442"/>
      <c r="E57" s="442"/>
      <c r="F57" s="442"/>
    </row>
    <row r="58" spans="1:6" ht="15.75">
      <c r="A58" s="446" t="s">
        <v>538</v>
      </c>
      <c r="B58" s="442"/>
      <c r="C58" s="442"/>
      <c r="D58" s="442"/>
      <c r="E58" s="442"/>
      <c r="F58" s="442"/>
    </row>
    <row r="59" spans="1:6" ht="15.75">
      <c r="A59" s="446" t="s">
        <v>539</v>
      </c>
      <c r="B59" s="442"/>
      <c r="C59" s="442"/>
      <c r="D59" s="442"/>
      <c r="E59" s="442"/>
      <c r="F59" s="442"/>
    </row>
    <row r="60" spans="1:6" ht="15.75">
      <c r="A60" s="446"/>
      <c r="B60" s="442"/>
      <c r="C60" s="442"/>
      <c r="D60" s="442"/>
      <c r="E60" s="442"/>
      <c r="F60" s="442"/>
    </row>
    <row r="61" spans="1:6" ht="15.75">
      <c r="A61" s="447" t="s">
        <v>540</v>
      </c>
      <c r="B61" s="442"/>
      <c r="C61" s="442"/>
      <c r="D61" s="442"/>
      <c r="E61" s="442"/>
      <c r="F61" s="442"/>
    </row>
    <row r="62" spans="1:6" ht="15.75">
      <c r="A62" s="447" t="s">
        <v>541</v>
      </c>
      <c r="B62" s="442"/>
      <c r="C62" s="442"/>
      <c r="D62" s="442"/>
      <c r="E62" s="442"/>
      <c r="F62" s="442"/>
    </row>
    <row r="63" spans="1:6" ht="15.75">
      <c r="A63" s="447" t="s">
        <v>542</v>
      </c>
      <c r="B63" s="442"/>
      <c r="C63" s="442"/>
      <c r="D63" s="442"/>
      <c r="E63" s="442"/>
      <c r="F63" s="442"/>
    </row>
    <row r="64" ht="15.75">
      <c r="A64" s="447" t="s">
        <v>543</v>
      </c>
    </row>
    <row r="65" ht="15.75">
      <c r="A65" s="447" t="s">
        <v>544</v>
      </c>
    </row>
    <row r="66" ht="15.75">
      <c r="A66" s="447" t="s">
        <v>545</v>
      </c>
    </row>
    <row r="68" ht="15.75">
      <c r="A68" s="442" t="s">
        <v>546</v>
      </c>
    </row>
    <row r="69" ht="15.75">
      <c r="A69" s="442" t="s">
        <v>547</v>
      </c>
    </row>
    <row r="70" ht="15.75">
      <c r="A70" s="442" t="s">
        <v>548</v>
      </c>
    </row>
    <row r="71" ht="15.75">
      <c r="A71" s="442" t="s">
        <v>549</v>
      </c>
    </row>
    <row r="72" ht="15.75">
      <c r="A72" s="442" t="s">
        <v>550</v>
      </c>
    </row>
    <row r="73" ht="15.75">
      <c r="A73" s="442" t="s">
        <v>551</v>
      </c>
    </row>
    <row r="75" ht="15.75">
      <c r="A75" s="442" t="s">
        <v>76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552</v>
      </c>
      <c r="B3" s="441"/>
      <c r="C3" s="441"/>
      <c r="D3" s="441"/>
      <c r="E3" s="441"/>
      <c r="F3" s="441"/>
      <c r="G3" s="441"/>
    </row>
    <row r="4" spans="1:7" ht="15.75">
      <c r="A4" s="441"/>
      <c r="B4" s="441"/>
      <c r="C4" s="441"/>
      <c r="D4" s="441"/>
      <c r="E4" s="441"/>
      <c r="F4" s="441"/>
      <c r="G4" s="441"/>
    </row>
    <row r="5" ht="15.75">
      <c r="A5" s="442" t="s">
        <v>78</v>
      </c>
    </row>
    <row r="6" ht="15.75">
      <c r="A6" s="442" t="str">
        <f>CONCATENATE(inputPrYr!D5," estimated expenditures show that at the end of this year")</f>
        <v>2012 estimated expenditures show that at the end of this year</v>
      </c>
    </row>
    <row r="7" ht="15.75">
      <c r="A7" s="442" t="s">
        <v>553</v>
      </c>
    </row>
    <row r="8" ht="15.75">
      <c r="A8" s="442" t="s">
        <v>554</v>
      </c>
    </row>
    <row r="10" ht="15.75">
      <c r="A10" t="s">
        <v>80</v>
      </c>
    </row>
    <row r="11" ht="15.75">
      <c r="A11" t="s">
        <v>81</v>
      </c>
    </row>
    <row r="12" ht="15.75">
      <c r="A12" t="s">
        <v>82</v>
      </c>
    </row>
    <row r="13" spans="1:7" ht="15.75">
      <c r="A13" s="441"/>
      <c r="B13" s="441"/>
      <c r="C13" s="441"/>
      <c r="D13" s="441"/>
      <c r="E13" s="441"/>
      <c r="F13" s="441"/>
      <c r="G13" s="441"/>
    </row>
    <row r="14" ht="15.75">
      <c r="A14" s="443" t="s">
        <v>555</v>
      </c>
    </row>
    <row r="15" ht="15.75">
      <c r="A15" s="442"/>
    </row>
    <row r="16" ht="15.75">
      <c r="A16" s="442" t="s">
        <v>556</v>
      </c>
    </row>
    <row r="17" ht="15.75">
      <c r="A17" s="442" t="s">
        <v>557</v>
      </c>
    </row>
    <row r="18" ht="15.75">
      <c r="A18" s="442" t="s">
        <v>558</v>
      </c>
    </row>
    <row r="19" ht="15.75">
      <c r="A19" s="442"/>
    </row>
    <row r="20" ht="15.75">
      <c r="A20" s="442" t="s">
        <v>559</v>
      </c>
    </row>
    <row r="21" ht="15.75">
      <c r="A21" s="442" t="s">
        <v>560</v>
      </c>
    </row>
    <row r="22" ht="15.75">
      <c r="A22" s="442" t="s">
        <v>561</v>
      </c>
    </row>
    <row r="23" ht="15.75">
      <c r="A23" s="442" t="s">
        <v>562</v>
      </c>
    </row>
    <row r="24" ht="15.75">
      <c r="A24" s="442"/>
    </row>
    <row r="25" ht="15.75">
      <c r="A25" s="443" t="s">
        <v>38</v>
      </c>
    </row>
    <row r="26" ht="15.75">
      <c r="A26" s="443"/>
    </row>
    <row r="27" ht="15.75">
      <c r="A27" s="442" t="s">
        <v>39</v>
      </c>
    </row>
    <row r="28" spans="1:6" ht="15.75">
      <c r="A28" s="442" t="s">
        <v>526</v>
      </c>
      <c r="B28" s="442"/>
      <c r="C28" s="442"/>
      <c r="D28" s="442"/>
      <c r="E28" s="442"/>
      <c r="F28" s="442"/>
    </row>
    <row r="29" spans="1:6" ht="15.75">
      <c r="A29" s="442" t="s">
        <v>527</v>
      </c>
      <c r="B29" s="442"/>
      <c r="C29" s="442"/>
      <c r="D29" s="442"/>
      <c r="E29" s="442"/>
      <c r="F29" s="442"/>
    </row>
    <row r="30" spans="1:6" ht="15.75">
      <c r="A30" s="442" t="s">
        <v>528</v>
      </c>
      <c r="B30" s="442"/>
      <c r="C30" s="442"/>
      <c r="D30" s="442"/>
      <c r="E30" s="442"/>
      <c r="F30" s="442"/>
    </row>
    <row r="31" ht="15.75">
      <c r="A31" s="442"/>
    </row>
    <row r="32" spans="1:7" ht="15.75">
      <c r="A32" s="443" t="s">
        <v>529</v>
      </c>
      <c r="B32" s="443"/>
      <c r="C32" s="443"/>
      <c r="D32" s="443"/>
      <c r="E32" s="443"/>
      <c r="F32" s="443"/>
      <c r="G32" s="443"/>
    </row>
    <row r="33" spans="1:7" ht="15.75">
      <c r="A33" s="443" t="s">
        <v>530</v>
      </c>
      <c r="B33" s="443"/>
      <c r="C33" s="443"/>
      <c r="D33" s="443"/>
      <c r="E33" s="443"/>
      <c r="F33" s="443"/>
      <c r="G33" s="443"/>
    </row>
    <row r="34" spans="1:7" ht="15.75">
      <c r="A34" s="443"/>
      <c r="B34" s="443"/>
      <c r="C34" s="443"/>
      <c r="D34" s="443"/>
      <c r="E34" s="443"/>
      <c r="F34" s="443"/>
      <c r="G34" s="443"/>
    </row>
    <row r="35" spans="1:7" ht="15.75">
      <c r="A35" s="442" t="s">
        <v>563</v>
      </c>
      <c r="B35" s="442"/>
      <c r="C35" s="442"/>
      <c r="D35" s="442"/>
      <c r="E35" s="442"/>
      <c r="F35" s="442"/>
      <c r="G35" s="442"/>
    </row>
    <row r="36" spans="1:7" ht="15.75">
      <c r="A36" s="442" t="s">
        <v>564</v>
      </c>
      <c r="B36" s="442"/>
      <c r="C36" s="442"/>
      <c r="D36" s="442"/>
      <c r="E36" s="442"/>
      <c r="F36" s="442"/>
      <c r="G36" s="442"/>
    </row>
    <row r="37" spans="1:7" ht="15.75">
      <c r="A37" s="442" t="s">
        <v>565</v>
      </c>
      <c r="B37" s="442"/>
      <c r="C37" s="442"/>
      <c r="D37" s="442"/>
      <c r="E37" s="442"/>
      <c r="F37" s="442"/>
      <c r="G37" s="442"/>
    </row>
    <row r="38" spans="1:7" ht="15.75">
      <c r="A38" s="442" t="s">
        <v>566</v>
      </c>
      <c r="B38" s="442"/>
      <c r="C38" s="442"/>
      <c r="D38" s="442"/>
      <c r="E38" s="442"/>
      <c r="F38" s="442"/>
      <c r="G38" s="442"/>
    </row>
    <row r="39" spans="1:7" ht="15.75">
      <c r="A39" s="442" t="s">
        <v>567</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531</v>
      </c>
      <c r="B42" s="442"/>
      <c r="C42" s="442"/>
      <c r="D42" s="442"/>
      <c r="E42" s="442"/>
      <c r="F42" s="442"/>
    </row>
    <row r="43" spans="1:6" ht="15.75">
      <c r="A43" s="446" t="s">
        <v>461</v>
      </c>
      <c r="B43" s="442"/>
      <c r="C43" s="442"/>
      <c r="D43" s="442"/>
      <c r="E43" s="442"/>
      <c r="F43" s="442"/>
    </row>
    <row r="44" spans="1:6" ht="15.75">
      <c r="A44" s="446" t="s">
        <v>462</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783</v>
      </c>
      <c r="B47" s="442"/>
      <c r="C47" s="442"/>
      <c r="D47" s="442"/>
      <c r="E47" s="442"/>
      <c r="F47" s="442"/>
    </row>
    <row r="48" spans="1:6" ht="15.75">
      <c r="A48" s="446" t="s">
        <v>784</v>
      </c>
      <c r="B48" s="442"/>
      <c r="C48" s="442"/>
      <c r="D48" s="442"/>
      <c r="E48" s="442"/>
      <c r="F48" s="442"/>
    </row>
    <row r="49" spans="1:7" ht="15.75">
      <c r="A49" s="442"/>
      <c r="B49" s="442"/>
      <c r="C49" s="442"/>
      <c r="D49" s="442"/>
      <c r="E49" s="442"/>
      <c r="F49" s="442"/>
      <c r="G49" s="442"/>
    </row>
    <row r="50" spans="1:7" ht="15.75">
      <c r="A50" s="442" t="s">
        <v>488</v>
      </c>
      <c r="B50" s="442"/>
      <c r="C50" s="442"/>
      <c r="D50" s="442"/>
      <c r="E50" s="442"/>
      <c r="F50" s="442"/>
      <c r="G50" s="442"/>
    </row>
    <row r="51" spans="1:7" ht="15.75">
      <c r="A51" s="442" t="s">
        <v>489</v>
      </c>
      <c r="B51" s="442"/>
      <c r="C51" s="442"/>
      <c r="D51" s="442"/>
      <c r="E51" s="442"/>
      <c r="F51" s="442"/>
      <c r="G51" s="442"/>
    </row>
    <row r="52" spans="1:7" ht="15.75">
      <c r="A52" s="442" t="s">
        <v>490</v>
      </c>
      <c r="B52" s="442"/>
      <c r="C52" s="442"/>
      <c r="D52" s="442"/>
      <c r="E52" s="442"/>
      <c r="F52" s="442"/>
      <c r="G52" s="442"/>
    </row>
    <row r="53" spans="1:7" ht="15.75">
      <c r="A53" s="442" t="s">
        <v>2</v>
      </c>
      <c r="B53" s="442"/>
      <c r="C53" s="442"/>
      <c r="D53" s="442"/>
      <c r="E53" s="442"/>
      <c r="F53" s="442"/>
      <c r="G53" s="442"/>
    </row>
    <row r="54" spans="1:7" ht="15.75">
      <c r="A54" s="442" t="s">
        <v>3</v>
      </c>
      <c r="B54" s="442"/>
      <c r="C54" s="442"/>
      <c r="D54" s="442"/>
      <c r="E54" s="442"/>
      <c r="F54" s="442"/>
      <c r="G54" s="442"/>
    </row>
    <row r="55" spans="1:7" ht="15.75">
      <c r="A55" s="442"/>
      <c r="B55" s="442"/>
      <c r="C55" s="442"/>
      <c r="D55" s="442"/>
      <c r="E55" s="442"/>
      <c r="F55" s="442"/>
      <c r="G55" s="442"/>
    </row>
    <row r="56" spans="1:6" ht="15.75">
      <c r="A56" s="446" t="s">
        <v>793</v>
      </c>
      <c r="B56" s="442"/>
      <c r="C56" s="442"/>
      <c r="D56" s="442"/>
      <c r="E56" s="442"/>
      <c r="F56" s="442"/>
    </row>
    <row r="57" spans="1:6" ht="15.75">
      <c r="A57" s="446" t="s">
        <v>794</v>
      </c>
      <c r="B57" s="442"/>
      <c r="C57" s="442"/>
      <c r="D57" s="442"/>
      <c r="E57" s="442"/>
      <c r="F57" s="442"/>
    </row>
    <row r="58" spans="1:6" ht="15.75">
      <c r="A58" s="446" t="s">
        <v>795</v>
      </c>
      <c r="B58" s="442"/>
      <c r="C58" s="442"/>
      <c r="D58" s="442"/>
      <c r="E58" s="442"/>
      <c r="F58" s="442"/>
    </row>
    <row r="59" spans="1:6" ht="15.75">
      <c r="A59" s="446"/>
      <c r="B59" s="442"/>
      <c r="C59" s="442"/>
      <c r="D59" s="442"/>
      <c r="E59" s="442"/>
      <c r="F59" s="442"/>
    </row>
    <row r="60" spans="1:7" ht="15.75">
      <c r="A60" s="442" t="s">
        <v>568</v>
      </c>
      <c r="B60" s="442"/>
      <c r="C60" s="442"/>
      <c r="D60" s="442"/>
      <c r="E60" s="442"/>
      <c r="F60" s="442"/>
      <c r="G60" s="442"/>
    </row>
    <row r="61" spans="1:7" ht="15.75">
      <c r="A61" s="442" t="s">
        <v>569</v>
      </c>
      <c r="B61" s="442"/>
      <c r="C61" s="442"/>
      <c r="D61" s="442"/>
      <c r="E61" s="442"/>
      <c r="F61" s="442"/>
      <c r="G61" s="442"/>
    </row>
    <row r="62" spans="1:7" ht="15.75">
      <c r="A62" s="442" t="s">
        <v>570</v>
      </c>
      <c r="B62" s="442"/>
      <c r="C62" s="442"/>
      <c r="D62" s="442"/>
      <c r="E62" s="442"/>
      <c r="F62" s="442"/>
      <c r="G62" s="442"/>
    </row>
    <row r="63" spans="1:7" ht="15.75">
      <c r="A63" s="442" t="s">
        <v>571</v>
      </c>
      <c r="B63" s="442"/>
      <c r="C63" s="442"/>
      <c r="D63" s="442"/>
      <c r="E63" s="442"/>
      <c r="F63" s="442"/>
      <c r="G63" s="442"/>
    </row>
    <row r="64" spans="1:7" ht="15.75">
      <c r="A64" s="442" t="s">
        <v>572</v>
      </c>
      <c r="B64" s="442"/>
      <c r="C64" s="442"/>
      <c r="D64" s="442"/>
      <c r="E64" s="442"/>
      <c r="F64" s="442"/>
      <c r="G64" s="442"/>
    </row>
    <row r="66" spans="1:6" ht="15.75">
      <c r="A66" s="446" t="s">
        <v>535</v>
      </c>
      <c r="B66" s="442"/>
      <c r="C66" s="442"/>
      <c r="D66" s="442"/>
      <c r="E66" s="442"/>
      <c r="F66" s="442"/>
    </row>
    <row r="67" spans="1:6" ht="15.75">
      <c r="A67" s="446" t="s">
        <v>536</v>
      </c>
      <c r="B67" s="442"/>
      <c r="C67" s="442"/>
      <c r="D67" s="442"/>
      <c r="E67" s="442"/>
      <c r="F67" s="442"/>
    </row>
    <row r="68" spans="1:6" ht="15.75">
      <c r="A68" s="446" t="s">
        <v>537</v>
      </c>
      <c r="B68" s="442"/>
      <c r="C68" s="442"/>
      <c r="D68" s="442"/>
      <c r="E68" s="442"/>
      <c r="F68" s="442"/>
    </row>
    <row r="69" spans="1:6" ht="15.75">
      <c r="A69" s="446" t="s">
        <v>538</v>
      </c>
      <c r="B69" s="442"/>
      <c r="C69" s="442"/>
      <c r="D69" s="442"/>
      <c r="E69" s="442"/>
      <c r="F69" s="442"/>
    </row>
    <row r="70" spans="1:6" ht="15.75">
      <c r="A70" s="446" t="s">
        <v>539</v>
      </c>
      <c r="B70" s="442"/>
      <c r="C70" s="442"/>
      <c r="D70" s="442"/>
      <c r="E70" s="442"/>
      <c r="F70" s="442"/>
    </row>
    <row r="71" ht="15.75">
      <c r="A71" s="442"/>
    </row>
    <row r="72" ht="15.75">
      <c r="A72" s="442" t="s">
        <v>76</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573</v>
      </c>
      <c r="B3" s="441"/>
      <c r="C3" s="441"/>
      <c r="D3" s="441"/>
      <c r="E3" s="441"/>
      <c r="F3" s="441"/>
      <c r="G3" s="441"/>
    </row>
    <row r="4" spans="1:7" ht="15.75">
      <c r="A4" s="441" t="s">
        <v>574</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447</v>
      </c>
    </row>
    <row r="8" ht="15.75">
      <c r="A8" s="442" t="str">
        <f>CONCATENATE("estimated ",inputPrYr!D5," 'total expenditures' exceed your ",inputPrYr!D5,"")</f>
        <v>estimated 2012 'total expenditures' exceed your 2012</v>
      </c>
    </row>
    <row r="9" ht="15.75">
      <c r="A9" s="445" t="s">
        <v>575</v>
      </c>
    </row>
    <row r="10" ht="15.75">
      <c r="A10" s="442"/>
    </row>
    <row r="11" ht="15.75">
      <c r="A11" s="442" t="s">
        <v>576</v>
      </c>
    </row>
    <row r="12" ht="15.75">
      <c r="A12" s="442" t="s">
        <v>227</v>
      </c>
    </row>
    <row r="13" ht="15.75">
      <c r="A13" s="442" t="s">
        <v>228</v>
      </c>
    </row>
    <row r="14" ht="15.75">
      <c r="A14" s="442"/>
    </row>
    <row r="15" ht="15.75">
      <c r="A15" s="443" t="s">
        <v>229</v>
      </c>
    </row>
    <row r="16" spans="1:7" ht="15.75">
      <c r="A16" s="441"/>
      <c r="B16" s="441"/>
      <c r="C16" s="441"/>
      <c r="D16" s="441"/>
      <c r="E16" s="441"/>
      <c r="F16" s="441"/>
      <c r="G16" s="441"/>
    </row>
    <row r="17" spans="1:8" ht="15.75">
      <c r="A17" s="448" t="s">
        <v>230</v>
      </c>
      <c r="B17" s="422"/>
      <c r="C17" s="422"/>
      <c r="D17" s="422"/>
      <c r="E17" s="422"/>
      <c r="F17" s="422"/>
      <c r="G17" s="422"/>
      <c r="H17" s="422"/>
    </row>
    <row r="18" spans="1:7" ht="15.75">
      <c r="A18" s="442" t="s">
        <v>231</v>
      </c>
      <c r="B18" s="449"/>
      <c r="C18" s="449"/>
      <c r="D18" s="449"/>
      <c r="E18" s="449"/>
      <c r="F18" s="449"/>
      <c r="G18" s="449"/>
    </row>
    <row r="19" ht="15.75">
      <c r="A19" s="442" t="s">
        <v>232</v>
      </c>
    </row>
    <row r="20" ht="15.75">
      <c r="A20" s="442" t="s">
        <v>233</v>
      </c>
    </row>
    <row r="22" ht="15.75">
      <c r="A22" s="443" t="s">
        <v>234</v>
      </c>
    </row>
    <row r="24" ht="15.75">
      <c r="A24" s="442" t="s">
        <v>235</v>
      </c>
    </row>
    <row r="25" ht="15.75">
      <c r="A25" s="442" t="s">
        <v>236</v>
      </c>
    </row>
    <row r="26" ht="15.75">
      <c r="A26" s="442" t="s">
        <v>237</v>
      </c>
    </row>
    <row r="28" ht="15.75">
      <c r="A28" s="443" t="s">
        <v>238</v>
      </c>
    </row>
    <row r="30" ht="15.75">
      <c r="A30" t="s">
        <v>239</v>
      </c>
    </row>
    <row r="31" ht="15.75">
      <c r="A31" t="s">
        <v>240</v>
      </c>
    </row>
    <row r="32" ht="15.75">
      <c r="A32" t="s">
        <v>241</v>
      </c>
    </row>
    <row r="33" ht="15.75">
      <c r="A33" s="442" t="s">
        <v>242</v>
      </c>
    </row>
    <row r="35" ht="15.75">
      <c r="A35" t="s">
        <v>243</v>
      </c>
    </row>
    <row r="36" ht="15.75">
      <c r="A36" t="s">
        <v>244</v>
      </c>
    </row>
    <row r="37" ht="15.75">
      <c r="A37" t="s">
        <v>245</v>
      </c>
    </row>
    <row r="38" ht="15.75">
      <c r="A38" t="s">
        <v>246</v>
      </c>
    </row>
    <row r="40" ht="15.75">
      <c r="A40" t="s">
        <v>247</v>
      </c>
    </row>
    <row r="41" ht="15.75">
      <c r="A41" t="s">
        <v>248</v>
      </c>
    </row>
    <row r="42" ht="15.75">
      <c r="A42" t="s">
        <v>249</v>
      </c>
    </row>
    <row r="43" ht="15.75">
      <c r="A43" t="s">
        <v>250</v>
      </c>
    </row>
    <row r="44" ht="15.75">
      <c r="A44" t="s">
        <v>251</v>
      </c>
    </row>
    <row r="45" ht="15.75">
      <c r="A45" t="s">
        <v>252</v>
      </c>
    </row>
    <row r="47" ht="15.75">
      <c r="A47" t="s">
        <v>617</v>
      </c>
    </row>
    <row r="48" ht="15.75">
      <c r="A48" t="s">
        <v>618</v>
      </c>
    </row>
    <row r="49" ht="15.75">
      <c r="A49" s="442" t="s">
        <v>619</v>
      </c>
    </row>
    <row r="50" ht="15.75">
      <c r="A50" s="442" t="s">
        <v>620</v>
      </c>
    </row>
    <row r="52" ht="15.75">
      <c r="A52" t="s">
        <v>76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8" t="s">
        <v>664</v>
      </c>
      <c r="C6" s="764"/>
      <c r="D6" s="764"/>
      <c r="E6" s="764"/>
      <c r="F6" s="764"/>
      <c r="G6" s="764"/>
      <c r="H6" s="764"/>
      <c r="I6" s="764"/>
      <c r="J6" s="764"/>
      <c r="K6" s="764"/>
      <c r="L6" s="558"/>
    </row>
    <row r="7" spans="1:12" ht="40.5" customHeight="1">
      <c r="A7" s="561"/>
      <c r="B7" s="775" t="s">
        <v>665</v>
      </c>
      <c r="C7" s="776"/>
      <c r="D7" s="776"/>
      <c r="E7" s="776"/>
      <c r="F7" s="776"/>
      <c r="G7" s="776"/>
      <c r="H7" s="776"/>
      <c r="I7" s="776"/>
      <c r="J7" s="776"/>
      <c r="K7" s="776"/>
      <c r="L7" s="561"/>
    </row>
    <row r="8" spans="1:12" ht="14.25">
      <c r="A8" s="561"/>
      <c r="B8" s="770" t="s">
        <v>666</v>
      </c>
      <c r="C8" s="770"/>
      <c r="D8" s="770"/>
      <c r="E8" s="770"/>
      <c r="F8" s="770"/>
      <c r="G8" s="770"/>
      <c r="H8" s="770"/>
      <c r="I8" s="770"/>
      <c r="J8" s="770"/>
      <c r="K8" s="770"/>
      <c r="L8" s="561"/>
    </row>
    <row r="9" spans="1:12" ht="14.25">
      <c r="A9" s="561"/>
      <c r="L9" s="561"/>
    </row>
    <row r="10" spans="1:12" ht="14.25">
      <c r="A10" s="561"/>
      <c r="B10" s="770" t="s">
        <v>667</v>
      </c>
      <c r="C10" s="770"/>
      <c r="D10" s="770"/>
      <c r="E10" s="770"/>
      <c r="F10" s="770"/>
      <c r="G10" s="770"/>
      <c r="H10" s="770"/>
      <c r="I10" s="770"/>
      <c r="J10" s="770"/>
      <c r="K10" s="770"/>
      <c r="L10" s="561"/>
    </row>
    <row r="11" spans="1:12" ht="14.25">
      <c r="A11" s="561"/>
      <c r="B11" s="557"/>
      <c r="C11" s="557"/>
      <c r="D11" s="557"/>
      <c r="E11" s="557"/>
      <c r="F11" s="557"/>
      <c r="G11" s="557"/>
      <c r="H11" s="557"/>
      <c r="I11" s="557"/>
      <c r="J11" s="557"/>
      <c r="K11" s="557"/>
      <c r="L11" s="561"/>
    </row>
    <row r="12" spans="1:12" ht="32.25" customHeight="1">
      <c r="A12" s="561"/>
      <c r="B12" s="759" t="s">
        <v>668</v>
      </c>
      <c r="C12" s="759"/>
      <c r="D12" s="759"/>
      <c r="E12" s="759"/>
      <c r="F12" s="759"/>
      <c r="G12" s="759"/>
      <c r="H12" s="759"/>
      <c r="I12" s="759"/>
      <c r="J12" s="759"/>
      <c r="K12" s="759"/>
      <c r="L12" s="561"/>
    </row>
    <row r="13" spans="1:12" ht="14.25">
      <c r="A13" s="561"/>
      <c r="L13" s="561"/>
    </row>
    <row r="14" spans="1:12" ht="14.25">
      <c r="A14" s="561"/>
      <c r="B14" s="556" t="s">
        <v>669</v>
      </c>
      <c r="L14" s="561"/>
    </row>
    <row r="15" spans="1:12" ht="14.25">
      <c r="A15" s="561"/>
      <c r="L15" s="561"/>
    </row>
    <row r="16" spans="1:12" ht="14.25">
      <c r="A16" s="561"/>
      <c r="B16" s="559" t="s">
        <v>670</v>
      </c>
      <c r="L16" s="561"/>
    </row>
    <row r="17" spans="1:12" ht="14.25">
      <c r="A17" s="561"/>
      <c r="B17" s="559" t="s">
        <v>671</v>
      </c>
      <c r="L17" s="561"/>
    </row>
    <row r="18" spans="1:12" ht="14.25">
      <c r="A18" s="561"/>
      <c r="L18" s="561"/>
    </row>
    <row r="19" spans="1:12" ht="14.25">
      <c r="A19" s="561"/>
      <c r="B19" s="556" t="s">
        <v>672</v>
      </c>
      <c r="L19" s="561"/>
    </row>
    <row r="20" spans="1:12" ht="14.25">
      <c r="A20" s="561"/>
      <c r="B20" s="556"/>
      <c r="L20" s="561"/>
    </row>
    <row r="21" spans="1:12" ht="14.25">
      <c r="A21" s="561"/>
      <c r="B21" s="559" t="s">
        <v>282</v>
      </c>
      <c r="L21" s="561"/>
    </row>
    <row r="22" spans="1:12" ht="14.25">
      <c r="A22" s="561"/>
      <c r="L22" s="561"/>
    </row>
    <row r="23" spans="1:12" ht="14.25">
      <c r="A23" s="561"/>
      <c r="B23" s="559" t="s">
        <v>283</v>
      </c>
      <c r="E23" s="559" t="s">
        <v>284</v>
      </c>
      <c r="F23" s="754">
        <v>133685008</v>
      </c>
      <c r="G23" s="754"/>
      <c r="L23" s="561"/>
    </row>
    <row r="24" spans="1:12" ht="14.25">
      <c r="A24" s="561"/>
      <c r="L24" s="561"/>
    </row>
    <row r="25" spans="1:12" ht="14.25">
      <c r="A25" s="561"/>
      <c r="C25" s="771">
        <f>F23</f>
        <v>133685008</v>
      </c>
      <c r="D25" s="771"/>
      <c r="E25" s="559" t="s">
        <v>285</v>
      </c>
      <c r="F25" s="555">
        <v>1000</v>
      </c>
      <c r="G25" s="555" t="s">
        <v>284</v>
      </c>
      <c r="H25" s="554">
        <f>F23/F25</f>
        <v>133685.008</v>
      </c>
      <c r="L25" s="561"/>
    </row>
    <row r="26" spans="1:12" ht="15" thickBot="1">
      <c r="A26" s="561"/>
      <c r="L26" s="561"/>
    </row>
    <row r="27" spans="1:12" ht="14.25">
      <c r="A27" s="561"/>
      <c r="B27" s="553" t="s">
        <v>669</v>
      </c>
      <c r="C27" s="552"/>
      <c r="D27" s="552"/>
      <c r="E27" s="552"/>
      <c r="F27" s="552"/>
      <c r="G27" s="552"/>
      <c r="H27" s="552"/>
      <c r="I27" s="552"/>
      <c r="J27" s="552"/>
      <c r="K27" s="551"/>
      <c r="L27" s="561"/>
    </row>
    <row r="28" spans="1:12" ht="14.25">
      <c r="A28" s="561"/>
      <c r="B28" s="550">
        <f>F23</f>
        <v>133685008</v>
      </c>
      <c r="C28" s="549" t="s">
        <v>286</v>
      </c>
      <c r="D28" s="549"/>
      <c r="E28" s="549" t="s">
        <v>285</v>
      </c>
      <c r="F28" s="548">
        <v>1000</v>
      </c>
      <c r="G28" s="548" t="s">
        <v>284</v>
      </c>
      <c r="H28" s="547">
        <f>B28/F28</f>
        <v>133685.008</v>
      </c>
      <c r="I28" s="549" t="s">
        <v>287</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665</v>
      </c>
      <c r="C30" s="761"/>
      <c r="D30" s="761"/>
      <c r="E30" s="761"/>
      <c r="F30" s="761"/>
      <c r="G30" s="761"/>
      <c r="H30" s="761"/>
      <c r="I30" s="761"/>
      <c r="J30" s="761"/>
      <c r="K30" s="761"/>
      <c r="L30" s="561"/>
    </row>
    <row r="31" spans="1:12" ht="14.25">
      <c r="A31" s="561"/>
      <c r="B31" s="770" t="s">
        <v>288</v>
      </c>
      <c r="C31" s="770"/>
      <c r="D31" s="770"/>
      <c r="E31" s="770"/>
      <c r="F31" s="770"/>
      <c r="G31" s="770"/>
      <c r="H31" s="770"/>
      <c r="I31" s="770"/>
      <c r="J31" s="770"/>
      <c r="K31" s="770"/>
      <c r="L31" s="561"/>
    </row>
    <row r="32" spans="1:12" ht="14.25">
      <c r="A32" s="561"/>
      <c r="L32" s="561"/>
    </row>
    <row r="33" spans="1:12" ht="14.25">
      <c r="A33" s="561"/>
      <c r="B33" s="770" t="s">
        <v>289</v>
      </c>
      <c r="C33" s="770"/>
      <c r="D33" s="770"/>
      <c r="E33" s="770"/>
      <c r="F33" s="770"/>
      <c r="G33" s="770"/>
      <c r="H33" s="770"/>
      <c r="I33" s="770"/>
      <c r="J33" s="770"/>
      <c r="K33" s="770"/>
      <c r="L33" s="561"/>
    </row>
    <row r="34" spans="1:12" ht="14.25">
      <c r="A34" s="561"/>
      <c r="L34" s="561"/>
    </row>
    <row r="35" spans="1:12" ht="89.25" customHeight="1">
      <c r="A35" s="561"/>
      <c r="B35" s="759" t="s">
        <v>717</v>
      </c>
      <c r="C35" s="767"/>
      <c r="D35" s="767"/>
      <c r="E35" s="767"/>
      <c r="F35" s="767"/>
      <c r="G35" s="767"/>
      <c r="H35" s="767"/>
      <c r="I35" s="767"/>
      <c r="J35" s="767"/>
      <c r="K35" s="767"/>
      <c r="L35" s="561"/>
    </row>
    <row r="36" spans="1:12" ht="14.25">
      <c r="A36" s="561"/>
      <c r="L36" s="561"/>
    </row>
    <row r="37" spans="1:12" ht="14.25">
      <c r="A37" s="561"/>
      <c r="B37" s="556" t="s">
        <v>718</v>
      </c>
      <c r="L37" s="561"/>
    </row>
    <row r="38" spans="1:12" ht="14.25">
      <c r="A38" s="561"/>
      <c r="L38" s="561"/>
    </row>
    <row r="39" spans="1:12" ht="14.25">
      <c r="A39" s="561"/>
      <c r="B39" s="559" t="s">
        <v>719</v>
      </c>
      <c r="L39" s="561"/>
    </row>
    <row r="40" spans="1:12" ht="14.25">
      <c r="A40" s="561"/>
      <c r="L40" s="561"/>
    </row>
    <row r="41" spans="1:12" ht="14.25">
      <c r="A41" s="561"/>
      <c r="C41" s="772">
        <v>3120000</v>
      </c>
      <c r="D41" s="772"/>
      <c r="E41" s="559" t="s">
        <v>285</v>
      </c>
      <c r="F41" s="555">
        <v>1000</v>
      </c>
      <c r="G41" s="555" t="s">
        <v>284</v>
      </c>
      <c r="H41" s="542">
        <f>C41/F41</f>
        <v>3120</v>
      </c>
      <c r="L41" s="561"/>
    </row>
    <row r="42" spans="1:12" ht="14.25">
      <c r="A42" s="561"/>
      <c r="L42" s="561"/>
    </row>
    <row r="43" spans="1:12" ht="14.25">
      <c r="A43" s="561"/>
      <c r="B43" s="559" t="s">
        <v>720</v>
      </c>
      <c r="L43" s="561"/>
    </row>
    <row r="44" spans="1:12" ht="14.25">
      <c r="A44" s="561"/>
      <c r="L44" s="561"/>
    </row>
    <row r="45" spans="1:12" ht="14.25">
      <c r="A45" s="561"/>
      <c r="B45" s="559" t="s">
        <v>721</v>
      </c>
      <c r="L45" s="561"/>
    </row>
    <row r="46" spans="1:12" ht="15" thickBot="1">
      <c r="A46" s="561"/>
      <c r="L46" s="561"/>
    </row>
    <row r="47" spans="1:12" ht="14.25">
      <c r="A47" s="561"/>
      <c r="B47" s="541" t="s">
        <v>669</v>
      </c>
      <c r="C47" s="552"/>
      <c r="D47" s="552"/>
      <c r="E47" s="552"/>
      <c r="F47" s="552"/>
      <c r="G47" s="552"/>
      <c r="H47" s="552"/>
      <c r="I47" s="552"/>
      <c r="J47" s="552"/>
      <c r="K47" s="551"/>
      <c r="L47" s="561"/>
    </row>
    <row r="48" spans="1:12" ht="14.25">
      <c r="A48" s="561"/>
      <c r="B48" s="754">
        <v>133685008</v>
      </c>
      <c r="C48" s="754"/>
      <c r="D48" s="549" t="s">
        <v>722</v>
      </c>
      <c r="E48" s="549" t="s">
        <v>285</v>
      </c>
      <c r="F48" s="548">
        <v>1000</v>
      </c>
      <c r="G48" s="548" t="s">
        <v>284</v>
      </c>
      <c r="H48" s="547">
        <f>B48/F48</f>
        <v>133685.008</v>
      </c>
      <c r="I48" s="549" t="s">
        <v>723</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724</v>
      </c>
      <c r="D50" s="549"/>
      <c r="E50" s="549" t="s">
        <v>285</v>
      </c>
      <c r="F50" s="547">
        <f>H48</f>
        <v>133685.008</v>
      </c>
      <c r="G50" s="773" t="s">
        <v>725</v>
      </c>
      <c r="H50" s="774"/>
      <c r="I50" s="548" t="s">
        <v>284</v>
      </c>
      <c r="J50" s="538">
        <f>B50/F50</f>
        <v>52.8690023342034</v>
      </c>
      <c r="K50" s="546"/>
      <c r="L50" s="561"/>
    </row>
    <row r="51" spans="1:15" ht="15" thickBot="1">
      <c r="A51" s="561"/>
      <c r="B51" s="545"/>
      <c r="C51" s="544"/>
      <c r="D51" s="544"/>
      <c r="E51" s="544"/>
      <c r="F51" s="544"/>
      <c r="G51" s="544"/>
      <c r="H51" s="544"/>
      <c r="I51" s="768" t="s">
        <v>726</v>
      </c>
      <c r="J51" s="768"/>
      <c r="K51" s="769"/>
      <c r="L51" s="561"/>
      <c r="O51" s="537"/>
    </row>
    <row r="52" spans="1:12" ht="40.5" customHeight="1">
      <c r="A52" s="561"/>
      <c r="B52" s="761" t="s">
        <v>665</v>
      </c>
      <c r="C52" s="761"/>
      <c r="D52" s="761"/>
      <c r="E52" s="761"/>
      <c r="F52" s="761"/>
      <c r="G52" s="761"/>
      <c r="H52" s="761"/>
      <c r="I52" s="761"/>
      <c r="J52" s="761"/>
      <c r="K52" s="761"/>
      <c r="L52" s="561"/>
    </row>
    <row r="53" spans="1:12" ht="14.25">
      <c r="A53" s="561"/>
      <c r="B53" s="770" t="s">
        <v>727</v>
      </c>
      <c r="C53" s="770"/>
      <c r="D53" s="770"/>
      <c r="E53" s="770"/>
      <c r="F53" s="770"/>
      <c r="G53" s="770"/>
      <c r="H53" s="770"/>
      <c r="I53" s="770"/>
      <c r="J53" s="770"/>
      <c r="K53" s="770"/>
      <c r="L53" s="561"/>
    </row>
    <row r="54" spans="1:12" ht="14.25">
      <c r="A54" s="561"/>
      <c r="B54" s="557"/>
      <c r="C54" s="557"/>
      <c r="D54" s="557"/>
      <c r="E54" s="557"/>
      <c r="F54" s="557"/>
      <c r="G54" s="557"/>
      <c r="H54" s="557"/>
      <c r="I54" s="557"/>
      <c r="J54" s="557"/>
      <c r="K54" s="557"/>
      <c r="L54" s="561"/>
    </row>
    <row r="55" spans="1:12" ht="14.25">
      <c r="A55" s="561"/>
      <c r="B55" s="758" t="s">
        <v>728</v>
      </c>
      <c r="C55" s="758"/>
      <c r="D55" s="758"/>
      <c r="E55" s="758"/>
      <c r="F55" s="758"/>
      <c r="G55" s="758"/>
      <c r="H55" s="758"/>
      <c r="I55" s="758"/>
      <c r="J55" s="758"/>
      <c r="K55" s="758"/>
      <c r="L55" s="561"/>
    </row>
    <row r="56" spans="1:12" ht="15" customHeight="1">
      <c r="A56" s="561"/>
      <c r="L56" s="561"/>
    </row>
    <row r="57" spans="1:24" ht="74.25" customHeight="1">
      <c r="A57" s="561"/>
      <c r="B57" s="759" t="s">
        <v>729</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9"/>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718</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730</v>
      </c>
      <c r="L61" s="561"/>
      <c r="M61" s="535"/>
      <c r="N61" s="535"/>
      <c r="O61" s="535"/>
      <c r="P61" s="535"/>
      <c r="Q61" s="535"/>
      <c r="R61" s="535"/>
      <c r="S61" s="535"/>
      <c r="T61" s="535"/>
      <c r="U61" s="535"/>
      <c r="V61" s="535"/>
      <c r="W61" s="535"/>
      <c r="X61" s="535"/>
    </row>
    <row r="62" spans="1:24" ht="14.25">
      <c r="A62" s="561"/>
      <c r="B62" s="559" t="s">
        <v>731</v>
      </c>
      <c r="L62" s="561"/>
      <c r="M62" s="535"/>
      <c r="N62" s="535"/>
      <c r="O62" s="535"/>
      <c r="P62" s="535"/>
      <c r="Q62" s="535"/>
      <c r="R62" s="535"/>
      <c r="S62" s="535"/>
      <c r="T62" s="535"/>
      <c r="U62" s="535"/>
      <c r="V62" s="535"/>
      <c r="W62" s="535"/>
      <c r="X62" s="535"/>
    </row>
    <row r="63" spans="1:24" ht="14.25">
      <c r="A63" s="561"/>
      <c r="B63" s="559" t="s">
        <v>732</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733</v>
      </c>
      <c r="L65" s="561"/>
      <c r="M65" s="535"/>
      <c r="N65" s="535"/>
      <c r="O65" s="535"/>
      <c r="P65" s="535"/>
      <c r="Q65" s="535"/>
      <c r="R65" s="535"/>
      <c r="S65" s="535"/>
      <c r="T65" s="535"/>
      <c r="U65" s="535"/>
      <c r="V65" s="535"/>
      <c r="W65" s="535"/>
      <c r="X65" s="535"/>
    </row>
    <row r="66" spans="1:24" ht="14.25">
      <c r="A66" s="561"/>
      <c r="B66" s="559" t="s">
        <v>734</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735</v>
      </c>
      <c r="L68" s="561"/>
      <c r="M68" s="534"/>
      <c r="N68" s="533"/>
      <c r="O68" s="533"/>
      <c r="P68" s="533"/>
      <c r="Q68" s="533"/>
      <c r="R68" s="533"/>
      <c r="S68" s="533"/>
      <c r="T68" s="533"/>
      <c r="U68" s="533"/>
      <c r="V68" s="533"/>
      <c r="W68" s="533"/>
      <c r="X68" s="535"/>
    </row>
    <row r="69" spans="1:24" ht="14.25">
      <c r="A69" s="561"/>
      <c r="B69" s="559" t="s">
        <v>736</v>
      </c>
      <c r="L69" s="561"/>
      <c r="M69" s="535"/>
      <c r="N69" s="535"/>
      <c r="O69" s="535"/>
      <c r="P69" s="535"/>
      <c r="Q69" s="535"/>
      <c r="R69" s="535"/>
      <c r="S69" s="535"/>
      <c r="T69" s="535"/>
      <c r="U69" s="535"/>
      <c r="V69" s="535"/>
      <c r="W69" s="535"/>
      <c r="X69" s="535"/>
    </row>
    <row r="70" spans="1:24" ht="14.25">
      <c r="A70" s="561"/>
      <c r="B70" s="559" t="s">
        <v>737</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669</v>
      </c>
      <c r="C72" s="552"/>
      <c r="D72" s="552"/>
      <c r="E72" s="552"/>
      <c r="F72" s="552"/>
      <c r="G72" s="552"/>
      <c r="H72" s="552"/>
      <c r="I72" s="552"/>
      <c r="J72" s="552"/>
      <c r="K72" s="551"/>
      <c r="L72" s="532"/>
    </row>
    <row r="73" spans="1:12" ht="14.25">
      <c r="A73" s="561"/>
      <c r="B73" s="540"/>
      <c r="C73" s="549" t="s">
        <v>286</v>
      </c>
      <c r="D73" s="549"/>
      <c r="E73" s="549"/>
      <c r="F73" s="549"/>
      <c r="G73" s="549"/>
      <c r="H73" s="549"/>
      <c r="I73" s="549"/>
      <c r="J73" s="549"/>
      <c r="K73" s="546"/>
      <c r="L73" s="532"/>
    </row>
    <row r="74" spans="1:12" ht="14.25">
      <c r="A74" s="561"/>
      <c r="B74" s="540" t="s">
        <v>738</v>
      </c>
      <c r="C74" s="754">
        <v>133685008</v>
      </c>
      <c r="D74" s="754"/>
      <c r="E74" s="548" t="s">
        <v>285</v>
      </c>
      <c r="F74" s="548">
        <v>1000</v>
      </c>
      <c r="G74" s="548" t="s">
        <v>284</v>
      </c>
      <c r="H74" s="531">
        <f>C74/F74</f>
        <v>133685.008</v>
      </c>
      <c r="I74" s="549" t="s">
        <v>739</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740</v>
      </c>
      <c r="D76" s="549"/>
      <c r="E76" s="548"/>
      <c r="F76" s="549" t="s">
        <v>739</v>
      </c>
      <c r="G76" s="549"/>
      <c r="H76" s="549"/>
      <c r="I76" s="549"/>
      <c r="J76" s="549"/>
      <c r="K76" s="546"/>
      <c r="L76" s="532"/>
    </row>
    <row r="77" spans="1:12" ht="14.25">
      <c r="A77" s="561"/>
      <c r="B77" s="540" t="s">
        <v>741</v>
      </c>
      <c r="C77" s="754">
        <v>5000</v>
      </c>
      <c r="D77" s="754"/>
      <c r="E77" s="548" t="s">
        <v>285</v>
      </c>
      <c r="F77" s="531">
        <f>H74</f>
        <v>133685.008</v>
      </c>
      <c r="G77" s="548" t="s">
        <v>284</v>
      </c>
      <c r="H77" s="538">
        <f>C77/F77</f>
        <v>0.03740135169083432</v>
      </c>
      <c r="I77" s="549" t="s">
        <v>742</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743</v>
      </c>
      <c r="D79" s="529"/>
      <c r="E79" s="528"/>
      <c r="F79" s="529"/>
      <c r="G79" s="529"/>
      <c r="H79" s="529"/>
      <c r="I79" s="529"/>
      <c r="J79" s="529"/>
      <c r="K79" s="527"/>
      <c r="L79" s="532"/>
    </row>
    <row r="80" spans="1:12" ht="14.25">
      <c r="A80" s="561"/>
      <c r="B80" s="540" t="s">
        <v>744</v>
      </c>
      <c r="C80" s="754">
        <v>100000</v>
      </c>
      <c r="D80" s="754"/>
      <c r="E80" s="548" t="s">
        <v>338</v>
      </c>
      <c r="F80" s="548">
        <v>0.115</v>
      </c>
      <c r="G80" s="548" t="s">
        <v>284</v>
      </c>
      <c r="H80" s="531">
        <f>C80*F80</f>
        <v>11500</v>
      </c>
      <c r="I80" s="549" t="s">
        <v>745</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746</v>
      </c>
      <c r="D82" s="529"/>
      <c r="E82" s="528"/>
      <c r="F82" s="529" t="s">
        <v>742</v>
      </c>
      <c r="G82" s="529"/>
      <c r="H82" s="529"/>
      <c r="I82" s="529"/>
      <c r="J82" s="529" t="s">
        <v>747</v>
      </c>
      <c r="K82" s="527"/>
      <c r="L82" s="532"/>
    </row>
    <row r="83" spans="1:12" ht="14.25">
      <c r="A83" s="561"/>
      <c r="B83" s="540" t="s">
        <v>748</v>
      </c>
      <c r="C83" s="755">
        <f>H80</f>
        <v>11500</v>
      </c>
      <c r="D83" s="755"/>
      <c r="E83" s="548" t="s">
        <v>338</v>
      </c>
      <c r="F83" s="538">
        <f>H77</f>
        <v>0.03740135169083432</v>
      </c>
      <c r="G83" s="548" t="s">
        <v>285</v>
      </c>
      <c r="H83" s="548">
        <v>1000</v>
      </c>
      <c r="I83" s="548" t="s">
        <v>284</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665</v>
      </c>
      <c r="C85" s="761"/>
      <c r="D85" s="761"/>
      <c r="E85" s="761"/>
      <c r="F85" s="761"/>
      <c r="G85" s="761"/>
      <c r="H85" s="761"/>
      <c r="I85" s="761"/>
      <c r="J85" s="761"/>
      <c r="K85" s="761"/>
      <c r="L85" s="561"/>
    </row>
    <row r="86" spans="1:12" ht="14.25">
      <c r="A86" s="561"/>
      <c r="B86" s="758" t="s">
        <v>749</v>
      </c>
      <c r="C86" s="758"/>
      <c r="D86" s="758"/>
      <c r="E86" s="758"/>
      <c r="F86" s="758"/>
      <c r="G86" s="758"/>
      <c r="H86" s="758"/>
      <c r="I86" s="758"/>
      <c r="J86" s="758"/>
      <c r="K86" s="758"/>
      <c r="L86" s="561"/>
    </row>
    <row r="87" spans="1:12" ht="14.25">
      <c r="A87" s="561"/>
      <c r="B87" s="521"/>
      <c r="C87" s="521"/>
      <c r="D87" s="521"/>
      <c r="E87" s="521"/>
      <c r="F87" s="521"/>
      <c r="G87" s="521"/>
      <c r="H87" s="521"/>
      <c r="I87" s="521"/>
      <c r="J87" s="521"/>
      <c r="K87" s="521"/>
      <c r="L87" s="561"/>
    </row>
    <row r="88" spans="1:12" ht="14.25">
      <c r="A88" s="561"/>
      <c r="B88" s="758" t="s">
        <v>750</v>
      </c>
      <c r="C88" s="758"/>
      <c r="D88" s="758"/>
      <c r="E88" s="758"/>
      <c r="F88" s="758"/>
      <c r="G88" s="758"/>
      <c r="H88" s="758"/>
      <c r="I88" s="758"/>
      <c r="J88" s="758"/>
      <c r="K88" s="758"/>
      <c r="L88" s="561"/>
    </row>
    <row r="89" spans="1:12" ht="14.25">
      <c r="A89" s="561"/>
      <c r="B89" s="520"/>
      <c r="C89" s="520"/>
      <c r="D89" s="520"/>
      <c r="E89" s="520"/>
      <c r="F89" s="520"/>
      <c r="G89" s="520"/>
      <c r="H89" s="520"/>
      <c r="I89" s="520"/>
      <c r="J89" s="520"/>
      <c r="K89" s="520"/>
      <c r="L89" s="561"/>
    </row>
    <row r="90" spans="1:12" ht="45" customHeight="1">
      <c r="A90" s="561"/>
      <c r="B90" s="759" t="s">
        <v>751</v>
      </c>
      <c r="C90" s="759"/>
      <c r="D90" s="759"/>
      <c r="E90" s="759"/>
      <c r="F90" s="759"/>
      <c r="G90" s="759"/>
      <c r="H90" s="759"/>
      <c r="I90" s="759"/>
      <c r="J90" s="759"/>
      <c r="K90" s="759"/>
      <c r="L90" s="561"/>
    </row>
    <row r="91" spans="1:12" ht="15" customHeight="1" thickBot="1">
      <c r="A91" s="561"/>
      <c r="L91" s="561"/>
    </row>
    <row r="92" spans="1:12" ht="15" customHeight="1">
      <c r="A92" s="561"/>
      <c r="B92" s="519" t="s">
        <v>669</v>
      </c>
      <c r="C92" s="518"/>
      <c r="D92" s="518"/>
      <c r="E92" s="518"/>
      <c r="F92" s="518"/>
      <c r="G92" s="518"/>
      <c r="H92" s="518"/>
      <c r="I92" s="518"/>
      <c r="J92" s="518"/>
      <c r="K92" s="517"/>
      <c r="L92" s="561"/>
    </row>
    <row r="93" spans="1:12" ht="15" customHeight="1">
      <c r="A93" s="561"/>
      <c r="B93" s="516"/>
      <c r="C93" s="515" t="s">
        <v>286</v>
      </c>
      <c r="D93" s="515"/>
      <c r="E93" s="515"/>
      <c r="F93" s="515"/>
      <c r="G93" s="515"/>
      <c r="H93" s="515"/>
      <c r="I93" s="515"/>
      <c r="J93" s="515"/>
      <c r="K93" s="514"/>
      <c r="L93" s="561"/>
    </row>
    <row r="94" spans="1:12" ht="15" customHeight="1">
      <c r="A94" s="561"/>
      <c r="B94" s="516" t="s">
        <v>738</v>
      </c>
      <c r="C94" s="754">
        <v>133685008</v>
      </c>
      <c r="D94" s="754"/>
      <c r="E94" s="548" t="s">
        <v>285</v>
      </c>
      <c r="F94" s="548">
        <v>1000</v>
      </c>
      <c r="G94" s="548" t="s">
        <v>284</v>
      </c>
      <c r="H94" s="531">
        <f>C94/F94</f>
        <v>133685.008</v>
      </c>
      <c r="I94" s="515" t="s">
        <v>739</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740</v>
      </c>
      <c r="D96" s="515"/>
      <c r="E96" s="548"/>
      <c r="F96" s="515" t="s">
        <v>739</v>
      </c>
      <c r="G96" s="515"/>
      <c r="H96" s="515"/>
      <c r="I96" s="515"/>
      <c r="J96" s="515"/>
      <c r="K96" s="514"/>
      <c r="L96" s="561"/>
    </row>
    <row r="97" spans="1:12" ht="15" customHeight="1">
      <c r="A97" s="561"/>
      <c r="B97" s="516" t="s">
        <v>741</v>
      </c>
      <c r="C97" s="754">
        <v>50000</v>
      </c>
      <c r="D97" s="754"/>
      <c r="E97" s="548" t="s">
        <v>285</v>
      </c>
      <c r="F97" s="531">
        <f>H94</f>
        <v>133685.008</v>
      </c>
      <c r="G97" s="548" t="s">
        <v>284</v>
      </c>
      <c r="H97" s="538">
        <f>C97/F97</f>
        <v>0.3740135169083432</v>
      </c>
      <c r="I97" s="515" t="s">
        <v>742</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752</v>
      </c>
      <c r="D99" s="512"/>
      <c r="E99" s="528"/>
      <c r="F99" s="512"/>
      <c r="G99" s="512"/>
      <c r="H99" s="512"/>
      <c r="I99" s="512"/>
      <c r="J99" s="512"/>
      <c r="K99" s="511"/>
      <c r="L99" s="561"/>
    </row>
    <row r="100" spans="1:12" ht="15" customHeight="1">
      <c r="A100" s="561"/>
      <c r="B100" s="516" t="s">
        <v>744</v>
      </c>
      <c r="C100" s="754">
        <v>2500000</v>
      </c>
      <c r="D100" s="754"/>
      <c r="E100" s="548" t="s">
        <v>338</v>
      </c>
      <c r="F100" s="510">
        <v>0.3</v>
      </c>
      <c r="G100" s="548" t="s">
        <v>284</v>
      </c>
      <c r="H100" s="531">
        <f>C100*F100</f>
        <v>750000</v>
      </c>
      <c r="I100" s="515" t="s">
        <v>745</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746</v>
      </c>
      <c r="D102" s="512"/>
      <c r="E102" s="528"/>
      <c r="F102" s="512" t="s">
        <v>742</v>
      </c>
      <c r="G102" s="512"/>
      <c r="H102" s="512"/>
      <c r="I102" s="512"/>
      <c r="J102" s="512" t="s">
        <v>747</v>
      </c>
      <c r="K102" s="511"/>
      <c r="L102" s="561"/>
    </row>
    <row r="103" spans="1:12" ht="15" customHeight="1">
      <c r="A103" s="561"/>
      <c r="B103" s="516" t="s">
        <v>748</v>
      </c>
      <c r="C103" s="755">
        <f>H100</f>
        <v>750000</v>
      </c>
      <c r="D103" s="755"/>
      <c r="E103" s="548" t="s">
        <v>338</v>
      </c>
      <c r="F103" s="538">
        <f>H97</f>
        <v>0.3740135169083432</v>
      </c>
      <c r="G103" s="548" t="s">
        <v>285</v>
      </c>
      <c r="H103" s="548">
        <v>1000</v>
      </c>
      <c r="I103" s="548" t="s">
        <v>284</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665</v>
      </c>
      <c r="C105" s="762"/>
      <c r="D105" s="762"/>
      <c r="E105" s="762"/>
      <c r="F105" s="762"/>
      <c r="G105" s="762"/>
      <c r="H105" s="762"/>
      <c r="I105" s="762"/>
      <c r="J105" s="762"/>
      <c r="K105" s="762"/>
      <c r="L105" s="561"/>
    </row>
    <row r="106" spans="1:12" ht="15" customHeight="1">
      <c r="A106" s="561"/>
      <c r="B106" s="763" t="s">
        <v>753</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754</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755</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669</v>
      </c>
      <c r="C112" s="552"/>
      <c r="D112" s="552"/>
      <c r="E112" s="552"/>
      <c r="F112" s="552"/>
      <c r="G112" s="552"/>
      <c r="H112" s="552"/>
      <c r="I112" s="552"/>
      <c r="J112" s="552"/>
      <c r="K112" s="551"/>
      <c r="L112" s="561"/>
    </row>
    <row r="113" spans="1:12" ht="14.25">
      <c r="A113" s="561"/>
      <c r="B113" s="540"/>
      <c r="C113" s="549" t="s">
        <v>286</v>
      </c>
      <c r="D113" s="549"/>
      <c r="E113" s="549"/>
      <c r="F113" s="549"/>
      <c r="G113" s="549"/>
      <c r="H113" s="549"/>
      <c r="I113" s="549"/>
      <c r="J113" s="549"/>
      <c r="K113" s="546"/>
      <c r="L113" s="561"/>
    </row>
    <row r="114" spans="1:12" ht="14.25">
      <c r="A114" s="561"/>
      <c r="B114" s="540" t="s">
        <v>738</v>
      </c>
      <c r="C114" s="754">
        <v>133685008</v>
      </c>
      <c r="D114" s="754"/>
      <c r="E114" s="548" t="s">
        <v>285</v>
      </c>
      <c r="F114" s="548">
        <v>1000</v>
      </c>
      <c r="G114" s="548" t="s">
        <v>284</v>
      </c>
      <c r="H114" s="531">
        <f>C114/F114</f>
        <v>133685.008</v>
      </c>
      <c r="I114" s="549" t="s">
        <v>739</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740</v>
      </c>
      <c r="D116" s="549"/>
      <c r="E116" s="548"/>
      <c r="F116" s="549" t="s">
        <v>739</v>
      </c>
      <c r="G116" s="549"/>
      <c r="H116" s="549"/>
      <c r="I116" s="549"/>
      <c r="J116" s="549"/>
      <c r="K116" s="546"/>
      <c r="L116" s="561"/>
    </row>
    <row r="117" spans="1:12" ht="14.25">
      <c r="A117" s="561"/>
      <c r="B117" s="540" t="s">
        <v>741</v>
      </c>
      <c r="C117" s="754">
        <v>50000</v>
      </c>
      <c r="D117" s="754"/>
      <c r="E117" s="548" t="s">
        <v>285</v>
      </c>
      <c r="F117" s="531">
        <f>H114</f>
        <v>133685.008</v>
      </c>
      <c r="G117" s="548" t="s">
        <v>284</v>
      </c>
      <c r="H117" s="538">
        <f>C117/F117</f>
        <v>0.3740135169083432</v>
      </c>
      <c r="I117" s="549" t="s">
        <v>742</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752</v>
      </c>
      <c r="D119" s="529"/>
      <c r="E119" s="528"/>
      <c r="F119" s="529"/>
      <c r="G119" s="529"/>
      <c r="H119" s="529"/>
      <c r="I119" s="529"/>
      <c r="J119" s="529"/>
      <c r="K119" s="527"/>
      <c r="L119" s="561"/>
    </row>
    <row r="120" spans="1:12" ht="14.25">
      <c r="A120" s="561"/>
      <c r="B120" s="540" t="s">
        <v>744</v>
      </c>
      <c r="C120" s="754">
        <v>2500000</v>
      </c>
      <c r="D120" s="754"/>
      <c r="E120" s="548" t="s">
        <v>338</v>
      </c>
      <c r="F120" s="510">
        <v>0.25</v>
      </c>
      <c r="G120" s="548" t="s">
        <v>284</v>
      </c>
      <c r="H120" s="531">
        <f>C120*F120</f>
        <v>625000</v>
      </c>
      <c r="I120" s="549" t="s">
        <v>745</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746</v>
      </c>
      <c r="D122" s="529"/>
      <c r="E122" s="528"/>
      <c r="F122" s="529" t="s">
        <v>742</v>
      </c>
      <c r="G122" s="529"/>
      <c r="H122" s="529"/>
      <c r="I122" s="529"/>
      <c r="J122" s="529" t="s">
        <v>747</v>
      </c>
      <c r="K122" s="527"/>
      <c r="L122" s="561"/>
    </row>
    <row r="123" spans="1:12" ht="14.25">
      <c r="A123" s="561"/>
      <c r="B123" s="540" t="s">
        <v>748</v>
      </c>
      <c r="C123" s="755">
        <f>H120</f>
        <v>625000</v>
      </c>
      <c r="D123" s="755"/>
      <c r="E123" s="548" t="s">
        <v>338</v>
      </c>
      <c r="F123" s="538">
        <f>H117</f>
        <v>0.3740135169083432</v>
      </c>
      <c r="G123" s="548" t="s">
        <v>285</v>
      </c>
      <c r="H123" s="548">
        <v>1000</v>
      </c>
      <c r="I123" s="548" t="s">
        <v>284</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665</v>
      </c>
      <c r="C125" s="761"/>
      <c r="D125" s="761"/>
      <c r="E125" s="761"/>
      <c r="F125" s="761"/>
      <c r="G125" s="761"/>
      <c r="H125" s="761"/>
      <c r="I125" s="761"/>
      <c r="J125" s="761"/>
      <c r="K125" s="761"/>
      <c r="L125" s="506"/>
    </row>
    <row r="126" spans="1:12" ht="14.25">
      <c r="A126" s="561"/>
      <c r="B126" s="758" t="s">
        <v>756</v>
      </c>
      <c r="C126" s="758"/>
      <c r="D126" s="758"/>
      <c r="E126" s="758"/>
      <c r="F126" s="758"/>
      <c r="G126" s="758"/>
      <c r="H126" s="758"/>
      <c r="I126" s="758"/>
      <c r="J126" s="758"/>
      <c r="K126" s="758"/>
      <c r="L126" s="506"/>
    </row>
    <row r="127" spans="1:12" ht="14.25">
      <c r="A127" s="561"/>
      <c r="B127" s="557"/>
      <c r="C127" s="557"/>
      <c r="D127" s="557"/>
      <c r="E127" s="557"/>
      <c r="F127" s="557"/>
      <c r="G127" s="557"/>
      <c r="H127" s="557"/>
      <c r="I127" s="557"/>
      <c r="J127" s="557"/>
      <c r="K127" s="557"/>
      <c r="L127" s="506"/>
    </row>
    <row r="128" spans="1:12" ht="14.25">
      <c r="A128" s="561"/>
      <c r="B128" s="758" t="s">
        <v>757</v>
      </c>
      <c r="C128" s="758"/>
      <c r="D128" s="758"/>
      <c r="E128" s="758"/>
      <c r="F128" s="758"/>
      <c r="G128" s="758"/>
      <c r="H128" s="758"/>
      <c r="I128" s="758"/>
      <c r="J128" s="758"/>
      <c r="K128" s="758"/>
      <c r="L128" s="506"/>
    </row>
    <row r="129" spans="1:12" ht="14.25">
      <c r="A129" s="561"/>
      <c r="B129" s="520"/>
      <c r="C129" s="520"/>
      <c r="D129" s="520"/>
      <c r="E129" s="520"/>
      <c r="F129" s="520"/>
      <c r="G129" s="520"/>
      <c r="H129" s="520"/>
      <c r="I129" s="520"/>
      <c r="J129" s="520"/>
      <c r="K129" s="520"/>
      <c r="L129" s="506"/>
    </row>
    <row r="130" spans="1:12" ht="74.25" customHeight="1">
      <c r="A130" s="561"/>
      <c r="B130" s="759" t="s">
        <v>758</v>
      </c>
      <c r="C130" s="759"/>
      <c r="D130" s="759"/>
      <c r="E130" s="759"/>
      <c r="F130" s="759"/>
      <c r="G130" s="759"/>
      <c r="H130" s="759"/>
      <c r="I130" s="759"/>
      <c r="J130" s="759"/>
      <c r="K130" s="759"/>
      <c r="L130" s="506"/>
    </row>
    <row r="131" spans="1:12" ht="15" thickBot="1">
      <c r="A131" s="561"/>
      <c r="L131" s="561"/>
    </row>
    <row r="132" spans="1:12" ht="14.25">
      <c r="A132" s="561"/>
      <c r="B132" s="553" t="s">
        <v>669</v>
      </c>
      <c r="C132" s="552"/>
      <c r="D132" s="552"/>
      <c r="E132" s="552"/>
      <c r="F132" s="552"/>
      <c r="G132" s="552"/>
      <c r="H132" s="552"/>
      <c r="I132" s="552"/>
      <c r="J132" s="552"/>
      <c r="K132" s="551"/>
      <c r="L132" s="561"/>
    </row>
    <row r="133" spans="1:12" ht="14.25">
      <c r="A133" s="561"/>
      <c r="B133" s="540"/>
      <c r="C133" s="760" t="s">
        <v>759</v>
      </c>
      <c r="D133" s="760"/>
      <c r="E133" s="549"/>
      <c r="F133" s="548" t="s">
        <v>760</v>
      </c>
      <c r="G133" s="549"/>
      <c r="H133" s="760" t="s">
        <v>745</v>
      </c>
      <c r="I133" s="760"/>
      <c r="J133" s="549"/>
      <c r="K133" s="546"/>
      <c r="L133" s="561"/>
    </row>
    <row r="134" spans="1:12" ht="14.25">
      <c r="A134" s="561"/>
      <c r="B134" s="540" t="s">
        <v>738</v>
      </c>
      <c r="C134" s="754">
        <v>100000</v>
      </c>
      <c r="D134" s="754"/>
      <c r="E134" s="548" t="s">
        <v>338</v>
      </c>
      <c r="F134" s="548">
        <v>0.115</v>
      </c>
      <c r="G134" s="548" t="s">
        <v>284</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745</v>
      </c>
      <c r="D136" s="747"/>
      <c r="E136" s="529"/>
      <c r="F136" s="528" t="s">
        <v>761</v>
      </c>
      <c r="G136" s="528"/>
      <c r="H136" s="529"/>
      <c r="I136" s="529"/>
      <c r="J136" s="529" t="s">
        <v>762</v>
      </c>
      <c r="K136" s="527"/>
      <c r="L136" s="561"/>
    </row>
    <row r="137" spans="1:12" ht="14.25">
      <c r="A137" s="561"/>
      <c r="B137" s="540" t="s">
        <v>741</v>
      </c>
      <c r="C137" s="748">
        <f>H134</f>
        <v>11500</v>
      </c>
      <c r="D137" s="748"/>
      <c r="E137" s="548" t="s">
        <v>338</v>
      </c>
      <c r="F137" s="505">
        <v>52.869</v>
      </c>
      <c r="G137" s="548" t="s">
        <v>285</v>
      </c>
      <c r="H137" s="548">
        <v>1000</v>
      </c>
      <c r="I137" s="548" t="s">
        <v>284</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665</v>
      </c>
      <c r="C139" s="499"/>
      <c r="D139" s="499"/>
      <c r="E139" s="498"/>
      <c r="F139" s="497"/>
      <c r="G139" s="498"/>
      <c r="H139" s="498"/>
      <c r="I139" s="498"/>
      <c r="J139" s="496"/>
      <c r="K139" s="495"/>
      <c r="L139" s="561"/>
    </row>
    <row r="140" spans="1:12" ht="14.25">
      <c r="A140" s="561"/>
      <c r="B140" s="494" t="s">
        <v>763</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764</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709</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669</v>
      </c>
      <c r="C146" s="487"/>
      <c r="D146" s="487"/>
      <c r="E146" s="486"/>
      <c r="F146" s="485"/>
      <c r="G146" s="486"/>
      <c r="H146" s="486"/>
      <c r="I146" s="486"/>
      <c r="J146" s="484"/>
      <c r="K146" s="551"/>
      <c r="L146" s="561"/>
    </row>
    <row r="147" spans="1:12" ht="14.25">
      <c r="A147" s="561"/>
      <c r="B147" s="540"/>
      <c r="C147" s="748" t="s">
        <v>710</v>
      </c>
      <c r="D147" s="748"/>
      <c r="E147" s="548"/>
      <c r="F147" s="488" t="s">
        <v>711</v>
      </c>
      <c r="G147" s="548"/>
      <c r="H147" s="548"/>
      <c r="I147" s="548"/>
      <c r="J147" s="752" t="s">
        <v>712</v>
      </c>
      <c r="K147" s="753"/>
      <c r="L147" s="561"/>
    </row>
    <row r="148" spans="1:12" ht="14.25">
      <c r="A148" s="561"/>
      <c r="B148" s="540"/>
      <c r="C148" s="756">
        <v>52.869</v>
      </c>
      <c r="D148" s="756"/>
      <c r="E148" s="548" t="s">
        <v>338</v>
      </c>
      <c r="F148" s="483">
        <v>133685008</v>
      </c>
      <c r="G148" s="482" t="s">
        <v>285</v>
      </c>
      <c r="H148" s="548">
        <v>1000</v>
      </c>
      <c r="I148" s="548" t="s">
        <v>284</v>
      </c>
      <c r="J148" s="748">
        <f>C148*(F148/1000)</f>
        <v>7067792.687952</v>
      </c>
      <c r="K148" s="757"/>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316</v>
      </c>
    </row>
    <row r="3" ht="31.5">
      <c r="A3" s="564" t="s">
        <v>317</v>
      </c>
    </row>
    <row r="4" ht="15.75">
      <c r="A4" s="565" t="s">
        <v>318</v>
      </c>
    </row>
    <row r="7" ht="38.25" customHeight="1">
      <c r="A7" s="564" t="s">
        <v>319</v>
      </c>
    </row>
    <row r="8" ht="15.75">
      <c r="A8" s="565" t="s">
        <v>320</v>
      </c>
    </row>
    <row r="11" ht="15.75">
      <c r="A11" s="562" t="s">
        <v>321</v>
      </c>
    </row>
    <row r="12" ht="15.75">
      <c r="A12" s="565" t="s">
        <v>322</v>
      </c>
    </row>
    <row r="15" ht="15.75">
      <c r="A15" s="562" t="s">
        <v>323</v>
      </c>
    </row>
    <row r="16" ht="15.75">
      <c r="A16" s="565" t="s">
        <v>324</v>
      </c>
    </row>
    <row r="19" ht="15.75">
      <c r="A19" s="562" t="s">
        <v>325</v>
      </c>
    </row>
    <row r="20" ht="15.75">
      <c r="A20" s="565" t="s">
        <v>326</v>
      </c>
    </row>
    <row r="23" ht="15.75">
      <c r="A23" s="562" t="s">
        <v>327</v>
      </c>
    </row>
    <row r="24" ht="15.75">
      <c r="A24" s="565" t="s">
        <v>328</v>
      </c>
    </row>
    <row r="27" ht="15.75">
      <c r="A27" s="562" t="s">
        <v>656</v>
      </c>
    </row>
    <row r="28" ht="15.75">
      <c r="A28" s="565" t="s">
        <v>657</v>
      </c>
    </row>
    <row r="31" ht="15.75">
      <c r="A31" s="562" t="s">
        <v>658</v>
      </c>
    </row>
    <row r="32" ht="15.75">
      <c r="A32" s="565" t="s">
        <v>659</v>
      </c>
    </row>
    <row r="35" ht="15.75">
      <c r="A35" s="562" t="s">
        <v>660</v>
      </c>
    </row>
    <row r="36" ht="15.75">
      <c r="A36" s="565" t="s">
        <v>661</v>
      </c>
    </row>
    <row r="39" ht="15.75">
      <c r="A39" s="562" t="s">
        <v>662</v>
      </c>
    </row>
    <row r="40" ht="15.75">
      <c r="A40" s="565" t="s">
        <v>663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400</v>
      </c>
    </row>
    <row r="2" ht="15.75">
      <c r="A2" s="653" t="s">
        <v>379</v>
      </c>
    </row>
    <row r="3" ht="15.75">
      <c r="A3" s="653" t="s">
        <v>380</v>
      </c>
    </row>
    <row r="4" ht="31.5">
      <c r="A4" s="652" t="s">
        <v>381</v>
      </c>
    </row>
    <row r="5" ht="15.75">
      <c r="A5" s="653" t="s">
        <v>382</v>
      </c>
    </row>
    <row r="6" ht="15.75">
      <c r="A6" s="653" t="s">
        <v>383</v>
      </c>
    </row>
    <row r="7" ht="15.75">
      <c r="A7" s="653" t="s">
        <v>384</v>
      </c>
    </row>
    <row r="8" ht="15.75">
      <c r="A8" s="653" t="s">
        <v>385</v>
      </c>
    </row>
    <row r="9" ht="15.75">
      <c r="A9" s="653" t="s">
        <v>386</v>
      </c>
    </row>
    <row r="10" ht="15.75">
      <c r="A10" s="653" t="s">
        <v>387</v>
      </c>
    </row>
    <row r="11" ht="15.75">
      <c r="A11" s="653" t="s">
        <v>388</v>
      </c>
    </row>
    <row r="12" ht="15.75">
      <c r="A12" s="653" t="s">
        <v>389</v>
      </c>
    </row>
    <row r="13" ht="15.75">
      <c r="A13" s="653" t="s">
        <v>390</v>
      </c>
    </row>
    <row r="14" ht="15.75">
      <c r="A14" s="653" t="s">
        <v>42</v>
      </c>
    </row>
    <row r="15" ht="15.75">
      <c r="A15" s="653" t="s">
        <v>391</v>
      </c>
    </row>
    <row r="16" ht="15.75">
      <c r="A16" s="653" t="s">
        <v>392</v>
      </c>
    </row>
    <row r="17" ht="15.75">
      <c r="A17" s="653" t="s">
        <v>393</v>
      </c>
    </row>
    <row r="18" ht="15.75">
      <c r="A18" s="653" t="s">
        <v>394</v>
      </c>
    </row>
    <row r="19" ht="15.75">
      <c r="A19" s="653" t="s">
        <v>395</v>
      </c>
    </row>
    <row r="20" ht="15.75">
      <c r="A20" s="653" t="s">
        <v>396</v>
      </c>
    </row>
    <row r="21" ht="15.75">
      <c r="A21" s="653" t="s">
        <v>397</v>
      </c>
    </row>
    <row r="22" ht="15.75">
      <c r="A22" s="653" t="s">
        <v>398</v>
      </c>
    </row>
    <row r="23" ht="15.75">
      <c r="A23" s="653" t="s">
        <v>399</v>
      </c>
    </row>
    <row r="24" ht="15.75">
      <c r="A24" s="653" t="s">
        <v>521</v>
      </c>
    </row>
    <row r="26" ht="15.75">
      <c r="A26" s="438" t="s">
        <v>314</v>
      </c>
    </row>
    <row r="27" ht="36.75" customHeight="1">
      <c r="A27" s="414" t="s">
        <v>315</v>
      </c>
    </row>
    <row r="29" ht="15.75">
      <c r="A29" s="438" t="s">
        <v>310</v>
      </c>
    </row>
    <row r="30" ht="15.75">
      <c r="A30" s="182" t="s">
        <v>311</v>
      </c>
    </row>
    <row r="31" ht="15.75">
      <c r="A31" s="182" t="s">
        <v>312</v>
      </c>
    </row>
    <row r="32" ht="15.75">
      <c r="A32" s="182" t="s">
        <v>313</v>
      </c>
    </row>
    <row r="34" ht="15.75">
      <c r="A34" s="456" t="s">
        <v>653</v>
      </c>
    </row>
    <row r="35" ht="15.75">
      <c r="A35" s="182" t="s">
        <v>309</v>
      </c>
    </row>
    <row r="37" ht="15.75">
      <c r="A37" s="438" t="s">
        <v>441</v>
      </c>
    </row>
    <row r="38" ht="15.75">
      <c r="A38" s="439" t="s">
        <v>442</v>
      </c>
    </row>
    <row r="39" ht="15.75">
      <c r="A39" s="439" t="s">
        <v>443</v>
      </c>
    </row>
    <row r="40" ht="15.75">
      <c r="A40" s="439" t="s">
        <v>444</v>
      </c>
    </row>
    <row r="41" ht="15.75">
      <c r="A41" s="440" t="s">
        <v>445</v>
      </c>
    </row>
    <row r="43" ht="15.75">
      <c r="A43" s="437" t="s">
        <v>366</v>
      </c>
    </row>
    <row r="44" ht="15.75">
      <c r="A44" s="1" t="s">
        <v>368</v>
      </c>
    </row>
    <row r="45" ht="15.75">
      <c r="A45" s="1" t="s">
        <v>369</v>
      </c>
    </row>
    <row r="46" ht="15.75">
      <c r="A46" s="1" t="s">
        <v>370</v>
      </c>
    </row>
    <row r="47" ht="15.75">
      <c r="A47" s="1" t="s">
        <v>371</v>
      </c>
    </row>
    <row r="48" ht="15.75">
      <c r="A48" s="1" t="s">
        <v>372</v>
      </c>
    </row>
    <row r="49" ht="15.75">
      <c r="A49" s="1" t="s">
        <v>373</v>
      </c>
    </row>
    <row r="50" ht="15.75">
      <c r="A50" s="1" t="s">
        <v>687</v>
      </c>
    </row>
    <row r="51" ht="15.75">
      <c r="A51" s="1" t="s">
        <v>688</v>
      </c>
    </row>
    <row r="52" ht="15.75">
      <c r="A52" s="1" t="s">
        <v>689</v>
      </c>
    </row>
    <row r="53" ht="15.75">
      <c r="A53" s="1" t="s">
        <v>690</v>
      </c>
    </row>
    <row r="54" ht="15.75">
      <c r="A54" s="1" t="s">
        <v>827</v>
      </c>
    </row>
    <row r="55" ht="15.75">
      <c r="A55" s="1" t="s">
        <v>420</v>
      </c>
    </row>
    <row r="56" ht="15.75">
      <c r="A56" s="423" t="s">
        <v>429</v>
      </c>
    </row>
    <row r="58" ht="15.75">
      <c r="A58" s="436" t="s">
        <v>361</v>
      </c>
    </row>
    <row r="59" ht="15.75">
      <c r="A59" s="1" t="s">
        <v>362</v>
      </c>
    </row>
    <row r="60" ht="15.75">
      <c r="A60" s="1" t="s">
        <v>363</v>
      </c>
    </row>
    <row r="62" ht="15.75">
      <c r="A62" s="436" t="s">
        <v>359</v>
      </c>
    </row>
    <row r="63" ht="15.75">
      <c r="A63" s="1" t="s">
        <v>360</v>
      </c>
    </row>
    <row r="65" ht="15.75">
      <c r="A65" s="436" t="s">
        <v>357</v>
      </c>
    </row>
    <row r="66" ht="15.75">
      <c r="A66" s="1" t="s">
        <v>358</v>
      </c>
    </row>
    <row r="68" ht="15.75">
      <c r="A68" s="436" t="s">
        <v>354</v>
      </c>
    </row>
    <row r="69" ht="15.75">
      <c r="A69" s="1" t="s">
        <v>355</v>
      </c>
    </row>
    <row r="70" ht="15.75">
      <c r="A70" s="1" t="s">
        <v>356</v>
      </c>
    </row>
    <row r="72" ht="15.75">
      <c r="A72" s="436" t="s">
        <v>350</v>
      </c>
    </row>
    <row r="73" ht="15.75">
      <c r="A73" s="1" t="s">
        <v>351</v>
      </c>
    </row>
    <row r="74" ht="15.75">
      <c r="A74" s="1" t="s">
        <v>352</v>
      </c>
    </row>
    <row r="75" ht="15.75">
      <c r="A75" s="1" t="s">
        <v>353</v>
      </c>
    </row>
    <row r="77" ht="15.75">
      <c r="A77" s="436" t="s">
        <v>346</v>
      </c>
    </row>
    <row r="78" ht="15.75">
      <c r="A78" s="1" t="s">
        <v>347</v>
      </c>
    </row>
    <row r="79" ht="15.75">
      <c r="A79" s="1" t="s">
        <v>348</v>
      </c>
    </row>
    <row r="81" ht="15.75">
      <c r="A81" s="436" t="s">
        <v>343</v>
      </c>
    </row>
    <row r="82" ht="34.5" customHeight="1">
      <c r="A82" s="1" t="s">
        <v>344</v>
      </c>
    </row>
    <row r="84" ht="15.75">
      <c r="A84" s="1" t="s">
        <v>635</v>
      </c>
    </row>
    <row r="85" ht="15.75">
      <c r="A85" s="1" t="s">
        <v>636</v>
      </c>
    </row>
    <row r="86" ht="31.5">
      <c r="A86" s="4" t="s">
        <v>766</v>
      </c>
    </row>
    <row r="87" ht="15.75">
      <c r="A87" s="1" t="s">
        <v>637</v>
      </c>
    </row>
    <row r="88" ht="15.75">
      <c r="A88" s="1" t="s">
        <v>638</v>
      </c>
    </row>
    <row r="89" ht="15.75">
      <c r="A89" s="1" t="s">
        <v>639</v>
      </c>
    </row>
    <row r="90" ht="15.75">
      <c r="A90" s="1" t="s">
        <v>640</v>
      </c>
    </row>
    <row r="91" ht="31.5">
      <c r="A91" s="4" t="s">
        <v>273</v>
      </c>
    </row>
    <row r="92" ht="31.5">
      <c r="A92" s="4" t="s">
        <v>295</v>
      </c>
    </row>
    <row r="93" ht="31.5">
      <c r="A93" s="4" t="s">
        <v>641</v>
      </c>
    </row>
    <row r="94" ht="15.75">
      <c r="A94" s="4" t="s">
        <v>642</v>
      </c>
    </row>
    <row r="95" ht="31.5">
      <c r="A95" s="4" t="s">
        <v>290</v>
      </c>
    </row>
    <row r="96" ht="33.75" customHeight="1">
      <c r="A96" s="1" t="s">
        <v>291</v>
      </c>
    </row>
    <row r="97" ht="26.25" customHeight="1">
      <c r="A97" s="1" t="s">
        <v>292</v>
      </c>
    </row>
    <row r="98" ht="33.75" customHeight="1">
      <c r="A98" s="1" t="s">
        <v>293</v>
      </c>
    </row>
    <row r="99" ht="30.75" customHeight="1">
      <c r="A99" s="1" t="s">
        <v>765</v>
      </c>
    </row>
    <row r="100" ht="33" customHeight="1">
      <c r="A100" s="4" t="s">
        <v>296</v>
      </c>
    </row>
    <row r="101" ht="38.25" customHeight="1">
      <c r="A101" s="4" t="s">
        <v>267</v>
      </c>
    </row>
    <row r="102" ht="33.75" customHeight="1">
      <c r="A102" s="4" t="s">
        <v>274</v>
      </c>
    </row>
    <row r="103" ht="33.75" customHeight="1">
      <c r="A103" s="4" t="s">
        <v>268</v>
      </c>
    </row>
    <row r="104" ht="33.75" customHeight="1">
      <c r="A104" s="4" t="s">
        <v>269</v>
      </c>
    </row>
    <row r="105" ht="33.75" customHeight="1">
      <c r="A105" s="4" t="s">
        <v>270</v>
      </c>
    </row>
    <row r="106" ht="31.5">
      <c r="A106" s="4" t="s">
        <v>271</v>
      </c>
    </row>
    <row r="107" ht="31.5">
      <c r="A107" s="4" t="s">
        <v>275</v>
      </c>
    </row>
    <row r="108" ht="31.5">
      <c r="A108" s="4" t="s">
        <v>272</v>
      </c>
    </row>
    <row r="109" ht="31.5">
      <c r="A109" s="4" t="s">
        <v>276</v>
      </c>
    </row>
    <row r="110" ht="15.75">
      <c r="A110" s="4" t="s">
        <v>629</v>
      </c>
    </row>
    <row r="112" ht="15.75">
      <c r="A112" s="436" t="s">
        <v>194</v>
      </c>
    </row>
    <row r="113" ht="47.25">
      <c r="A113" s="4" t="s">
        <v>277</v>
      </c>
    </row>
    <row r="114" ht="15.75">
      <c r="A114" s="1" t="s">
        <v>195</v>
      </c>
    </row>
    <row r="115" ht="15.75">
      <c r="A115" s="1" t="s">
        <v>199</v>
      </c>
    </row>
    <row r="116" ht="15.75">
      <c r="A116" s="1" t="s">
        <v>200</v>
      </c>
    </row>
    <row r="117" ht="15.75">
      <c r="A117" s="1" t="s">
        <v>196</v>
      </c>
    </row>
    <row r="118" ht="15.75">
      <c r="A118" s="1" t="s">
        <v>197</v>
      </c>
    </row>
    <row r="119" ht="15.75">
      <c r="A119" s="1" t="s">
        <v>198</v>
      </c>
    </row>
    <row r="120" ht="15.75">
      <c r="A120" s="4" t="s">
        <v>201</v>
      </c>
    </row>
    <row r="121" ht="15.75">
      <c r="A121" s="1" t="s">
        <v>202</v>
      </c>
    </row>
    <row r="122" ht="15.75">
      <c r="A122" s="1" t="s">
        <v>203</v>
      </c>
    </row>
    <row r="123" ht="15.75">
      <c r="A123" s="1" t="s">
        <v>278</v>
      </c>
    </row>
    <row r="124" ht="15.75">
      <c r="A124" s="1" t="s">
        <v>204</v>
      </c>
    </row>
    <row r="125" ht="15.75">
      <c r="A125" s="1" t="s">
        <v>279</v>
      </c>
    </row>
    <row r="126" ht="15.75">
      <c r="A126" s="1" t="s">
        <v>205</v>
      </c>
    </row>
    <row r="127" ht="15.75">
      <c r="A127" s="1" t="s">
        <v>280</v>
      </c>
    </row>
    <row r="128" ht="15.75">
      <c r="A128" s="1" t="s">
        <v>206</v>
      </c>
    </row>
    <row r="129" ht="15.75">
      <c r="A129" s="1" t="s">
        <v>210</v>
      </c>
    </row>
    <row r="130" ht="15.75">
      <c r="A130" s="1" t="s">
        <v>281</v>
      </c>
    </row>
    <row r="131" ht="15.75">
      <c r="A131" s="1" t="s">
        <v>256</v>
      </c>
    </row>
    <row r="132" ht="15.75">
      <c r="A132" s="1" t="s">
        <v>257</v>
      </c>
    </row>
    <row r="133" ht="15.75">
      <c r="A133" s="1" t="s">
        <v>258</v>
      </c>
    </row>
    <row r="134" ht="15.75">
      <c r="A134" s="1" t="s">
        <v>214</v>
      </c>
    </row>
    <row r="135" ht="15.75">
      <c r="A135" s="1" t="s">
        <v>215</v>
      </c>
    </row>
    <row r="136" ht="15.75">
      <c r="A136" s="1" t="s">
        <v>216</v>
      </c>
    </row>
    <row r="137" ht="15.75">
      <c r="A137" s="1" t="s">
        <v>253</v>
      </c>
    </row>
    <row r="138" ht="15.75">
      <c r="A138" s="1" t="s">
        <v>254</v>
      </c>
    </row>
    <row r="139" ht="15.75">
      <c r="A139" s="1" t="s">
        <v>255</v>
      </c>
    </row>
    <row r="140" ht="15.75">
      <c r="A140" s="1" t="s">
        <v>266</v>
      </c>
    </row>
    <row r="141" ht="15.75">
      <c r="A141" s="1" t="s">
        <v>630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86" t="s">
        <v>430</v>
      </c>
      <c r="B2" s="664"/>
      <c r="C2" s="664"/>
      <c r="D2" s="664"/>
      <c r="E2" s="664"/>
      <c r="F2" s="664"/>
    </row>
    <row r="4" spans="1:6" ht="15.75">
      <c r="A4" s="424"/>
      <c r="B4" s="424"/>
      <c r="C4" s="424"/>
      <c r="D4" s="425"/>
      <c r="E4" s="424"/>
      <c r="F4" s="424"/>
    </row>
    <row r="5" spans="1:6" ht="15.75">
      <c r="A5" s="426" t="s">
        <v>431</v>
      </c>
      <c r="B5" s="427" t="s">
        <v>715</v>
      </c>
      <c r="C5" s="428"/>
      <c r="D5" s="426" t="s">
        <v>520</v>
      </c>
      <c r="E5" s="424"/>
      <c r="F5" s="424"/>
    </row>
    <row r="6" spans="1:6" ht="15.75">
      <c r="A6" s="426"/>
      <c r="B6" s="429"/>
      <c r="C6" s="430"/>
      <c r="D6" s="426" t="s">
        <v>519</v>
      </c>
      <c r="E6" s="424"/>
      <c r="F6" s="424"/>
    </row>
    <row r="7" spans="1:6" ht="15.75">
      <c r="A7" s="426" t="s">
        <v>432</v>
      </c>
      <c r="B7" s="427" t="s">
        <v>716</v>
      </c>
      <c r="C7" s="431"/>
      <c r="D7" s="426"/>
      <c r="E7" s="424"/>
      <c r="F7" s="424"/>
    </row>
    <row r="8" spans="1:6" ht="15.75">
      <c r="A8" s="426"/>
      <c r="B8" s="426"/>
      <c r="C8" s="426"/>
      <c r="D8" s="426"/>
      <c r="E8" s="424"/>
      <c r="F8" s="424"/>
    </row>
    <row r="9" spans="1:6" ht="15.75">
      <c r="A9" s="426" t="s">
        <v>433</v>
      </c>
      <c r="B9" s="432" t="s">
        <v>819</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434</v>
      </c>
      <c r="B12" s="432" t="s">
        <v>819</v>
      </c>
      <c r="C12" s="432"/>
      <c r="D12" s="432"/>
      <c r="E12" s="433"/>
      <c r="F12" s="424"/>
    </row>
    <row r="15" spans="1:6" ht="15.75">
      <c r="A15" s="665" t="s">
        <v>435</v>
      </c>
      <c r="B15" s="665"/>
      <c r="C15" s="426"/>
      <c r="D15" s="426"/>
      <c r="E15" s="426"/>
      <c r="F15" s="424"/>
    </row>
    <row r="16" spans="1:6" ht="15.75">
      <c r="A16" s="426"/>
      <c r="B16" s="426"/>
      <c r="C16" s="426"/>
      <c r="D16" s="426"/>
      <c r="E16" s="426"/>
      <c r="F16" s="424"/>
    </row>
    <row r="17" spans="1:5" ht="15.75">
      <c r="A17" s="426" t="s">
        <v>431</v>
      </c>
      <c r="B17" s="429" t="s">
        <v>436</v>
      </c>
      <c r="C17" s="426"/>
      <c r="D17" s="426"/>
      <c r="E17" s="426"/>
    </row>
    <row r="18" spans="1:5" ht="15.75">
      <c r="A18" s="426"/>
      <c r="B18" s="426"/>
      <c r="C18" s="426"/>
      <c r="D18" s="426"/>
      <c r="E18" s="426"/>
    </row>
    <row r="19" spans="1:5" ht="15.75">
      <c r="A19" s="426" t="s">
        <v>432</v>
      </c>
      <c r="B19" s="426" t="s">
        <v>437</v>
      </c>
      <c r="C19" s="426"/>
      <c r="D19" s="426"/>
      <c r="E19" s="426"/>
    </row>
    <row r="20" spans="1:5" ht="15.75">
      <c r="A20" s="426"/>
      <c r="B20" s="426"/>
      <c r="C20" s="426"/>
      <c r="D20" s="426"/>
      <c r="E20" s="426"/>
    </row>
    <row r="21" spans="1:5" ht="15.75">
      <c r="A21" s="426" t="s">
        <v>433</v>
      </c>
      <c r="B21" s="426" t="s">
        <v>438</v>
      </c>
      <c r="C21" s="426"/>
      <c r="D21" s="426"/>
      <c r="E21" s="426"/>
    </row>
    <row r="22" spans="1:5" ht="15.75">
      <c r="A22" s="426"/>
      <c r="B22" s="426"/>
      <c r="C22" s="426"/>
      <c r="D22" s="426"/>
      <c r="E22" s="426"/>
    </row>
    <row r="23" spans="1:5" ht="15.75">
      <c r="A23" s="426" t="s">
        <v>434</v>
      </c>
      <c r="B23" s="426" t="s">
        <v>439</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I36" sqref="I36"/>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95</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178</v>
      </c>
      <c r="B4" s="131"/>
      <c r="C4" s="131"/>
      <c r="D4" s="131"/>
      <c r="E4" s="131"/>
      <c r="F4" s="131"/>
    </row>
    <row r="5" s="130" customFormat="1" ht="15.75">
      <c r="C5" s="648" t="str">
        <f>inputPrYr!D2</f>
        <v>Bloomington Township</v>
      </c>
    </row>
    <row r="6" spans="1:6" s="130" customFormat="1" ht="15.75">
      <c r="A6" s="662" t="s">
        <v>176</v>
      </c>
      <c r="B6" s="663"/>
      <c r="C6" s="663"/>
      <c r="D6" s="663"/>
      <c r="E6" s="663"/>
      <c r="F6" s="663"/>
    </row>
    <row r="7" spans="1:6" s="130" customFormat="1" ht="15.75" customHeight="1">
      <c r="A7" s="660" t="s">
        <v>177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777</v>
      </c>
      <c r="E12" s="667" t="str">
        <f>CONCATENATE("Amount of ",G1-1," Ad Valorem Tax")</f>
        <v>Amount of 2011 Ad Valorem Tax</v>
      </c>
      <c r="F12" s="139" t="s">
        <v>778</v>
      </c>
    </row>
    <row r="13" spans="3:6" s="130" customFormat="1" ht="15.75">
      <c r="C13" s="139" t="s">
        <v>779</v>
      </c>
      <c r="D13" s="649" t="s">
        <v>218</v>
      </c>
      <c r="E13" s="668"/>
      <c r="F13" s="141" t="s">
        <v>329</v>
      </c>
    </row>
    <row r="14" spans="1:6" s="130" customFormat="1" ht="15.75">
      <c r="A14" s="142" t="s">
        <v>330</v>
      </c>
      <c r="B14" s="143"/>
      <c r="C14" s="144" t="s">
        <v>331</v>
      </c>
      <c r="D14" s="650" t="s">
        <v>378</v>
      </c>
      <c r="E14" s="669"/>
      <c r="F14" s="144" t="s">
        <v>333</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213</v>
      </c>
      <c r="B16" s="146"/>
      <c r="C16" s="148">
        <v>3</v>
      </c>
      <c r="D16" s="136"/>
      <c r="E16" s="136"/>
      <c r="F16" s="149"/>
    </row>
    <row r="17" spans="1:6" s="130" customFormat="1" ht="15.75">
      <c r="A17" s="150" t="s">
        <v>500</v>
      </c>
      <c r="B17" s="146"/>
      <c r="C17" s="148">
        <v>4</v>
      </c>
      <c r="D17" s="136"/>
      <c r="E17" s="136"/>
      <c r="F17" s="149"/>
    </row>
    <row r="18" spans="1:6" s="130" customFormat="1" ht="15.75">
      <c r="A18" s="150" t="s">
        <v>167</v>
      </c>
      <c r="B18" s="146"/>
      <c r="C18" s="148">
        <v>5</v>
      </c>
      <c r="D18" s="136"/>
      <c r="E18" s="136"/>
      <c r="F18" s="149"/>
    </row>
    <row r="19" spans="1:6" s="130" customFormat="1" ht="15.75">
      <c r="A19" s="151" t="s">
        <v>334</v>
      </c>
      <c r="B19" s="152" t="s">
        <v>335</v>
      </c>
      <c r="C19" s="153"/>
      <c r="F19" s="154"/>
    </row>
    <row r="20" spans="1:6" s="130" customFormat="1" ht="15.75">
      <c r="A20" s="155" t="str">
        <f>inputPrYr!B16</f>
        <v>General</v>
      </c>
      <c r="B20" s="156" t="str">
        <f>inputPrYr!C16</f>
        <v>79-1962</v>
      </c>
      <c r="C20" s="157">
        <f>IF(gen!C61&gt;0,gen!C61,"  ")</f>
        <v>6</v>
      </c>
      <c r="D20" s="148">
        <f>IF(gen!$E$50&lt;&gt;0,gen!$E$50,"  ")</f>
        <v>25500</v>
      </c>
      <c r="E20" s="148">
        <f>IF(gen!$E$57&lt;&gt;0,gen!$E$57,0)</f>
        <v>24013</v>
      </c>
      <c r="F20" s="158" t="str">
        <f>IF(AND(gen!E57=0,$B$42&gt;=0)," ",IF(AND(E20&gt;0,$B$42=0)," ",IF(AND(E20&gt;0,$B$42&gt;0),ROUND(E20/$B$42*1000,3))))</f>
        <v> </v>
      </c>
    </row>
    <row r="21" spans="1:6" s="130" customFormat="1" ht="15.75">
      <c r="A21" s="155" t="s">
        <v>349</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f>IF(road!$E$43&lt;&gt;0,road!$E$43,"  ")</f>
        <v>132393</v>
      </c>
      <c r="E22" s="148">
        <f>IF(road!$E$50&lt;&gt;0,road!$E$50,"  ")</f>
        <v>101097</v>
      </c>
      <c r="F22" s="158" t="str">
        <f>IF(AND(road!E50=0,$B$42&gt;=0)," ",IF(AND(E22&gt;0,$B$42=0)," ",IF(AND(E22&gt;0,$B$42&gt;0),ROUND(E22/$B$42*1000,3))))</f>
        <v> </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336</v>
      </c>
      <c r="B36" s="160"/>
      <c r="C36" s="161">
        <f>IF(road!C67&gt;0,road!C67,"  ")</f>
        <v>7</v>
      </c>
      <c r="D36" s="153"/>
      <c r="E36" s="153"/>
      <c r="F36" s="158"/>
    </row>
    <row r="37" spans="1:6" s="130" customFormat="1" ht="16.5" thickBot="1">
      <c r="A37" s="164" t="s">
        <v>337</v>
      </c>
      <c r="B37" s="165"/>
      <c r="C37" s="166" t="s">
        <v>338</v>
      </c>
      <c r="D37" s="167">
        <f>SUM(D20:D30)</f>
        <v>157893</v>
      </c>
      <c r="E37" s="167">
        <f>SUM(E20:E30)</f>
        <v>125110</v>
      </c>
      <c r="F37" s="168">
        <f>IF(SUM(F20:F30)&gt;0,SUM(F20:F30),"")</f>
      </c>
    </row>
    <row r="38" spans="1:3" s="130" customFormat="1" ht="16.5" thickTop="1">
      <c r="A38" s="145" t="s">
        <v>499</v>
      </c>
      <c r="B38" s="154"/>
      <c r="C38" s="161">
        <f>summ!D51</f>
        <v>10</v>
      </c>
    </row>
    <row r="39" spans="1:5" s="130" customFormat="1" ht="15.75">
      <c r="A39" s="145" t="s">
        <v>655</v>
      </c>
      <c r="B39" s="146"/>
      <c r="C39" s="161">
        <f>IF(nhood!C40&gt;0,nhood!C40,"")</f>
      </c>
      <c r="D39" s="169" t="s">
        <v>184</v>
      </c>
      <c r="E39" s="170" t="str">
        <f>IF(E37&gt;computation!J34,"Yes","No")</f>
        <v>Yes</v>
      </c>
    </row>
    <row r="40" spans="1:5" s="130" customFormat="1" ht="15.75">
      <c r="A40" s="145" t="s">
        <v>183</v>
      </c>
      <c r="B40" s="146"/>
      <c r="C40" s="161">
        <f>IF(Resolution!D50&gt;0,Resolution!D50,"")</f>
        <v>11</v>
      </c>
      <c r="D40" s="171"/>
      <c r="E40" s="172"/>
    </row>
    <row r="41" spans="1:6" s="130" customFormat="1" ht="15.75">
      <c r="A41" s="150" t="s">
        <v>123</v>
      </c>
      <c r="B41" s="688" t="s">
        <v>151</v>
      </c>
      <c r="C41" s="689"/>
      <c r="D41" s="173"/>
      <c r="F41" s="137" t="s">
        <v>339</v>
      </c>
    </row>
    <row r="42" spans="1:6" s="130" customFormat="1" ht="15.75">
      <c r="A42" s="145" t="s">
        <v>124</v>
      </c>
      <c r="B42" s="690"/>
      <c r="C42" s="691"/>
      <c r="D42" s="175"/>
      <c r="F42" s="137"/>
    </row>
    <row r="43" spans="1:6" s="130" customFormat="1" ht="15.75">
      <c r="A43" s="176"/>
      <c r="B43" s="692" t="s">
        <v>150</v>
      </c>
      <c r="C43" s="693"/>
      <c r="D43" s="173"/>
      <c r="F43" s="137"/>
    </row>
    <row r="44" spans="1:6" s="130" customFormat="1" ht="15.75">
      <c r="A44" s="176" t="s">
        <v>340</v>
      </c>
      <c r="D44" s="136"/>
      <c r="F44" s="137"/>
    </row>
    <row r="45" spans="1:6" s="130" customFormat="1" ht="15.75">
      <c r="A45" s="179" t="s">
        <v>523</v>
      </c>
      <c r="D45" s="173"/>
      <c r="E45" s="136"/>
      <c r="F45" s="136"/>
    </row>
    <row r="46" spans="1:2" s="130" customFormat="1" ht="15.75">
      <c r="A46" s="180"/>
      <c r="B46" s="135"/>
    </row>
    <row r="47" spans="1:6" s="130" customFormat="1" ht="15.75">
      <c r="A47" s="176" t="s">
        <v>171</v>
      </c>
      <c r="D47" s="143"/>
      <c r="E47" s="143"/>
      <c r="F47" s="143"/>
    </row>
    <row r="48" spans="1:3" s="130" customFormat="1" ht="15.75">
      <c r="A48" s="179" t="s">
        <v>524</v>
      </c>
      <c r="C48" s="137"/>
    </row>
    <row r="49" spans="1:6" s="130" customFormat="1" ht="15.75">
      <c r="A49" s="180" t="s">
        <v>525</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175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342</v>
      </c>
      <c r="B56" s="130"/>
      <c r="C56" s="130"/>
      <c r="D56" s="130"/>
      <c r="E56" s="670" t="s">
        <v>341</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48</v>
      </c>
      <c r="B60" s="183"/>
      <c r="C60" s="183"/>
      <c r="D60" s="183"/>
      <c r="E60" s="183"/>
      <c r="F60" s="130"/>
    </row>
    <row r="61" spans="1:6" ht="15.75">
      <c r="A61" s="184" t="s">
        <v>49</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Bloomington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105</v>
      </c>
    </row>
    <row r="5" spans="1:10" ht="15.75">
      <c r="A5" s="189" t="s">
        <v>106</v>
      </c>
      <c r="B5" s="130" t="str">
        <f>CONCATENATE("Total Tax Levy Amount in ",J1-1,"")</f>
        <v>Total Tax Levy Amount in 2011</v>
      </c>
      <c r="C5" s="130"/>
      <c r="D5" s="130"/>
      <c r="E5" s="190"/>
      <c r="F5" s="190"/>
      <c r="G5" s="190"/>
      <c r="H5" s="191" t="s">
        <v>63</v>
      </c>
      <c r="I5" s="190" t="s">
        <v>50</v>
      </c>
      <c r="J5" s="192">
        <f>inputPrYr!E27</f>
        <v>114632</v>
      </c>
    </row>
    <row r="6" spans="1:10" ht="15.75">
      <c r="A6" s="189" t="s">
        <v>107</v>
      </c>
      <c r="B6" s="130" t="str">
        <f>CONCATENATE("Debt Service Levy in ",J1-1,"")</f>
        <v>Debt Service Levy in 2011</v>
      </c>
      <c r="C6" s="130"/>
      <c r="D6" s="130"/>
      <c r="E6" s="190"/>
      <c r="F6" s="190"/>
      <c r="G6" s="190"/>
      <c r="H6" s="191" t="s">
        <v>108</v>
      </c>
      <c r="I6" s="190" t="s">
        <v>50</v>
      </c>
      <c r="J6" s="193">
        <f>inputPrYr!E17</f>
        <v>0</v>
      </c>
    </row>
    <row r="7" spans="1:10" ht="15.75">
      <c r="A7" s="189" t="s">
        <v>109</v>
      </c>
      <c r="B7" s="194" t="s">
        <v>133</v>
      </c>
      <c r="C7" s="130"/>
      <c r="D7" s="130"/>
      <c r="E7" s="190"/>
      <c r="F7" s="190"/>
      <c r="G7" s="190"/>
      <c r="H7" s="190"/>
      <c r="I7" s="190" t="s">
        <v>50</v>
      </c>
      <c r="J7" s="195">
        <f>J5-J6</f>
        <v>114632</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110</v>
      </c>
      <c r="B11" s="194" t="str">
        <f>CONCATENATE("New Improvements for ",J1-1,":")</f>
        <v>New Improvements for 2011:</v>
      </c>
      <c r="C11" s="130"/>
      <c r="D11" s="130"/>
      <c r="E11" s="191"/>
      <c r="F11" s="191" t="s">
        <v>63</v>
      </c>
      <c r="G11" s="192">
        <f>inputOth!E8</f>
        <v>5758</v>
      </c>
      <c r="H11" s="196"/>
      <c r="I11" s="190"/>
      <c r="J11" s="190"/>
    </row>
    <row r="12" spans="1:10" ht="15.75">
      <c r="A12" s="189"/>
      <c r="B12" s="189"/>
      <c r="C12" s="130"/>
      <c r="D12" s="130"/>
      <c r="E12" s="191"/>
      <c r="F12" s="191"/>
      <c r="G12" s="196"/>
      <c r="H12" s="196"/>
      <c r="I12" s="190"/>
      <c r="J12" s="190"/>
    </row>
    <row r="13" spans="1:10" ht="15.75">
      <c r="A13" s="189" t="s">
        <v>111</v>
      </c>
      <c r="B13" s="194" t="str">
        <f>CONCATENATE("Increase in Personal Property for ",J1-1,":")</f>
        <v>Increase in Personal Property for 2011:</v>
      </c>
      <c r="C13" s="130"/>
      <c r="D13" s="130"/>
      <c r="E13" s="191"/>
      <c r="F13" s="191"/>
      <c r="G13" s="196"/>
      <c r="H13" s="196"/>
      <c r="I13" s="190"/>
      <c r="J13" s="190"/>
    </row>
    <row r="14" spans="1:10" ht="15.75">
      <c r="A14" s="130"/>
      <c r="B14" s="130" t="s">
        <v>112</v>
      </c>
      <c r="C14" s="130" t="str">
        <f>CONCATENATE("Personal Property ",J1-1,"")</f>
        <v>Personal Property 2011</v>
      </c>
      <c r="D14" s="189" t="s">
        <v>63</v>
      </c>
      <c r="E14" s="192">
        <f>inputOth!E9</f>
        <v>89392</v>
      </c>
      <c r="F14" s="191"/>
      <c r="G14" s="190"/>
      <c r="H14" s="190"/>
      <c r="I14" s="196"/>
      <c r="J14" s="190"/>
    </row>
    <row r="15" spans="1:10" ht="15.75">
      <c r="A15" s="189"/>
      <c r="B15" s="130" t="s">
        <v>113</v>
      </c>
      <c r="C15" s="130" t="str">
        <f>CONCATENATE("Personal Property ",J1-2,"")</f>
        <v>Personal Property 2010</v>
      </c>
      <c r="D15" s="189" t="s">
        <v>108</v>
      </c>
      <c r="E15" s="195">
        <f>inputOth!E11</f>
        <v>99659</v>
      </c>
      <c r="F15" s="191"/>
      <c r="G15" s="196"/>
      <c r="H15" s="196"/>
      <c r="I15" s="190"/>
      <c r="J15" s="190"/>
    </row>
    <row r="16" spans="1:10" ht="15.75">
      <c r="A16" s="189"/>
      <c r="B16" s="130" t="s">
        <v>114</v>
      </c>
      <c r="C16" s="130" t="s">
        <v>134</v>
      </c>
      <c r="D16" s="130"/>
      <c r="E16" s="190"/>
      <c r="F16" s="190" t="s">
        <v>63</v>
      </c>
      <c r="G16" s="192">
        <f>IF(E14&gt;E15,E14-E15,0)</f>
        <v>0</v>
      </c>
      <c r="H16" s="196"/>
      <c r="I16" s="190"/>
      <c r="J16" s="190"/>
    </row>
    <row r="17" spans="1:10" ht="15.75">
      <c r="A17" s="189"/>
      <c r="B17" s="189"/>
      <c r="C17" s="130"/>
      <c r="D17" s="130"/>
      <c r="E17" s="190"/>
      <c r="F17" s="190"/>
      <c r="G17" s="196" t="s">
        <v>122</v>
      </c>
      <c r="H17" s="196"/>
      <c r="I17" s="190"/>
      <c r="J17" s="190"/>
    </row>
    <row r="18" spans="1:10" ht="15.75">
      <c r="A18" s="189" t="s">
        <v>115</v>
      </c>
      <c r="B18" s="194" t="str">
        <f>CONCATENATE("Valuation of Property that Changed in Use during ",J1-1,":")</f>
        <v>Valuation of Property that Changed in Use during 2011:</v>
      </c>
      <c r="C18" s="130"/>
      <c r="D18" s="130"/>
      <c r="E18" s="190"/>
      <c r="F18" s="191" t="s">
        <v>63</v>
      </c>
      <c r="G18" s="192">
        <f>inputOth!E10</f>
        <v>66</v>
      </c>
      <c r="H18" s="190"/>
      <c r="I18" s="190"/>
      <c r="J18" s="190"/>
    </row>
    <row r="19" spans="1:10" ht="15.75">
      <c r="A19" s="130" t="s">
        <v>777</v>
      </c>
      <c r="B19" s="130"/>
      <c r="C19" s="130"/>
      <c r="D19" s="189"/>
      <c r="E19" s="196"/>
      <c r="F19" s="196"/>
      <c r="G19" s="196"/>
      <c r="H19" s="190"/>
      <c r="I19" s="190"/>
      <c r="J19" s="190"/>
    </row>
    <row r="20" spans="1:10" ht="15.75">
      <c r="A20" s="189" t="s">
        <v>116</v>
      </c>
      <c r="B20" s="194" t="s">
        <v>135</v>
      </c>
      <c r="C20" s="130"/>
      <c r="D20" s="130"/>
      <c r="E20" s="190"/>
      <c r="F20" s="190"/>
      <c r="G20" s="192">
        <f>G11+G16+G18</f>
        <v>5824</v>
      </c>
      <c r="H20" s="196"/>
      <c r="I20" s="190"/>
      <c r="J20" s="190"/>
    </row>
    <row r="21" spans="1:10" ht="15.75">
      <c r="A21" s="189"/>
      <c r="B21" s="189"/>
      <c r="C21" s="194"/>
      <c r="D21" s="130"/>
      <c r="E21" s="190"/>
      <c r="F21" s="190"/>
      <c r="G21" s="196"/>
      <c r="H21" s="196"/>
      <c r="I21" s="190"/>
      <c r="J21" s="190"/>
    </row>
    <row r="22" spans="1:10" ht="15.75">
      <c r="A22" s="189" t="s">
        <v>117</v>
      </c>
      <c r="B22" s="130" t="str">
        <f>CONCATENATE("Total Estimated Valuation July 1,",J1-1,"")</f>
        <v>Total Estimated Valuation July 1,2011</v>
      </c>
      <c r="C22" s="130"/>
      <c r="D22" s="130"/>
      <c r="E22" s="192">
        <f>inputOth!E7</f>
        <v>3683640</v>
      </c>
      <c r="F22" s="190"/>
      <c r="G22" s="190"/>
      <c r="H22" s="190"/>
      <c r="I22" s="191"/>
      <c r="J22" s="190"/>
    </row>
    <row r="23" spans="1:10" ht="15.75">
      <c r="A23" s="189"/>
      <c r="B23" s="189"/>
      <c r="C23" s="130"/>
      <c r="D23" s="130"/>
      <c r="E23" s="196"/>
      <c r="F23" s="190"/>
      <c r="G23" s="190"/>
      <c r="H23" s="190"/>
      <c r="I23" s="191"/>
      <c r="J23" s="190"/>
    </row>
    <row r="24" spans="1:10" ht="15.75">
      <c r="A24" s="189" t="s">
        <v>118</v>
      </c>
      <c r="B24" s="194" t="s">
        <v>136</v>
      </c>
      <c r="C24" s="130"/>
      <c r="D24" s="130"/>
      <c r="E24" s="190"/>
      <c r="F24" s="190"/>
      <c r="G24" s="192">
        <f>E22-G20</f>
        <v>3677816</v>
      </c>
      <c r="H24" s="196"/>
      <c r="I24" s="191"/>
      <c r="J24" s="190"/>
    </row>
    <row r="25" spans="1:10" ht="15.75">
      <c r="A25" s="189"/>
      <c r="B25" s="189"/>
      <c r="C25" s="194"/>
      <c r="D25" s="130"/>
      <c r="E25" s="130"/>
      <c r="F25" s="130"/>
      <c r="G25" s="197"/>
      <c r="H25" s="136"/>
      <c r="I25" s="189"/>
      <c r="J25" s="130"/>
    </row>
    <row r="26" spans="1:10" ht="15.75">
      <c r="A26" s="189" t="s">
        <v>119</v>
      </c>
      <c r="B26" s="130" t="s">
        <v>137</v>
      </c>
      <c r="C26" s="130"/>
      <c r="D26" s="130"/>
      <c r="E26" s="130"/>
      <c r="F26" s="130"/>
      <c r="G26" s="198">
        <f>IF(G20&gt;0,G20/G24,0)</f>
        <v>0.0015835484972603305</v>
      </c>
      <c r="H26" s="136"/>
      <c r="I26" s="130"/>
      <c r="J26" s="130"/>
    </row>
    <row r="27" spans="1:10" ht="15.75">
      <c r="A27" s="189"/>
      <c r="B27" s="189"/>
      <c r="C27" s="130"/>
      <c r="D27" s="130"/>
      <c r="E27" s="130"/>
      <c r="F27" s="130"/>
      <c r="G27" s="136"/>
      <c r="H27" s="136"/>
      <c r="I27" s="130"/>
      <c r="J27" s="130"/>
    </row>
    <row r="28" spans="1:10" ht="15.75">
      <c r="A28" s="189" t="s">
        <v>120</v>
      </c>
      <c r="B28" s="130" t="s">
        <v>138</v>
      </c>
      <c r="C28" s="130"/>
      <c r="D28" s="130"/>
      <c r="E28" s="130"/>
      <c r="F28" s="130"/>
      <c r="G28" s="136"/>
      <c r="H28" s="199" t="s">
        <v>63</v>
      </c>
      <c r="I28" s="130" t="s">
        <v>50</v>
      </c>
      <c r="J28" s="192">
        <f>ROUND(G26*J7,0)</f>
        <v>182</v>
      </c>
    </row>
    <row r="29" spans="1:10" ht="15.75">
      <c r="A29" s="189"/>
      <c r="B29" s="189"/>
      <c r="C29" s="130"/>
      <c r="D29" s="130"/>
      <c r="E29" s="130"/>
      <c r="F29" s="130"/>
      <c r="G29" s="136"/>
      <c r="H29" s="199"/>
      <c r="I29" s="130"/>
      <c r="J29" s="196"/>
    </row>
    <row r="30" spans="1:10" ht="16.5" thickBot="1">
      <c r="A30" s="189" t="s">
        <v>121</v>
      </c>
      <c r="B30" s="194" t="s">
        <v>142</v>
      </c>
      <c r="C30" s="130"/>
      <c r="D30" s="130"/>
      <c r="E30" s="130"/>
      <c r="F30" s="130"/>
      <c r="G30" s="130"/>
      <c r="H30" s="130"/>
      <c r="I30" s="130" t="s">
        <v>50</v>
      </c>
      <c r="J30" s="200">
        <f>J7+J28</f>
        <v>114814</v>
      </c>
    </row>
    <row r="31" spans="1:10" ht="16.5" thickTop="1">
      <c r="A31" s="130"/>
      <c r="B31" s="130"/>
      <c r="C31" s="130"/>
      <c r="D31" s="130"/>
      <c r="E31" s="130"/>
      <c r="F31" s="130"/>
      <c r="G31" s="130"/>
      <c r="H31" s="130"/>
      <c r="I31" s="130"/>
      <c r="J31" s="130"/>
    </row>
    <row r="32" spans="1:10" ht="15.75">
      <c r="A32" s="189" t="s">
        <v>140</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141</v>
      </c>
      <c r="B34" s="194" t="s">
        <v>143</v>
      </c>
      <c r="C34" s="130"/>
      <c r="D34" s="130"/>
      <c r="E34" s="130"/>
      <c r="F34" s="130"/>
      <c r="G34" s="130"/>
      <c r="H34" s="130"/>
      <c r="I34" s="130"/>
      <c r="J34" s="200">
        <f>J30+J32</f>
        <v>114814</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139</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Bloomington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265</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103</v>
      </c>
      <c r="H10" s="144"/>
      <c r="I10" s="144" t="s">
        <v>104</v>
      </c>
      <c r="J10" s="141" t="s">
        <v>147</v>
      </c>
      <c r="K10" s="141" t="s">
        <v>189</v>
      </c>
      <c r="L10" s="213"/>
    </row>
    <row r="11" spans="2:12" ht="15.75">
      <c r="B11" s="155" t="str">
        <f>inputPrYr!B16</f>
        <v>General</v>
      </c>
      <c r="C11" s="214"/>
      <c r="D11" s="155">
        <f>IF(inputPrYr!E16&gt;0,inputPrYr!E16,"  ")</f>
        <v>8968</v>
      </c>
      <c r="E11" s="215">
        <f>IF(inputOth!D17&gt;0,inputOth!D17,"  ")</f>
        <v>2.48</v>
      </c>
      <c r="F11" s="216"/>
      <c r="G11" s="155">
        <f>IF(inputPrYr!E16=0,0,G24-SUM(G12:G21))</f>
        <v>1397</v>
      </c>
      <c r="H11" s="217"/>
      <c r="I11" s="155">
        <f>IF(inputPrYr!E16=0,0,I26-SUM(I12:I21))</f>
        <v>43</v>
      </c>
      <c r="J11" s="155">
        <f>IF(inputPrYr!E16=0,0,J28-SUM(J12:J21))</f>
        <v>47</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105664</v>
      </c>
      <c r="E13" s="215">
        <f>IF(inputOth!D19&gt;0,inputOth!D19,"  ")</f>
        <v>29.217</v>
      </c>
      <c r="F13" s="216"/>
      <c r="G13" s="155">
        <f>IF(inputPrYr!E18=0,0,ROUND(D13*$G$32,0))</f>
        <v>16460</v>
      </c>
      <c r="H13" s="217"/>
      <c r="I13" s="155">
        <f>IF(inputPrYr!$E$18=0,0,ROUND($D$13*$I$34,0))</f>
        <v>511</v>
      </c>
      <c r="J13" s="155">
        <f>IF(inputPrYr!E18=0,0,ROUND($D13*$J$36,0))</f>
        <v>559</v>
      </c>
      <c r="K13" s="155">
        <f>IF(inputPrYr!E18=0,0,ROUND($D13*$K$38,0))</f>
        <v>0</v>
      </c>
      <c r="L13" s="218" t="e">
        <f>IF(inputOth!D19&gt;0,ROUND(E13*#REF!*-1,0),"")</f>
        <v>#REF!</v>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775</v>
      </c>
      <c r="C22" s="219"/>
      <c r="D22" s="220">
        <f aca="true" t="shared" si="0" ref="D22:J22">SUM(D11:D21)</f>
        <v>114632</v>
      </c>
      <c r="E22" s="221">
        <f>SUM(E11:E21)</f>
        <v>31.697</v>
      </c>
      <c r="F22" s="222"/>
      <c r="G22" s="220">
        <f t="shared" si="0"/>
        <v>17857</v>
      </c>
      <c r="H22" s="220"/>
      <c r="I22" s="220">
        <f t="shared" si="0"/>
        <v>554</v>
      </c>
      <c r="J22" s="220">
        <f t="shared" si="0"/>
        <v>606</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53</v>
      </c>
      <c r="C24" s="224"/>
      <c r="D24" s="130"/>
      <c r="E24" s="130"/>
      <c r="F24" s="130"/>
      <c r="G24" s="225">
        <f>inputOth!E33</f>
        <v>17857</v>
      </c>
      <c r="H24" s="130"/>
      <c r="I24" s="130"/>
      <c r="J24" s="130"/>
      <c r="K24" s="130"/>
      <c r="L24" s="181"/>
    </row>
    <row r="25" spans="2:12" ht="15.75">
      <c r="B25" s="130"/>
      <c r="C25" s="130"/>
      <c r="D25" s="130"/>
      <c r="E25" s="130"/>
      <c r="F25" s="130"/>
      <c r="G25" s="130"/>
      <c r="H25" s="130"/>
      <c r="I25" s="130"/>
      <c r="J25" s="130"/>
      <c r="K25" s="130"/>
      <c r="L25" s="181"/>
    </row>
    <row r="26" spans="2:12" ht="15.75">
      <c r="B26" s="137" t="s">
        <v>54</v>
      </c>
      <c r="C26" s="130"/>
      <c r="D26" s="130"/>
      <c r="E26" s="130"/>
      <c r="F26" s="130"/>
      <c r="G26" s="130"/>
      <c r="H26" s="225">
        <f>inputPrYr!E79</f>
        <v>0</v>
      </c>
      <c r="I26" s="225">
        <f>inputOth!E34</f>
        <v>554</v>
      </c>
      <c r="J26" s="130"/>
      <c r="K26" s="130"/>
      <c r="L26" s="181"/>
    </row>
    <row r="27" spans="2:12" ht="15.75">
      <c r="B27" s="130"/>
      <c r="C27" s="130"/>
      <c r="D27" s="130"/>
      <c r="E27" s="130"/>
      <c r="F27" s="130"/>
      <c r="G27" s="130"/>
      <c r="H27" s="130"/>
      <c r="I27" s="130"/>
      <c r="J27" s="130"/>
      <c r="K27" s="130"/>
      <c r="L27" s="181"/>
    </row>
    <row r="28" spans="2:12" ht="15.75">
      <c r="B28" s="137" t="s">
        <v>100</v>
      </c>
      <c r="C28" s="130"/>
      <c r="D28" s="130"/>
      <c r="E28" s="130"/>
      <c r="F28" s="130"/>
      <c r="G28" s="130"/>
      <c r="H28" s="130"/>
      <c r="I28" s="130"/>
      <c r="J28" s="225">
        <f>inputOth!E35</f>
        <v>606</v>
      </c>
      <c r="K28" s="226"/>
      <c r="L28" s="181"/>
    </row>
    <row r="29" spans="2:12" ht="15.75">
      <c r="B29" s="130"/>
      <c r="C29" s="130"/>
      <c r="D29" s="130"/>
      <c r="E29" s="130"/>
      <c r="F29" s="130"/>
      <c r="G29" s="130"/>
      <c r="H29" s="130"/>
      <c r="I29" s="130"/>
      <c r="J29" s="130"/>
      <c r="K29" s="130"/>
      <c r="L29" s="181"/>
    </row>
    <row r="30" spans="2:12" ht="15.75">
      <c r="B30" s="130" t="s">
        <v>211</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55</v>
      </c>
      <c r="C32" s="130"/>
      <c r="D32" s="130"/>
      <c r="E32" s="130"/>
      <c r="F32" s="130"/>
      <c r="G32" s="227">
        <f>IF(D22=0,0,G24/D22)</f>
        <v>0.15577674645823156</v>
      </c>
      <c r="H32" s="130"/>
      <c r="I32" s="130"/>
      <c r="J32" s="130"/>
      <c r="K32" s="130"/>
      <c r="L32" s="181"/>
    </row>
    <row r="33" spans="2:12" ht="15.75">
      <c r="B33" s="130"/>
      <c r="C33" s="228"/>
      <c r="D33" s="130"/>
      <c r="E33" s="130"/>
      <c r="F33" s="130"/>
      <c r="G33" s="130"/>
      <c r="H33" s="130"/>
      <c r="I33" s="130"/>
      <c r="J33" s="130"/>
      <c r="K33" s="130"/>
      <c r="L33" s="181"/>
    </row>
    <row r="34" spans="2:12" ht="15.75">
      <c r="B34" s="137" t="s">
        <v>56</v>
      </c>
      <c r="C34" s="130"/>
      <c r="D34" s="130"/>
      <c r="E34" s="130"/>
      <c r="F34" s="130"/>
      <c r="G34" s="130"/>
      <c r="H34" s="229">
        <f>IF(D22=0,0,H26/D22)</f>
        <v>0</v>
      </c>
      <c r="I34" s="230">
        <f>IF(D22=0,0,I26/D22)</f>
        <v>0.004832856444971736</v>
      </c>
      <c r="J34" s="130"/>
      <c r="K34" s="130"/>
      <c r="L34" s="181"/>
    </row>
    <row r="35" spans="2:12" ht="15.75">
      <c r="B35" s="130"/>
      <c r="C35" s="130"/>
      <c r="D35" s="130"/>
      <c r="E35" s="130"/>
      <c r="F35" s="130"/>
      <c r="G35" s="130"/>
      <c r="H35" s="130"/>
      <c r="I35" s="130"/>
      <c r="J35" s="130"/>
      <c r="K35" s="130"/>
      <c r="L35" s="181"/>
    </row>
    <row r="36" spans="2:12" ht="15.75">
      <c r="B36" s="137" t="s">
        <v>102</v>
      </c>
      <c r="C36" s="130"/>
      <c r="D36" s="130"/>
      <c r="E36" s="130"/>
      <c r="F36" s="130"/>
      <c r="G36" s="130"/>
      <c r="H36" s="130"/>
      <c r="I36" s="130"/>
      <c r="J36" s="227">
        <f>IF(D22=0,0,J28/D22)</f>
        <v>0.005286481959662224</v>
      </c>
      <c r="K36" s="231"/>
      <c r="L36" s="181"/>
    </row>
    <row r="37" spans="2:12" ht="15.75">
      <c r="B37" s="181"/>
      <c r="C37" s="181"/>
      <c r="D37" s="181"/>
      <c r="E37" s="181"/>
      <c r="F37" s="181"/>
      <c r="G37" s="181"/>
      <c r="H37" s="181"/>
      <c r="I37" s="181"/>
      <c r="J37" s="181"/>
      <c r="K37" s="181"/>
      <c r="L37" s="181"/>
    </row>
    <row r="38" spans="2:12" ht="15.75">
      <c r="B38" s="181" t="s">
        <v>212</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Bloomington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500</v>
      </c>
      <c r="B5" s="666"/>
      <c r="C5" s="666"/>
      <c r="D5" s="666"/>
      <c r="E5" s="666"/>
      <c r="F5" s="666"/>
    </row>
    <row r="6" spans="1:6" ht="14.25" customHeight="1">
      <c r="A6" s="129"/>
      <c r="B6" s="235"/>
      <c r="C6" s="235"/>
      <c r="D6" s="235"/>
      <c r="E6" s="235"/>
      <c r="F6" s="235"/>
    </row>
    <row r="7" spans="1:6" ht="15" customHeight="1">
      <c r="A7" s="236" t="s">
        <v>332</v>
      </c>
      <c r="B7" s="236" t="s">
        <v>305</v>
      </c>
      <c r="C7" s="237" t="s">
        <v>587</v>
      </c>
      <c r="D7" s="237" t="s">
        <v>501</v>
      </c>
      <c r="E7" s="236" t="s">
        <v>502</v>
      </c>
      <c r="F7" s="236" t="s">
        <v>503</v>
      </c>
    </row>
    <row r="8" spans="1:6" ht="15" customHeight="1">
      <c r="A8" s="238" t="s">
        <v>306</v>
      </c>
      <c r="B8" s="238" t="s">
        <v>307</v>
      </c>
      <c r="C8" s="239" t="s">
        <v>504</v>
      </c>
      <c r="D8" s="239" t="s">
        <v>504</v>
      </c>
      <c r="E8" s="239" t="s">
        <v>504</v>
      </c>
      <c r="F8" s="239" t="s">
        <v>505</v>
      </c>
    </row>
    <row r="9" spans="1:6" s="242" customFormat="1" ht="15" customHeight="1" thickBot="1">
      <c r="A9" s="240" t="s">
        <v>506</v>
      </c>
      <c r="B9" s="241" t="s">
        <v>507</v>
      </c>
      <c r="C9" s="241">
        <f>F1-2</f>
        <v>2010</v>
      </c>
      <c r="D9" s="241">
        <f>F1-1</f>
        <v>2011</v>
      </c>
      <c r="E9" s="241">
        <f>F1</f>
        <v>2012</v>
      </c>
      <c r="F9" s="241" t="s">
        <v>770</v>
      </c>
    </row>
    <row r="10" spans="1:6" ht="15" customHeight="1" thickTop="1">
      <c r="A10" s="243"/>
      <c r="B10" s="243"/>
      <c r="C10" s="244"/>
      <c r="D10" s="244"/>
      <c r="E10" s="244"/>
      <c r="F10" s="243"/>
    </row>
    <row r="11" spans="1:6" ht="15" customHeight="1">
      <c r="A11" s="245" t="s">
        <v>634</v>
      </c>
      <c r="B11" s="245" t="s">
        <v>336</v>
      </c>
      <c r="C11" s="246">
        <f>gen!$C$43</f>
        <v>0</v>
      </c>
      <c r="D11" s="246">
        <f>gen!$D$43</f>
        <v>0</v>
      </c>
      <c r="E11" s="246">
        <f>gen!$E$43</f>
        <v>0</v>
      </c>
      <c r="F11" s="245">
        <f>IF(C11+D11+E11&gt;0,"80-1406b","")</f>
      </c>
    </row>
    <row r="12" spans="1:6" ht="15" customHeight="1">
      <c r="A12" s="245" t="s">
        <v>634</v>
      </c>
      <c r="B12" s="245" t="s">
        <v>336</v>
      </c>
      <c r="C12" s="246">
        <f>gen!$C$45</f>
        <v>6289</v>
      </c>
      <c r="D12" s="246">
        <f>gen!$D$45</f>
        <v>0</v>
      </c>
      <c r="E12" s="246">
        <f>gen!$E$45</f>
        <v>0</v>
      </c>
      <c r="F12" s="245" t="str">
        <f>IF(C12+D12+E12&gt;0,"80-122","")</f>
        <v>80-122</v>
      </c>
    </row>
    <row r="13" spans="1:6" ht="15" customHeight="1">
      <c r="A13" s="245" t="s">
        <v>774</v>
      </c>
      <c r="B13" s="245" t="s">
        <v>336</v>
      </c>
      <c r="C13" s="246">
        <f>road!$C$38</f>
        <v>27541</v>
      </c>
      <c r="D13" s="246">
        <f>road!$D$38</f>
        <v>0</v>
      </c>
      <c r="E13" s="246">
        <f>road!$E$38</f>
        <v>0</v>
      </c>
      <c r="F13" s="245" t="str">
        <f>IF(C13+D13+E13&gt;0,"68-141g","")</f>
        <v>68-141g</v>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775</v>
      </c>
      <c r="C27" s="252">
        <f>SUM(C10:C26)</f>
        <v>33830</v>
      </c>
      <c r="D27" s="252">
        <f>SUM(D10:D26)</f>
        <v>0</v>
      </c>
      <c r="E27" s="252">
        <f>SUM(E10:E26)</f>
        <v>0</v>
      </c>
      <c r="F27" s="250"/>
    </row>
    <row r="28" spans="1:6" ht="15.75">
      <c r="A28" s="250"/>
      <c r="B28" s="251" t="s">
        <v>304</v>
      </c>
      <c r="C28" s="250"/>
      <c r="D28" s="247"/>
      <c r="E28" s="247"/>
      <c r="F28" s="250"/>
    </row>
    <row r="29" spans="1:6" ht="15.75">
      <c r="A29" s="250"/>
      <c r="B29" s="153" t="s">
        <v>508</v>
      </c>
      <c r="C29" s="253">
        <f>C27</f>
        <v>33830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308</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2011-07-14T14:23:01Z</cp:lastPrinted>
  <dcterms:created xsi:type="dcterms:W3CDTF">1998-08-26T16:30:41Z</dcterms:created>
  <dcterms:modified xsi:type="dcterms:W3CDTF">2011-11-18T15:17:02Z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