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8_0.bin" ContentType="application/vnd.openxmlformats-officedocument.oleObject"/>
  <Override PartName="/xl/embeddings/oleObject_2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Notice of Publication" sheetId="19" r:id="rId19"/>
    <sheet name="Nhood" sheetId="20" r:id="rId20"/>
    <sheet name="Resolution" sheetId="21" r:id="rId21"/>
    <sheet name="Signed 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'summ'!$A$1:$I$37</definedName>
  </definedNames>
  <calcPr fullCalcOnLoad="1"/>
</workbook>
</file>

<file path=xl/sharedStrings.xml><?xml version="1.0" encoding="utf-8"?>
<sst xmlns="http://schemas.openxmlformats.org/spreadsheetml/2006/main" count="1173" uniqueCount="781">
  <si>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</si>
  <si>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</si>
  <si>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</si>
  <si>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</si>
  <si>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</si>
  <si>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</si>
  <si>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</si>
  <si>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</si>
  <si>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</si>
  <si>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</si>
  <si>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</si>
  <si>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</si>
  <si>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</si>
  <si>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</si>
  <si>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</si>
  <si>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</si>
  <si>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</si>
  <si>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</si>
  <si>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</si>
  <si>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</si>
  <si>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</si>
  <si>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</si>
  <si>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</si>
  <si>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</si>
  <si>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</si>
  <si>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</si>
  <si>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</si>
  <si>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</si>
  <si>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</si>
  <si>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</si>
  <si>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</si>
  <si>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</si>
  <si>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</si>
  <si>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</si>
  <si>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</si>
  <si>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</si>
  <si>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</si>
  <si>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</si>
  <si>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</si>
  <si>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</si>
  <si>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</si>
  <si>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</si>
  <si>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</si>
  <si>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</si>
  <si>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</si>
  <si>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</si>
  <si>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</si>
  <si>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</si>
  <si>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</si>
  <si>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</si>
  <si>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</si>
  <si>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</si>
  <si>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</si>
  <si>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</si>
  <si>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</si>
  <si>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</si>
  <si>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</si>
  <si>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</si>
  <si>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</si>
  <si>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</si>
  <si>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</si>
  <si>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</si>
  <si>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</si>
  <si>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</si>
  <si>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</si>
  <si>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</si>
  <si>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</si>
  <si>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</si>
  <si>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</si>
  <si>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</si>
  <si>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</si>
  <si>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</si>
  <si>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</si>
  <si>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</si>
  <si>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</si>
  <si>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</si>
  <si>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</si>
  <si>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</si>
  <si>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</si>
  <si>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</si>
  <si>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</si>
  <si>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</si>
  <si>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</si>
  <si>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</si>
  <si>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</si>
  <si>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</si>
  <si>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</si>
  <si>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</si>
  <si>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</si>
  <si>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</si>
  <si>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</si>
  <si>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</si>
  <si>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</si>
  <si>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</si>
  <si>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</si>
  <si>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</si>
  <si>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</si>
  <si>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</si>
  <si>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</si>
  <si>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</si>
  <si>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</si>
  <si>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</si>
  <si>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</si>
  <si>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</si>
  <si>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</si>
  <si>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</si>
  <si>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</si>
  <si>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</si>
  <si>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</si>
  <si>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</si>
  <si>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</si>
  <si>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</si>
  <si>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</si>
  <si>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</si>
  <si>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</si>
  <si>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</si>
  <si>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</si>
  <si>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</si>
  <si>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</si>
  <si>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</si>
  <si>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</si>
  <si>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</si>
  <si>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</si>
  <si>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</si>
  <si>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</si>
  <si>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</si>
  <si>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</si>
  <si>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</si>
  <si>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</si>
  <si>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</si>
  <si>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</si>
  <si>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</si>
  <si>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</si>
  <si>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</si>
  <si>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</si>
  <si>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</si>
  <si>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</si>
  <si>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</si>
  <si>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</si>
  <si>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</si>
  <si>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</si>
  <si>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</si>
  <si>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</si>
  <si>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</si>
  <si>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</si>
  <si>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</si>
  <si>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</si>
  <si>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</si>
  <si>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</si>
  <si>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</si>
  <si>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</si>
  <si>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</si>
  <si>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</si>
  <si>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</si>
  <si>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</si>
  <si>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</si>
  <si>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</si>
  <si>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</si>
  <si>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</si>
  <si>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</si>
  <si>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</si>
  <si>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</si>
  <si>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</si>
  <si>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</si>
  <si>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</si>
  <si>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</si>
  <si>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</si>
  <si>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</si>
  <si>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</si>
  <si>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</si>
  <si>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</si>
  <si>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</si>
  <si>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</si>
  <si>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</si>
  <si>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</si>
  <si>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</si>
  <si>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</si>
  <si>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</si>
  <si>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</si>
  <si>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</si>
  <si>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</si>
  <si>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</si>
  <si>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</si>
  <si>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</si>
  <si>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</si>
  <si>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</si>
  <si>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</si>
  <si>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</si>
  <si>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</si>
  <si>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</si>
  <si>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</si>
  <si>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</si>
  <si>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</si>
  <si>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</si>
  <si>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</si>
  <si>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</si>
  <si>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</si>
  <si>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</si>
  <si>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</si>
  <si>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</si>
  <si>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</si>
  <si>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</si>
  <si>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</si>
  <si>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</si>
  <si>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</si>
  <si>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</si>
  <si>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</si>
  <si>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</si>
  <si>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</si>
  <si>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</si>
  <si>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</si>
  <si>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</si>
  <si>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</si>
  <si>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</si>
  <si>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</si>
  <si>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</si>
  <si>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</si>
  <si>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</si>
  <si>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</si>
  <si>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</si>
  <si>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</si>
  <si>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</si>
  <si>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</si>
  <si>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</si>
  <si>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</si>
  <si>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</si>
  <si>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</si>
  <si>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</si>
  <si>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</si>
  <si>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</si>
  <si>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</si>
  <si>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</si>
  <si>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</si>
  <si>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</si>
  <si>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</si>
  <si>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</si>
  <si>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</si>
  <si>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</si>
  <si>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</si>
  <si>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</si>
  <si>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</si>
  <si>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</si>
  <si>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</si>
  <si>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</si>
  <si>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</si>
  <si>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</si>
  <si>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</si>
  <si>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</si>
  <si>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</si>
  <si>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</si>
  <si>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</si>
  <si>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</si>
  <si>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</si>
  <si>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</si>
  <si>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</si>
  <si>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</si>
  <si>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</si>
  <si>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</si>
  <si>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</si>
  <si>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</si>
  <si>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</si>
  <si>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</si>
  <si>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</si>
  <si>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</si>
  <si>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</si>
  <si>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</si>
  <si>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</si>
  <si>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</si>
  <si>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</si>
  <si>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</si>
  <si>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</si>
  <si>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</si>
  <si>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</si>
  <si>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</si>
  <si>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</si>
  <si>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</si>
  <si>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</si>
  <si>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</si>
  <si>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</si>
  <si>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</si>
  <si>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</si>
  <si>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</si>
  <si>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</si>
  <si>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</si>
  <si>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</si>
  <si>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</si>
  <si>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</si>
  <si>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</si>
  <si>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</si>
  <si>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</si>
  <si>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</si>
  <si>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</si>
  <si>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</si>
  <si>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</si>
  <si>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</si>
  <si>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</si>
  <si>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</si>
  <si>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</si>
  <si>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</si>
  <si>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</si>
  <si>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</si>
  <si>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</si>
  <si>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</si>
  <si>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</si>
  <si>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</si>
  <si>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</si>
  <si>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</si>
  <si>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</si>
  <si>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</si>
  <si>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</si>
  <si>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</si>
  <si>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</si>
  <si>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</si>
  <si>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</si>
  <si>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</si>
  <si>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</si>
  <si>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</si>
  <si>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</si>
  <si>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</si>
  <si>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</si>
  <si>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</si>
  <si>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</si>
  <si>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</si>
  <si>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</si>
  <si>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</si>
  <si>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</si>
  <si>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</si>
  <si>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</si>
  <si>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</si>
  <si>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</si>
  <si>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</si>
  <si>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</si>
  <si>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</si>
  <si>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</si>
  <si>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</si>
  <si>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</si>
  <si>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</si>
  <si>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</si>
  <si>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</si>
  <si>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</si>
  <si>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</si>
  <si>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</si>
  <si>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</si>
  <si>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</si>
  <si>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</si>
  <si>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</si>
  <si>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</si>
  <si>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</si>
  <si>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</si>
  <si>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</si>
  <si>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</si>
  <si>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</si>
  <si>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</si>
  <si>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</si>
  <si>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</si>
  <si>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</si>
  <si>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</si>
  <si>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</si>
  <si>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</si>
  <si>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</si>
  <si>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</si>
  <si>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</si>
  <si>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</si>
  <si>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</si>
  <si>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</si>
  <si>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</si>
  <si>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</si>
  <si>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</si>
  <si>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</si>
  <si>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</si>
  <si>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</si>
  <si>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</si>
  <si>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</si>
  <si>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</si>
  <si>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</si>
  <si>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</si>
  <si>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</si>
  <si>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</si>
  <si>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</si>
  <si>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</si>
  <si>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</si>
  <si>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</si>
  <si>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</si>
  <si>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</si>
  <si>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</si>
  <si>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</si>
  <si>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</si>
  <si>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</si>
  <si>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</si>
  <si>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</si>
  <si>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</si>
  <si>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</si>
  <si>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</si>
  <si>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</si>
  <si>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</si>
  <si>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</si>
  <si>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</si>
  <si>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</si>
  <si>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</si>
  <si>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</si>
  <si>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</si>
  <si>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</si>
  <si>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</si>
  <si>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</si>
  <si>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</si>
  <si>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</si>
  <si>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</si>
  <si>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</si>
  <si>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</si>
  <si>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</si>
  <si>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</si>
  <si>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</si>
  <si>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</si>
  <si>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</si>
  <si>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</si>
  <si>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</si>
  <si>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</si>
  <si>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</si>
  <si>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</si>
  <si>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</si>
  <si>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</si>
  <si>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</si>
  <si>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</si>
  <si>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</si>
  <si>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</si>
  <si>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</si>
  <si>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</si>
  <si>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</si>
  <si>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</si>
  <si>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</si>
  <si>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</si>
  <si>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</si>
  <si>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</si>
  <si>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</si>
  <si>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</si>
  <si>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</si>
  <si>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</si>
  <si>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</si>
  <si>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</si>
  <si>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</si>
  <si>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</si>
  <si>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</si>
  <si>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</si>
  <si>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</si>
  <si>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</si>
  <si>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</si>
  <si>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</si>
  <si>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</si>
  <si>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</si>
  <si>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</si>
  <si>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</si>
  <si>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</si>
  <si>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</si>
  <si>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</si>
  <si>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</si>
  <si>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</si>
  <si>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</si>
  <si>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</si>
  <si>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</si>
  <si>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</si>
  <si>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</si>
  <si>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</si>
  <si>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</si>
  <si>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</si>
  <si>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</si>
  <si>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</si>
  <si>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</si>
  <si>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</si>
  <si>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</si>
  <si>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</si>
  <si>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</si>
  <si>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</si>
  <si>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</si>
  <si>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</si>
  <si>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</si>
  <si>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</si>
  <si>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</si>
  <si>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</si>
  <si>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</si>
  <si>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</si>
  <si>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</si>
  <si>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</si>
  <si>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</si>
  <si>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</si>
  <si>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</si>
  <si>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</si>
  <si>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</si>
  <si>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</si>
  <si>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</si>
  <si>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</si>
  <si>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</si>
  <si>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</si>
  <si>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</si>
  <si>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</si>
  <si>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</si>
  <si>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</si>
  <si>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</si>
  <si>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</si>
  <si>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</si>
  <si>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</si>
  <si>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</si>
  <si>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</si>
  <si>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</si>
  <si>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</si>
  <si>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</si>
  <si>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</si>
  <si>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</si>
  <si>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</si>
  <si>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</si>
  <si>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</si>
  <si>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</si>
  <si>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</si>
  <si>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</si>
  <si>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</si>
  <si>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</si>
  <si>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</si>
  <si>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</si>
  <si>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</si>
  <si>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</si>
  <si>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</si>
  <si>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</si>
  <si>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</si>
  <si>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</si>
  <si>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</si>
  <si>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</si>
  <si>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</si>
  <si>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</si>
  <si>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</si>
  <si>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</si>
  <si>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</si>
  <si>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</si>
  <si>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</si>
  <si>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</si>
  <si>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</si>
  <si>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</si>
  <si>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</si>
  <si>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</si>
  <si>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</si>
  <si>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</si>
  <si>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</si>
  <si>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</si>
  <si>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</si>
  <si>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</si>
  <si>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</si>
  <si>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</si>
  <si>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</si>
  <si>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</si>
  <si>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</si>
  <si>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</si>
  <si>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</si>
  <si>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</si>
  <si>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</si>
  <si>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</si>
  <si>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</si>
  <si>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</si>
  <si>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</si>
  <si>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</si>
  <si>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</si>
  <si>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</si>
  <si>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</si>
  <si>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</si>
  <si>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</si>
  <si>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</si>
  <si>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</si>
  <si>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</si>
  <si>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</si>
  <si>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</si>
  <si>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</si>
  <si>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</si>
  <si>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</si>
  <si>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</si>
  <si>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</si>
  <si>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</si>
  <si>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</si>
  <si>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</si>
  <si>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</si>
  <si>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</si>
  <si>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</si>
  <si>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</si>
  <si>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</si>
  <si>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</si>
  <si>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</si>
  <si>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</si>
  <si>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</si>
  <si>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</si>
  <si>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</si>
  <si>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</si>
  <si>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</si>
  <si>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</si>
  <si>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</si>
  <si>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</si>
  <si>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</si>
  <si>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</si>
  <si>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</si>
  <si>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</si>
  <si>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</si>
  <si>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</si>
  <si>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</si>
  <si>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</si>
  <si>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</si>
  <si>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</si>
  <si>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</si>
  <si>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</si>
  <si>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</si>
  <si>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</si>
  <si>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</si>
  <si>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</si>
  <si>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</si>
  <si>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</si>
  <si>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</si>
  <si>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</si>
  <si>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</si>
  <si>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</si>
  <si>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</si>
  <si>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</si>
  <si>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</si>
  <si>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</si>
  <si>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</si>
  <si>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</si>
  <si>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</si>
  <si>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</si>
  <si>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</si>
  <si>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</si>
  <si>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</si>
  <si>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</si>
  <si>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</si>
  <si>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</si>
  <si>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</si>
  <si>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</si>
  <si>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</si>
  <si>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</si>
  <si>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</si>
  <si>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</si>
  <si>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</si>
  <si>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</si>
  <si>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</si>
  <si>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</si>
  <si>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</si>
  <si>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</si>
  <si>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</si>
  <si>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</si>
  <si>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</si>
  <si>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</si>
  <si>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</si>
  <si>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</si>
  <si>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</si>
  <si>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</si>
  <si>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</si>
  <si>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</si>
  <si>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</si>
  <si>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</si>
  <si>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</si>
  <si>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</si>
  <si>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</si>
  <si>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</si>
  <si>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</si>
  <si>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</si>
  <si>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</si>
  <si>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</si>
  <si>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</si>
  <si>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</si>
  <si>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</si>
  <si>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</si>
  <si>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</si>
  <si>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</si>
  <si>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</si>
  <si>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</si>
  <si>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</si>
  <si>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</si>
  <si>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</si>
  <si>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</si>
  <si>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</si>
  <si>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</si>
  <si>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</si>
  <si>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</si>
  <si>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</si>
  <si>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</si>
  <si>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</si>
  <si>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</si>
  <si>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</si>
  <si>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</si>
  <si>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</si>
  <si>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</si>
  <si>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</si>
  <si>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</si>
  <si>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</si>
  <si>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</si>
  <si>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</si>
  <si>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</si>
  <si>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</si>
  <si>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</si>
  <si>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</si>
  <si>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</si>
  <si>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</si>
  <si>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</si>
  <si>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</si>
  <si>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</si>
  <si>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</si>
  <si>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</si>
  <si>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</si>
  <si>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</si>
  <si>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</si>
  <si>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</si>
  <si>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</si>
  <si>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</si>
  <si>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</si>
  <si>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</si>
  <si>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</si>
  <si>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</si>
  <si>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</si>
  <si>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</si>
  <si>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</si>
  <si>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</si>
  <si>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</si>
  <si>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</si>
  <si>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</si>
  <si>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</si>
  <si>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</si>
  <si>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</si>
  <si>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</si>
  <si>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</si>
  <si>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</si>
  <si>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</si>
  <si>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</si>
  <si>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</si>
  <si>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</si>
  <si>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</si>
  <si>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</si>
  <si>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</si>
  <si>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</si>
  <si>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</si>
  <si>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</si>
  <si>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</si>
  <si>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</si>
  <si>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</si>
  <si>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</si>
  <si>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</si>
  <si>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</si>
  <si>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</si>
  <si>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</si>
  <si>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</si>
  <si>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</si>
  <si>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</si>
  <si>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</si>
  <si>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</si>
  <si>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</si>
  <si>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</si>
  <si>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</si>
  <si>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</si>
  <si>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</si>
  <si>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</si>
  <si>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</si>
  <si>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</si>
  <si>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</si>
  <si>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</si>
  <si>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</si>
  <si>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</si>
  <si>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</si>
  <si>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</si>
  <si>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</si>
  <si>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Rexford Cemetery</t>
  </si>
  <si>
    <t>17-1330</t>
  </si>
  <si>
    <t>Rexford City Hall</t>
  </si>
  <si>
    <t>Gary Hibbs Residence, 2335 County Rd 35, Rexford KS</t>
  </si>
  <si>
    <t>Antique Tax</t>
  </si>
  <si>
    <t>Sheridan County</t>
  </si>
  <si>
    <t>Operations/Fuel &amp; Oil</t>
  </si>
  <si>
    <t>Mowing/Salary</t>
  </si>
  <si>
    <t>Officers Salaries</t>
  </si>
  <si>
    <t>Other Miscellaneous Charges</t>
  </si>
  <si>
    <t>Donations</t>
  </si>
  <si>
    <t>Budget</t>
  </si>
  <si>
    <t>7:30 p.m.</t>
  </si>
  <si>
    <t>August 1, 2011</t>
  </si>
  <si>
    <t>Gary Hibbs, Treasurer</t>
  </si>
  <si>
    <t>Thomas County</t>
  </si>
  <si>
    <t>Shelly A Harms</t>
  </si>
  <si>
    <t>Thomas County Clerk</t>
  </si>
  <si>
    <t>Colby KS  67701</t>
  </si>
  <si>
    <t>300 N Court Ave</t>
  </si>
  <si>
    <r>
      <t>RESOLUTION NO.</t>
    </r>
    <r>
      <rPr>
        <b/>
        <u val="single"/>
        <sz val="11"/>
        <rFont val="Times New Roman"/>
        <family val="1"/>
      </rPr>
      <t xml:space="preserve">  2011-1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</si>
</sst>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3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8" fillId="0" borderId="0" xfId="0" applyFont="1" applyAlignment="1">
      <alignment vertical="center"/>
    </xf>
    <xf numFmtId="0" fontId="78"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0" fillId="0" borderId="0" xfId="0" applyFont="1" applyAlignment="1">
      <alignment wrapText="1"/>
    </xf>
    <xf numFmtId="0" fontId="80"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1" fillId="43"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1"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2" fillId="0" borderId="0" xfId="0" applyFont="1" applyBorder="1" applyAlignment="1">
      <alignment/>
    </xf>
    <xf numFmtId="0" fontId="34" fillId="0" borderId="0" xfId="0" applyFont="1" applyBorder="1" applyAlignment="1">
      <alignment/>
    </xf>
    <xf numFmtId="0" fontId="81"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1" fillId="42" borderId="0" xfId="0" applyFont="1" applyFill="1" applyAlignment="1">
      <alignment horizontal="center" wrapText="1"/>
    </xf>
    <xf numFmtId="0" fontId="81"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1" fillId="42" borderId="36" xfId="0" applyFont="1" applyFill="1" applyBorder="1" applyAlignment="1">
      <alignment horizontal="centerContinuous" vertical="center"/>
    </xf>
    <xf numFmtId="188"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3" fontId="81" fillId="42" borderId="0" xfId="0" applyNumberFormat="1" applyFont="1" applyFill="1" applyBorder="1" applyAlignment="1" applyProtection="1">
      <alignment horizontal="centerContinuous" vertical="center"/>
      <protection locked="0"/>
    </xf>
    <xf numFmtId="189" fontId="81" fillId="42" borderId="0" xfId="0" applyNumberFormat="1" applyFont="1" applyFill="1" applyBorder="1" applyAlignment="1">
      <alignment horizontal="centerContinuous" vertical="center"/>
    </xf>
    <xf numFmtId="0" fontId="81" fillId="42" borderId="32" xfId="0" applyFont="1" applyFill="1" applyBorder="1" applyAlignment="1">
      <alignment horizontal="centerContinuous" vertical="center"/>
    </xf>
    <xf numFmtId="0" fontId="81" fillId="42" borderId="36" xfId="0" applyFont="1" applyFill="1" applyBorder="1" applyAlignment="1">
      <alignment horizontal="centerContinuous"/>
    </xf>
    <xf numFmtId="188"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3" fontId="81" fillId="42" borderId="0" xfId="0" applyNumberFormat="1" applyFont="1" applyFill="1" applyBorder="1" applyAlignment="1" applyProtection="1">
      <alignment horizontal="centerContinuous"/>
      <protection locked="0"/>
    </xf>
    <xf numFmtId="189" fontId="81" fillId="42" borderId="0" xfId="0" applyNumberFormat="1" applyFont="1" applyFill="1" applyBorder="1" applyAlignment="1">
      <alignment horizontal="centerContinuous"/>
    </xf>
    <xf numFmtId="0" fontId="81"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3"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4"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81" fillId="42" borderId="0" xfId="0" applyFont="1" applyFill="1" applyAlignment="1">
      <alignment horizontal="center" wrapText="1"/>
    </xf>
    <xf numFmtId="0" fontId="34" fillId="0" borderId="0" xfId="0" applyFont="1" applyAlignment="1">
      <alignment horizontal="center" wrapText="1"/>
    </xf>
    <xf numFmtId="0" fontId="81" fillId="42" borderId="0" xfId="0" applyFont="1" applyFill="1" applyAlignment="1">
      <alignment horizontal="center" vertical="center"/>
    </xf>
    <xf numFmtId="0" fontId="81" fillId="0" borderId="0" xfId="0" applyFont="1" applyAlignment="1">
      <alignment horizontal="center" vertical="center"/>
    </xf>
    <xf numFmtId="0" fontId="81"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1"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1" fillId="42" borderId="0" xfId="0" applyFont="1" applyFill="1" applyBorder="1" applyAlignment="1">
      <alignment horizontal="center" wrapText="1"/>
    </xf>
    <xf numFmtId="0" fontId="81"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45">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3.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181</v>
      </c>
      <c r="B1" s="7"/>
    </row>
    <row r="2" spans="1:2" ht="15.75">
      <c r="A2" s="6"/>
      <c r="B2" s="7"/>
    </row>
    <row r="3" ht="35.25" customHeight="1">
      <c r="A3" s="2" t="s">
        <v>178</v>
      </c>
    </row>
    <row r="4" ht="15.75">
      <c r="A4" s="8"/>
    </row>
    <row r="5" ht="15.75">
      <c r="A5" s="8" t="s">
        <v>578</v>
      </c>
    </row>
    <row r="6" ht="15.75">
      <c r="A6" s="8"/>
    </row>
    <row r="7" ht="55.5" customHeight="1">
      <c r="A7" s="96" t="s">
        <v>290</v>
      </c>
    </row>
    <row r="8" ht="15.75">
      <c r="A8" s="8"/>
    </row>
    <row r="9" spans="1:2" ht="15.75">
      <c r="A9" s="9" t="s">
        <v>247</v>
      </c>
      <c r="B9" s="7"/>
    </row>
    <row r="10" ht="14.25" customHeight="1">
      <c r="A10" s="5"/>
    </row>
    <row r="11" ht="20.25" customHeight="1">
      <c r="A11" s="8" t="s">
        <v>248</v>
      </c>
    </row>
    <row r="12" ht="14.25" customHeight="1">
      <c r="A12" s="5"/>
    </row>
    <row r="13" s="4" customFormat="1" ht="40.5" customHeight="1">
      <c r="A13" s="3" t="s">
        <v>291</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179</v>
      </c>
    </row>
    <row r="22" s="31" customFormat="1" ht="20.25" customHeight="1">
      <c r="A22" s="403" t="s">
        <v>180</v>
      </c>
    </row>
    <row r="23" ht="21" customHeight="1">
      <c r="A23" s="3" t="s">
        <v>72</v>
      </c>
    </row>
    <row r="24" ht="15.75">
      <c r="A24" s="5"/>
    </row>
    <row r="25" ht="15.75">
      <c r="A25" s="10" t="s">
        <v>1</v>
      </c>
    </row>
    <row r="27" ht="21" customHeight="1">
      <c r="A27" s="398" t="s">
        <v>752</v>
      </c>
    </row>
    <row r="28" ht="9" customHeight="1">
      <c r="A28" s="148"/>
    </row>
    <row r="29" ht="62.25" customHeight="1">
      <c r="A29" s="398" t="s">
        <v>728</v>
      </c>
    </row>
    <row r="30" ht="51.75" customHeight="1">
      <c r="A30" s="614" t="s">
        <v>235</v>
      </c>
    </row>
    <row r="31" ht="55.5" customHeight="1">
      <c r="A31" s="429" t="s">
        <v>552</v>
      </c>
    </row>
    <row r="32" ht="73.5" customHeight="1">
      <c r="A32" s="430" t="s">
        <v>553</v>
      </c>
    </row>
    <row r="33" ht="16.5" customHeight="1">
      <c r="A33" s="148"/>
    </row>
    <row r="34" ht="56.25" customHeight="1">
      <c r="A34" s="398" t="s">
        <v>729</v>
      </c>
    </row>
    <row r="35" ht="52.5" customHeight="1">
      <c r="A35" s="398" t="s">
        <v>554</v>
      </c>
    </row>
    <row r="36" ht="101.25" customHeight="1">
      <c r="A36" s="398" t="s">
        <v>730</v>
      </c>
    </row>
    <row r="37" ht="15.75" customHeight="1">
      <c r="A37" s="398"/>
    </row>
    <row r="38" ht="69" customHeight="1">
      <c r="A38" s="398" t="s">
        <v>555</v>
      </c>
    </row>
    <row r="39" ht="79.5" customHeight="1">
      <c r="A39" s="398" t="s">
        <v>731</v>
      </c>
    </row>
    <row r="40" ht="52.5" customHeight="1">
      <c r="A40" s="398" t="s">
        <v>556</v>
      </c>
    </row>
    <row r="41" ht="16.5" customHeight="1">
      <c r="A41" s="398"/>
    </row>
    <row r="42" ht="73.5" customHeight="1">
      <c r="A42" s="398" t="s">
        <v>557</v>
      </c>
    </row>
    <row r="43" ht="53.25" customHeight="1">
      <c r="A43" s="398" t="s">
        <v>558</v>
      </c>
    </row>
    <row r="44" ht="38.25" customHeight="1">
      <c r="A44" s="398" t="s">
        <v>559</v>
      </c>
    </row>
    <row r="45" ht="16.5" customHeight="1">
      <c r="A45" s="148"/>
    </row>
    <row r="46" ht="53.25" customHeight="1">
      <c r="A46" s="398" t="s">
        <v>560</v>
      </c>
    </row>
    <row r="47" ht="15.75" customHeight="1">
      <c r="A47" s="148"/>
    </row>
    <row r="48" ht="49.5" customHeight="1">
      <c r="A48" s="398" t="s">
        <v>561</v>
      </c>
    </row>
    <row r="49" ht="41.25" customHeight="1">
      <c r="A49" s="148" t="s">
        <v>562</v>
      </c>
    </row>
    <row r="50" ht="66" customHeight="1">
      <c r="A50" s="398" t="s">
        <v>581</v>
      </c>
    </row>
    <row r="51" ht="34.5" customHeight="1">
      <c r="A51" s="398" t="s">
        <v>563</v>
      </c>
    </row>
    <row r="52" ht="15.75" customHeight="1">
      <c r="A52" s="148"/>
    </row>
    <row r="53" ht="72" customHeight="1">
      <c r="A53" s="398" t="s">
        <v>564</v>
      </c>
    </row>
    <row r="54" s="4" customFormat="1" ht="18.75" customHeight="1">
      <c r="A54" s="148"/>
    </row>
    <row r="55" ht="75" customHeight="1">
      <c r="A55" s="398" t="s">
        <v>565</v>
      </c>
    </row>
    <row r="56" s="4" customFormat="1" ht="18.75" customHeight="1">
      <c r="A56" s="398"/>
    </row>
    <row r="57" ht="48" customHeight="1">
      <c r="A57" s="398" t="s">
        <v>732</v>
      </c>
    </row>
    <row r="58" ht="66.75" customHeight="1">
      <c r="A58" s="613" t="s">
        <v>733</v>
      </c>
    </row>
    <row r="59" ht="65.25" customHeight="1">
      <c r="A59" s="613" t="s">
        <v>734</v>
      </c>
    </row>
    <row r="60" ht="66.75" customHeight="1">
      <c r="A60" s="615" t="s">
        <v>735</v>
      </c>
    </row>
    <row r="61" ht="83.25" customHeight="1">
      <c r="A61" s="613" t="s">
        <v>736</v>
      </c>
    </row>
    <row r="62" ht="75.75" customHeight="1">
      <c r="A62" s="398" t="s">
        <v>737</v>
      </c>
    </row>
    <row r="63" ht="64.5" customHeight="1">
      <c r="A63" s="398" t="s">
        <v>738</v>
      </c>
    </row>
    <row r="64" ht="88.5" customHeight="1">
      <c r="A64" s="399" t="s">
        <v>739</v>
      </c>
    </row>
    <row r="65" ht="82.5" customHeight="1">
      <c r="A65" s="400" t="s">
        <v>740</v>
      </c>
    </row>
    <row r="66" ht="52.5" customHeight="1">
      <c r="A66" s="401" t="s">
        <v>741</v>
      </c>
    </row>
    <row r="67" ht="87.75" customHeight="1">
      <c r="A67" s="398" t="s">
        <v>742</v>
      </c>
    </row>
    <row r="68" ht="107.25" customHeight="1">
      <c r="A68" s="402" t="s">
        <v>743</v>
      </c>
    </row>
    <row r="69" ht="17.25" customHeight="1">
      <c r="A69" s="398"/>
    </row>
    <row r="70" ht="114" customHeight="1">
      <c r="A70" s="398" t="s">
        <v>566</v>
      </c>
    </row>
    <row r="71" ht="48.75" customHeight="1">
      <c r="A71" s="616" t="s">
        <v>567</v>
      </c>
    </row>
    <row r="72" ht="54" customHeight="1">
      <c r="A72" s="616" t="s">
        <v>568</v>
      </c>
    </row>
    <row r="73" ht="25.5" customHeight="1">
      <c r="A73" s="398" t="s">
        <v>569</v>
      </c>
    </row>
    <row r="74" ht="12" customHeight="1">
      <c r="A74" s="398"/>
    </row>
    <row r="75" ht="58.5" customHeight="1">
      <c r="A75" s="398" t="s">
        <v>570</v>
      </c>
    </row>
    <row r="76" ht="38.25" customHeight="1">
      <c r="A76" s="398" t="s">
        <v>744</v>
      </c>
    </row>
    <row r="77" ht="67.5" customHeight="1">
      <c r="A77" s="613" t="s">
        <v>745</v>
      </c>
    </row>
    <row r="78" ht="81.75" customHeight="1">
      <c r="A78" s="613" t="s">
        <v>746</v>
      </c>
    </row>
    <row r="79" ht="33.75" customHeight="1">
      <c r="A79" s="398" t="s">
        <v>747</v>
      </c>
    </row>
    <row r="80" ht="59.25" customHeight="1">
      <c r="A80" s="398" t="s">
        <v>748</v>
      </c>
    </row>
    <row r="81" ht="15.75">
      <c r="A81" s="148"/>
    </row>
    <row r="82" ht="31.5">
      <c r="A82" s="398" t="s">
        <v>571</v>
      </c>
    </row>
    <row r="83" ht="15.75">
      <c r="A83" s="148"/>
    </row>
    <row r="84" ht="15.75">
      <c r="A84" s="398" t="s">
        <v>572</v>
      </c>
    </row>
    <row r="85" ht="15.75">
      <c r="A85" s="148"/>
    </row>
    <row r="86" ht="53.25" customHeight="1">
      <c r="A86" s="613" t="s">
        <v>749</v>
      </c>
    </row>
    <row r="87" ht="85.5" customHeight="1">
      <c r="A87" s="613" t="s">
        <v>750</v>
      </c>
    </row>
    <row r="88" ht="100.5" customHeight="1">
      <c r="A88" s="613" t="s">
        <v>751</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324</v>
      </c>
    </row>
    <row r="2" ht="15.75">
      <c r="A2" s="148"/>
    </row>
    <row r="3" ht="47.25">
      <c r="A3" s="392" t="s">
        <v>325</v>
      </c>
    </row>
    <row r="4" ht="15.75">
      <c r="A4" s="393"/>
    </row>
    <row r="5" ht="15.75">
      <c r="A5" s="148"/>
    </row>
    <row r="6" ht="63">
      <c r="A6" s="392" t="s">
        <v>326</v>
      </c>
    </row>
    <row r="7" ht="15.75">
      <c r="A7" s="393"/>
    </row>
    <row r="8" ht="15.75">
      <c r="A8" s="148"/>
    </row>
    <row r="9" ht="47.25">
      <c r="A9" s="392" t="s">
        <v>327</v>
      </c>
    </row>
    <row r="10" ht="15.75">
      <c r="A10" s="393"/>
    </row>
    <row r="11" ht="15.75">
      <c r="A11" s="393"/>
    </row>
    <row r="12" ht="31.5">
      <c r="A12" s="392" t="s">
        <v>328</v>
      </c>
    </row>
    <row r="13" ht="15.75">
      <c r="A13" s="148"/>
    </row>
    <row r="14" ht="15.75">
      <c r="A14" s="148"/>
    </row>
    <row r="15" ht="47.25">
      <c r="A15" s="392" t="s">
        <v>329</v>
      </c>
    </row>
    <row r="16" ht="15.75">
      <c r="A16" s="148"/>
    </row>
    <row r="17" ht="15.75">
      <c r="A17" s="148"/>
    </row>
    <row r="18" ht="63">
      <c r="A18" s="467" t="s">
        <v>595</v>
      </c>
    </row>
    <row r="19" ht="15.75">
      <c r="A19" s="148"/>
    </row>
    <row r="20" ht="15.75">
      <c r="A20" s="148"/>
    </row>
    <row r="21" ht="63">
      <c r="A21" s="468" t="s">
        <v>330</v>
      </c>
    </row>
    <row r="22" ht="15.75">
      <c r="A22" s="393"/>
    </row>
    <row r="23" ht="15.75">
      <c r="A23" s="148"/>
    </row>
    <row r="24" ht="63">
      <c r="A24" s="392" t="s">
        <v>331</v>
      </c>
    </row>
    <row r="25" ht="47.25">
      <c r="A25" s="394" t="s">
        <v>332</v>
      </c>
    </row>
    <row r="26" ht="15.75">
      <c r="A26" s="393"/>
    </row>
    <row r="27" ht="15.75">
      <c r="A27" s="148"/>
    </row>
    <row r="28" ht="63">
      <c r="A28" s="467" t="s">
        <v>596</v>
      </c>
    </row>
    <row r="29" ht="15.75">
      <c r="A29" s="148"/>
    </row>
    <row r="30" ht="15.75">
      <c r="A30" s="148"/>
    </row>
    <row r="31" ht="78.75">
      <c r="A31" s="467" t="s">
        <v>597</v>
      </c>
    </row>
    <row r="32" ht="15.75">
      <c r="A32" s="148"/>
    </row>
    <row r="33" ht="15.75">
      <c r="A33" s="148"/>
    </row>
    <row r="34" ht="47.25">
      <c r="A34" s="469" t="s">
        <v>598</v>
      </c>
    </row>
    <row r="35" ht="15.75">
      <c r="A35" s="148"/>
    </row>
    <row r="36" ht="15.75">
      <c r="A36" s="148"/>
    </row>
    <row r="37" ht="78.75">
      <c r="A37" s="392" t="s">
        <v>333</v>
      </c>
    </row>
    <row r="38" ht="15.75">
      <c r="A38" s="393"/>
    </row>
    <row r="39" ht="15.75">
      <c r="A39" s="393"/>
    </row>
    <row r="40" ht="47.25">
      <c r="A40" s="468" t="s">
        <v>334</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Rexford Cemetery</v>
      </c>
      <c r="B1" s="100"/>
      <c r="C1" s="100"/>
      <c r="D1" s="100"/>
      <c r="E1" s="100"/>
      <c r="F1" s="100"/>
      <c r="G1" s="100"/>
      <c r="H1" s="100"/>
      <c r="I1" s="100"/>
      <c r="J1" s="100"/>
      <c r="K1" s="287">
        <f>inputPrYr!D11</f>
        <v>2012</v>
      </c>
    </row>
    <row r="2" spans="1:11" ht="15.75">
      <c r="A2" s="100" t="str">
        <f>inputPrYr!$D$4</f>
        <v>Thomas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159</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160</v>
      </c>
      <c r="B12" s="305"/>
      <c r="C12" s="306"/>
      <c r="D12" s="164"/>
      <c r="E12" s="166">
        <f>SUM(E10:E11)</f>
        <v>0</v>
      </c>
      <c r="F12" s="307"/>
      <c r="G12" s="307"/>
      <c r="H12" s="166">
        <f>SUM(H10:H11)</f>
        <v>0</v>
      </c>
      <c r="I12" s="166">
        <f>SUM(I10:I11)</f>
        <v>0</v>
      </c>
      <c r="J12" s="166">
        <f>SUM(J10:J11)</f>
        <v>0</v>
      </c>
      <c r="K12" s="166">
        <f>SUM(K10:K11)</f>
        <v>0</v>
      </c>
    </row>
    <row r="13" spans="1:11" s="290" customFormat="1" ht="15.75">
      <c r="A13" s="308" t="s">
        <v>161</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162</v>
      </c>
      <c r="B16" s="305"/>
      <c r="C16" s="306"/>
      <c r="D16" s="164"/>
      <c r="E16" s="166">
        <f>SUM(E14:E15)</f>
        <v>0</v>
      </c>
      <c r="F16" s="307"/>
      <c r="G16" s="307"/>
      <c r="H16" s="166">
        <f>SUM(H14:H15)</f>
        <v>0</v>
      </c>
      <c r="I16" s="166">
        <f>SUM(I14:I15)</f>
        <v>0</v>
      </c>
      <c r="J16" s="166">
        <f>SUM(J14:J15)</f>
        <v>0</v>
      </c>
      <c r="K16" s="166">
        <f>SUM(K14:K15)</f>
        <v>0</v>
      </c>
    </row>
    <row r="17" spans="1:11" s="290" customFormat="1" ht="15.75">
      <c r="A17" s="308" t="s">
        <v>163</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164</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7">
      <selection activeCell="E41" sqref="E41"/>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Rexford Cemetery</v>
      </c>
      <c r="C1" s="185"/>
      <c r="D1" s="100"/>
      <c r="E1" s="328"/>
      <c r="F1" s="186"/>
    </row>
    <row r="2" spans="2:6" ht="15.75">
      <c r="B2" s="100" t="str">
        <f>inputPrYr!D4</f>
        <v>Thomas County</v>
      </c>
      <c r="C2" s="185"/>
      <c r="D2" s="100"/>
      <c r="E2" s="189"/>
      <c r="F2" s="186"/>
    </row>
    <row r="3" spans="2:6" ht="15.75">
      <c r="B3" s="111"/>
      <c r="C3" s="185"/>
      <c r="D3" s="100"/>
      <c r="E3" s="329"/>
      <c r="F3" s="287">
        <f>inputPrYr!D11</f>
        <v>2012</v>
      </c>
    </row>
    <row r="4" spans="2:6" ht="15.75">
      <c r="B4" s="610" t="s">
        <v>77</v>
      </c>
      <c r="C4" s="609"/>
      <c r="D4" s="221"/>
      <c r="E4" s="221"/>
      <c r="F4" s="186"/>
    </row>
    <row r="5" spans="2:6" ht="15.75">
      <c r="B5" s="99" t="s">
        <v>26</v>
      </c>
      <c r="C5" s="448" t="s">
        <v>272</v>
      </c>
      <c r="D5" s="450" t="s">
        <v>274</v>
      </c>
      <c r="E5" s="330" t="s">
        <v>275</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14068</v>
      </c>
      <c r="D7" s="447">
        <f>C62</f>
        <v>20335</v>
      </c>
      <c r="E7" s="164">
        <f>D62</f>
        <v>0</v>
      </c>
      <c r="F7" s="186"/>
    </row>
    <row r="8" spans="2:6" ht="15.75">
      <c r="B8" s="246" t="s">
        <v>123</v>
      </c>
      <c r="C8" s="331"/>
      <c r="D8" s="331"/>
      <c r="E8" s="162"/>
      <c r="F8" s="186"/>
    </row>
    <row r="9" spans="2:6" ht="15.75">
      <c r="B9" s="227" t="s">
        <v>27</v>
      </c>
      <c r="C9" s="443">
        <v>8268</v>
      </c>
      <c r="D9" s="447">
        <f>inputPrYr!E24</f>
        <v>10578</v>
      </c>
      <c r="E9" s="239" t="s">
        <v>21</v>
      </c>
      <c r="F9" s="186"/>
    </row>
    <row r="10" spans="2:6" ht="15.75">
      <c r="B10" s="227" t="s">
        <v>28</v>
      </c>
      <c r="C10" s="443"/>
      <c r="D10" s="443"/>
      <c r="E10" s="304"/>
      <c r="F10" s="186"/>
    </row>
    <row r="11" spans="2:6" ht="15.75">
      <c r="B11" s="227" t="s">
        <v>29</v>
      </c>
      <c r="C11" s="443">
        <v>1023</v>
      </c>
      <c r="D11" s="443">
        <v>1036</v>
      </c>
      <c r="E11" s="164">
        <f>mvalloc!D11</f>
        <v>1218</v>
      </c>
      <c r="F11" s="186"/>
    </row>
    <row r="12" spans="2:6" ht="15.75">
      <c r="B12" s="227" t="s">
        <v>30</v>
      </c>
      <c r="C12" s="443">
        <v>12</v>
      </c>
      <c r="D12" s="443">
        <v>20</v>
      </c>
      <c r="E12" s="164">
        <f>mvalloc!E11</f>
        <v>21</v>
      </c>
      <c r="F12" s="186"/>
    </row>
    <row r="13" spans="2:6" ht="15.75">
      <c r="B13" s="331" t="s">
        <v>105</v>
      </c>
      <c r="C13" s="443">
        <v>28</v>
      </c>
      <c r="D13" s="443">
        <v>174</v>
      </c>
      <c r="E13" s="164">
        <f>mvalloc!F11</f>
        <v>186</v>
      </c>
      <c r="F13" s="186"/>
    </row>
    <row r="14" spans="2:6" ht="15.75">
      <c r="B14" s="331" t="s">
        <v>173</v>
      </c>
      <c r="C14" s="443"/>
      <c r="D14" s="443"/>
      <c r="E14" s="164">
        <f>inputOth!D91</f>
        <v>0</v>
      </c>
      <c r="F14" s="186"/>
    </row>
    <row r="15" spans="2:6" ht="15.75">
      <c r="B15" s="331" t="s">
        <v>174</v>
      </c>
      <c r="C15" s="443"/>
      <c r="D15" s="443"/>
      <c r="E15" s="164">
        <f>mvalloc!G11</f>
        <v>0</v>
      </c>
      <c r="F15" s="186"/>
    </row>
    <row r="16" spans="2:6" ht="15.75">
      <c r="B16" s="462" t="s">
        <v>764</v>
      </c>
      <c r="C16" s="443">
        <v>6</v>
      </c>
      <c r="D16" s="443"/>
      <c r="E16" s="304">
        <v>10</v>
      </c>
      <c r="F16" s="186"/>
    </row>
    <row r="17" spans="2:6" ht="15.75">
      <c r="B17" s="332" t="s">
        <v>765</v>
      </c>
      <c r="C17" s="443">
        <v>2338</v>
      </c>
      <c r="D17" s="443"/>
      <c r="E17" s="304">
        <v>2500</v>
      </c>
      <c r="F17" s="186"/>
    </row>
    <row r="18" spans="2:6" ht="15.75">
      <c r="B18" s="332" t="s">
        <v>770</v>
      </c>
      <c r="C18" s="443">
        <v>40</v>
      </c>
      <c r="D18" s="443"/>
      <c r="E18" s="304">
        <v>50</v>
      </c>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694</v>
      </c>
      <c r="C29" s="443"/>
      <c r="D29" s="443"/>
      <c r="E29" s="304"/>
      <c r="F29" s="186"/>
    </row>
    <row r="30" spans="2:6" ht="15.75">
      <c r="B30" s="333" t="s">
        <v>31</v>
      </c>
      <c r="C30" s="443">
        <v>28</v>
      </c>
      <c r="D30" s="443">
        <v>50</v>
      </c>
      <c r="E30" s="304">
        <v>50</v>
      </c>
      <c r="F30" s="186"/>
    </row>
    <row r="31" spans="2:6" ht="15.75">
      <c r="B31" s="334" t="s">
        <v>234</v>
      </c>
      <c r="C31" s="443"/>
      <c r="D31" s="443"/>
      <c r="E31" s="122"/>
      <c r="F31" s="186"/>
    </row>
    <row r="32" spans="2:6" ht="15.75">
      <c r="B32" s="334" t="s">
        <v>593</v>
      </c>
      <c r="C32" s="445">
        <f>IF(C33*0.1&lt;C31,"Exceed 10% Rule","")</f>
      </c>
      <c r="D32" s="445">
        <f>IF(D33*0.1&lt;D31,"Exceed 10% Rule","")</f>
      </c>
      <c r="E32" s="461">
        <f>IF(E33*0.1+E68&lt;E31,"Exceed 10% Rule","")</f>
      </c>
      <c r="F32" s="186"/>
    </row>
    <row r="33" spans="2:6" ht="15.75">
      <c r="B33" s="337" t="s">
        <v>32</v>
      </c>
      <c r="C33" s="446">
        <f>SUM(C9:C31)</f>
        <v>11743</v>
      </c>
      <c r="D33" s="446">
        <f>SUM(D9:D31)</f>
        <v>11858</v>
      </c>
      <c r="E33" s="338">
        <f>SUM(E9:E31)</f>
        <v>4035</v>
      </c>
      <c r="F33" s="186"/>
    </row>
    <row r="34" spans="2:6" ht="15.75">
      <c r="B34" s="337" t="s">
        <v>33</v>
      </c>
      <c r="C34" s="446">
        <f>C7+C33</f>
        <v>25811</v>
      </c>
      <c r="D34" s="446">
        <f>D7+D33</f>
        <v>32193</v>
      </c>
      <c r="E34" s="338">
        <f>E7+E33</f>
        <v>4035</v>
      </c>
      <c r="F34" s="186"/>
    </row>
    <row r="35" spans="2:6" ht="15.75">
      <c r="B35" s="227" t="s">
        <v>34</v>
      </c>
      <c r="C35" s="231"/>
      <c r="D35" s="231"/>
      <c r="E35" s="134"/>
      <c r="F35" s="186"/>
    </row>
    <row r="36" spans="2:6" ht="15.75">
      <c r="B36" s="332" t="s">
        <v>766</v>
      </c>
      <c r="C36" s="443">
        <v>328</v>
      </c>
      <c r="D36" s="443">
        <v>200</v>
      </c>
      <c r="E36" s="122">
        <v>500</v>
      </c>
      <c r="F36" s="186"/>
    </row>
    <row r="37" spans="2:6" ht="15.75">
      <c r="B37" s="332" t="s">
        <v>767</v>
      </c>
      <c r="C37" s="443">
        <v>1500</v>
      </c>
      <c r="D37" s="443">
        <v>1650</v>
      </c>
      <c r="E37" s="122">
        <v>2000</v>
      </c>
      <c r="F37" s="186"/>
    </row>
    <row r="38" spans="2:6" ht="15.75">
      <c r="B38" s="332" t="s">
        <v>768</v>
      </c>
      <c r="C38" s="443">
        <v>810</v>
      </c>
      <c r="D38" s="443">
        <v>810</v>
      </c>
      <c r="E38" s="122">
        <v>900</v>
      </c>
      <c r="F38" s="186"/>
    </row>
    <row r="39" spans="2:6" ht="15.75">
      <c r="B39" s="332" t="s">
        <v>769</v>
      </c>
      <c r="C39" s="443">
        <v>2838</v>
      </c>
      <c r="D39" s="443">
        <v>29533</v>
      </c>
      <c r="E39" s="122">
        <v>5964</v>
      </c>
      <c r="F39" s="186"/>
    </row>
    <row r="40" spans="2:6" ht="15.75">
      <c r="B40" s="332" t="s">
        <v>771</v>
      </c>
      <c r="C40" s="443"/>
      <c r="D40" s="443"/>
      <c r="E40" s="122">
        <v>100</v>
      </c>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69" t="str">
        <f>CONCATENATE("Projected Carryover Into ",F3+1,"")</f>
        <v>Projected Carryover Into 2013</v>
      </c>
      <c r="H53" s="670"/>
      <c r="I53" s="670"/>
      <c r="J53" s="671"/>
    </row>
    <row r="54" spans="2:10" ht="15.75">
      <c r="B54" s="332"/>
      <c r="C54" s="443"/>
      <c r="D54" s="443"/>
      <c r="E54" s="122"/>
      <c r="F54" s="186"/>
      <c r="G54" s="560"/>
      <c r="H54" s="561"/>
      <c r="I54" s="561"/>
      <c r="J54" s="562"/>
    </row>
    <row r="55" spans="2:10" ht="15.75">
      <c r="B55" s="332"/>
      <c r="C55" s="443"/>
      <c r="D55" s="443"/>
      <c r="E55" s="122"/>
      <c r="F55" s="186"/>
      <c r="G55" s="563">
        <f>D62</f>
        <v>0</v>
      </c>
      <c r="H55" s="564" t="str">
        <f>CONCATENATE("",F3-1," Ending Cash Balance (est.)")</f>
        <v>2011 Ending Cash Balance (est.)</v>
      </c>
      <c r="I55" s="565"/>
      <c r="J55" s="562"/>
    </row>
    <row r="56" spans="2:10" ht="15.75">
      <c r="B56" s="332"/>
      <c r="C56" s="443"/>
      <c r="D56" s="443"/>
      <c r="E56" s="122"/>
      <c r="F56" s="186"/>
      <c r="G56" s="563">
        <f>E33</f>
        <v>4035</v>
      </c>
      <c r="H56" s="565" t="str">
        <f>CONCATENATE("",F3," Non-AV Receipts (est.)")</f>
        <v>2012 Non-AV Receipts (est.)</v>
      </c>
      <c r="I56" s="565"/>
      <c r="J56" s="562"/>
    </row>
    <row r="57" spans="2:10" ht="15.75">
      <c r="B57" s="332"/>
      <c r="C57" s="443"/>
      <c r="D57" s="443"/>
      <c r="E57" s="122"/>
      <c r="F57" s="186"/>
      <c r="G57" s="566">
        <f>E68</f>
        <v>11401</v>
      </c>
      <c r="H57" s="565" t="str">
        <f>CONCATENATE("",F3," Ad Valorem Tax (est.)")</f>
        <v>2012 Ad Valorem Tax (est.)</v>
      </c>
      <c r="I57" s="565"/>
      <c r="J57" s="562"/>
    </row>
    <row r="58" spans="2:10" ht="15.75">
      <c r="B58" s="231" t="s">
        <v>233</v>
      </c>
      <c r="C58" s="332"/>
      <c r="D58" s="332"/>
      <c r="E58" s="166">
        <f>Nhood!E7</f>
      </c>
      <c r="F58" s="186"/>
      <c r="G58" s="563">
        <f>SUM(G55:G57)</f>
        <v>15436</v>
      </c>
      <c r="H58" s="565" t="str">
        <f>CONCATENATE("Total ",F3," Resources Available")</f>
        <v>Total 2012 Resources Available</v>
      </c>
      <c r="I58" s="565"/>
      <c r="J58" s="562"/>
    </row>
    <row r="59" spans="2:10" ht="15.75">
      <c r="B59" s="231" t="s">
        <v>234</v>
      </c>
      <c r="C59" s="443"/>
      <c r="D59" s="443"/>
      <c r="E59" s="122"/>
      <c r="F59" s="186"/>
      <c r="G59" s="567"/>
      <c r="H59" s="565"/>
      <c r="I59" s="565"/>
      <c r="J59" s="562"/>
    </row>
    <row r="60" spans="2:10" ht="15.75">
      <c r="B60" s="231" t="s">
        <v>594</v>
      </c>
      <c r="C60" s="445">
        <f>IF(C61*0.1&lt;C59,"Exceed 10% Rule","")</f>
      </c>
      <c r="D60" s="445">
        <f>IF(D61*0.1&lt;D59,"Exceed 10% Rule","")</f>
      </c>
      <c r="E60" s="461">
        <f>IF(E61*0.1&lt;E59,"Exceed 10% Rule","")</f>
      </c>
      <c r="F60" s="186"/>
      <c r="G60" s="566">
        <f>C61*0.05+C61</f>
        <v>5749.8</v>
      </c>
      <c r="H60" s="565" t="str">
        <f>CONCATENATE("Less ",F3-2," Expenditures + 5%")</f>
        <v>Less 2010 Expenditures + 5%</v>
      </c>
      <c r="I60" s="565"/>
      <c r="J60" s="562"/>
    </row>
    <row r="61" spans="2:10" ht="15.75">
      <c r="B61" s="337" t="s">
        <v>35</v>
      </c>
      <c r="C61" s="446">
        <f>SUM(C36:C59)</f>
        <v>5476</v>
      </c>
      <c r="D61" s="446">
        <f>SUM(D36:D59)</f>
        <v>32193</v>
      </c>
      <c r="E61" s="338">
        <f>SUM(E36:E59)</f>
        <v>9464</v>
      </c>
      <c r="F61" s="186"/>
      <c r="G61" s="568">
        <f>G58-G60</f>
        <v>9686.2</v>
      </c>
      <c r="H61" s="569" t="str">
        <f>CONCATENATE("Projected ",F3+1," Carryover (est.)")</f>
        <v>Projected 2013 Carryover (est.)</v>
      </c>
      <c r="I61" s="570"/>
      <c r="J61" s="571"/>
    </row>
    <row r="62" spans="2:10" ht="15.75">
      <c r="B62" s="227" t="s">
        <v>122</v>
      </c>
      <c r="C62" s="444">
        <f>C34-C61</f>
        <v>20335</v>
      </c>
      <c r="D62" s="444">
        <f>D34-D61</f>
        <v>0</v>
      </c>
      <c r="E62" s="239" t="s">
        <v>21</v>
      </c>
      <c r="F62" s="186"/>
      <c r="G62" s="98"/>
      <c r="H62" s="98"/>
      <c r="I62" s="98"/>
      <c r="J62" s="98"/>
    </row>
    <row r="63" spans="2:10" ht="15.75">
      <c r="B63" s="189" t="str">
        <f>CONCATENATE("",F3-2,"/",F3-1," Budget Authority Amount:")</f>
        <v>2010/2011 Budget Authority Amount:</v>
      </c>
      <c r="C63" s="201">
        <f>inputOth!B109</f>
        <v>10690</v>
      </c>
      <c r="D63" s="178">
        <f>inputPrYr!D24</f>
        <v>32902</v>
      </c>
      <c r="E63" s="239" t="s">
        <v>21</v>
      </c>
      <c r="F63" s="339"/>
      <c r="G63" s="572">
        <f>IF(inputOth!E12=0,"",ROUND(gen!E68/inputOth!E12*1000,3))</f>
        <v>2.938</v>
      </c>
      <c r="H63" s="573" t="str">
        <f>CONCATENATE("Projected ",F3-1," Mill Rate (est.)")</f>
        <v>Projected 2011 Mill Rate (est.)</v>
      </c>
      <c r="I63" s="574"/>
      <c r="J63" s="575"/>
    </row>
    <row r="64" spans="2:10" ht="15.75">
      <c r="B64" s="189"/>
      <c r="C64" s="665" t="s">
        <v>695</v>
      </c>
      <c r="D64" s="666"/>
      <c r="E64" s="122"/>
      <c r="F64" s="339">
        <f>IF(E61/0.95-E61&lt;E64,"Exceeds 5%","")</f>
      </c>
      <c r="G64" s="576"/>
      <c r="H64" s="576"/>
      <c r="I64" s="576"/>
      <c r="J64" s="576"/>
    </row>
    <row r="65" spans="2:10" ht="15.75">
      <c r="B65" s="555" t="str">
        <f>CONCATENATE(C79,"     ",D79)</f>
        <v>     </v>
      </c>
      <c r="C65" s="667" t="s">
        <v>696</v>
      </c>
      <c r="D65" s="668"/>
      <c r="E65" s="164">
        <f>E61+E64</f>
        <v>9464</v>
      </c>
      <c r="F65" s="186"/>
      <c r="G65" s="669" t="str">
        <f>CONCATENATE("Desired Carryover Into ",F3+1,"")</f>
        <v>Desired Carryover Into 2013</v>
      </c>
      <c r="H65" s="672"/>
      <c r="I65" s="672"/>
      <c r="J65" s="671"/>
    </row>
    <row r="66" spans="2:10" ht="15.75">
      <c r="B66" s="555" t="str">
        <f>CONCATENATE(C80,"     ",D80)</f>
        <v>     </v>
      </c>
      <c r="C66" s="557"/>
      <c r="D66" s="558" t="s">
        <v>697</v>
      </c>
      <c r="E66" s="167">
        <f>IF(E65-E34&gt;0,E65-E34,0)</f>
        <v>5429</v>
      </c>
      <c r="F66" s="186"/>
      <c r="G66" s="577"/>
      <c r="H66" s="561"/>
      <c r="I66" s="565"/>
      <c r="J66" s="578"/>
    </row>
    <row r="67" spans="2:10" ht="15.75">
      <c r="B67" s="261"/>
      <c r="C67" s="556" t="s">
        <v>698</v>
      </c>
      <c r="D67" s="559">
        <f>inputOth!$E$103</f>
        <v>1.1</v>
      </c>
      <c r="E67" s="164">
        <f>ROUND(IF(D67&gt;0,(E66*D67),0),0)</f>
        <v>5972</v>
      </c>
      <c r="F67" s="186"/>
      <c r="G67" s="579" t="s">
        <v>699</v>
      </c>
      <c r="H67" s="565"/>
      <c r="I67" s="565"/>
      <c r="J67" s="580">
        <v>0</v>
      </c>
    </row>
    <row r="68" spans="2:10" ht="15.75">
      <c r="B68" s="100"/>
      <c r="C68" s="663" t="str">
        <f>CONCATENATE("Amount of  ",$F$3-1," Ad Valorem Tax")</f>
        <v>Amount of  2011 Ad Valorem Tax</v>
      </c>
      <c r="D68" s="664"/>
      <c r="E68" s="167">
        <f>E66+E67</f>
        <v>11401</v>
      </c>
      <c r="F68" s="186"/>
      <c r="G68" s="577" t="s">
        <v>700</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246</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44" operator="greaterThan" stopIfTrue="1">
      <formula>$C$33*0.1</formula>
    </cfRule>
  </conditionalFormatting>
  <conditionalFormatting sqref="D31">
    <cfRule type="cellIs" priority="3" dxfId="44" operator="greaterThan" stopIfTrue="1">
      <formula>$D$33*0.1</formula>
    </cfRule>
  </conditionalFormatting>
  <conditionalFormatting sqref="C59">
    <cfRule type="cellIs" priority="4" dxfId="44" operator="greaterThan" stopIfTrue="1">
      <formula>$C$61*0.1</formula>
    </cfRule>
  </conditionalFormatting>
  <conditionalFormatting sqref="D59">
    <cfRule type="cellIs" priority="5" dxfId="44" operator="greaterThan" stopIfTrue="1">
      <formula>$D$61*0.1</formula>
    </cfRule>
  </conditionalFormatting>
  <conditionalFormatting sqref="E59">
    <cfRule type="cellIs" priority="6" dxfId="44" operator="greaterThan" stopIfTrue="1">
      <formula>$E$61*0.1</formula>
    </cfRule>
  </conditionalFormatting>
  <conditionalFormatting sqref="E64">
    <cfRule type="cellIs" priority="7" dxfId="44" operator="greaterThan" stopIfTrue="1">
      <formula>$E$61/0.95-$E$61</formula>
    </cfRule>
  </conditionalFormatting>
  <conditionalFormatting sqref="C62">
    <cfRule type="cellIs" priority="8" dxfId="44" operator="lessThan" stopIfTrue="1">
      <formula>0</formula>
    </cfRule>
  </conditionalFormatting>
  <conditionalFormatting sqref="E31">
    <cfRule type="cellIs" priority="11" dxfId="44" operator="greaterThan" stopIfTrue="1">
      <formula>$E$33*0.1+$E$68</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Rexford Cemetery</v>
      </c>
      <c r="C1" s="100"/>
      <c r="D1" s="100"/>
      <c r="E1" s="328">
        <f>inputPrYr!$D$11</f>
        <v>2012</v>
      </c>
    </row>
    <row r="2" spans="2:5" ht="15.75">
      <c r="B2" s="100"/>
      <c r="C2" s="100"/>
      <c r="D2" s="100"/>
      <c r="E2" s="261"/>
    </row>
    <row r="3" spans="2:5" ht="15.75">
      <c r="B3" s="111"/>
      <c r="C3" s="185"/>
      <c r="D3" s="185"/>
      <c r="E3" s="341"/>
    </row>
    <row r="4" spans="2:5" ht="15.75">
      <c r="B4" s="611" t="s">
        <v>77</v>
      </c>
      <c r="C4" s="609"/>
      <c r="D4" s="342"/>
      <c r="E4" s="342"/>
    </row>
    <row r="5" spans="2:5" ht="15.75">
      <c r="B5" s="130" t="s">
        <v>26</v>
      </c>
      <c r="C5" s="448" t="s">
        <v>272</v>
      </c>
      <c r="D5" s="450" t="s">
        <v>274</v>
      </c>
      <c r="E5" s="330" t="s">
        <v>275</v>
      </c>
    </row>
    <row r="6" spans="2:5" ht="15.75">
      <c r="B6" s="463" t="s">
        <v>295</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174</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165</v>
      </c>
      <c r="C26" s="451"/>
      <c r="D26" s="451"/>
      <c r="E26" s="346"/>
    </row>
    <row r="27" spans="2:5" ht="15.75">
      <c r="B27" s="351" t="s">
        <v>31</v>
      </c>
      <c r="C27" s="451"/>
      <c r="D27" s="451"/>
      <c r="E27" s="346"/>
    </row>
    <row r="28" spans="2:5" ht="15.75">
      <c r="B28" s="334" t="s">
        <v>234</v>
      </c>
      <c r="C28" s="451"/>
      <c r="D28" s="451"/>
      <c r="E28" s="346"/>
    </row>
    <row r="29" spans="2:5" ht="15.75">
      <c r="B29" s="334" t="s">
        <v>593</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233</v>
      </c>
      <c r="C51" s="451"/>
      <c r="D51" s="451"/>
      <c r="E51" s="282">
        <f>Nhood!E8</f>
      </c>
      <c r="G51" s="673" t="str">
        <f>CONCATENATE("Projected Carryover Into ",E1+1,"")</f>
        <v>Projected Carryover Into 2013</v>
      </c>
      <c r="H51" s="674"/>
      <c r="I51" s="675"/>
    </row>
    <row r="52" spans="2:9" ht="15.75">
      <c r="B52" s="231" t="s">
        <v>234</v>
      </c>
      <c r="C52" s="451"/>
      <c r="D52" s="451"/>
      <c r="E52" s="346"/>
      <c r="G52" s="560"/>
      <c r="H52" s="561"/>
      <c r="I52" s="562"/>
    </row>
    <row r="53" spans="2:9" ht="15.75">
      <c r="B53" s="231" t="s">
        <v>594</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65" t="s">
        <v>695</v>
      </c>
      <c r="D57" s="666"/>
      <c r="E57" s="122"/>
      <c r="F57" s="355">
        <f>IF(E54/0.95-E54&lt;E57,"Exceeds 5%","")</f>
      </c>
      <c r="G57" s="567"/>
      <c r="H57" s="586"/>
      <c r="I57" s="562"/>
    </row>
    <row r="58" spans="2:9" ht="15.75">
      <c r="B58" s="555" t="str">
        <f>CONCATENATE(C69,"     ",D69)</f>
        <v>     </v>
      </c>
      <c r="C58" s="667" t="s">
        <v>696</v>
      </c>
      <c r="D58" s="668"/>
      <c r="E58" s="164">
        <f>E54+E57</f>
        <v>0</v>
      </c>
      <c r="G58" s="566">
        <f>C54</f>
        <v>0</v>
      </c>
      <c r="H58" s="586" t="str">
        <f>CONCATENATE("Less ",E1-2," Expenditures")</f>
        <v>Less 2010 Expenditures</v>
      </c>
      <c r="I58" s="562"/>
    </row>
    <row r="59" spans="2:9" ht="15.75">
      <c r="B59" s="555" t="str">
        <f>CONCATENATE(C70,"     ",D70)</f>
        <v>     </v>
      </c>
      <c r="C59" s="557"/>
      <c r="D59" s="558" t="s">
        <v>697</v>
      </c>
      <c r="E59" s="167">
        <f>IF(E58-E31&gt;0,E58-E31,0)</f>
        <v>0</v>
      </c>
      <c r="G59" s="587">
        <f>G56-G58</f>
        <v>0</v>
      </c>
      <c r="H59" s="588" t="str">
        <f>CONCATENATE("Projected ",E1+1," carryover (est.)")</f>
        <v>Projected 2013 carryover (est.)</v>
      </c>
      <c r="I59" s="571"/>
    </row>
    <row r="60" spans="2:5" ht="15.75">
      <c r="B60" s="261"/>
      <c r="C60" s="556" t="s">
        <v>698</v>
      </c>
      <c r="D60" s="559">
        <f>inputOth!$E$103</f>
        <v>1.1</v>
      </c>
      <c r="E60" s="164">
        <f>ROUND(IF(D60&gt;0,(E59*D60),0),0)</f>
        <v>0</v>
      </c>
    </row>
    <row r="61" spans="2:9" ht="15.75">
      <c r="B61" s="100"/>
      <c r="C61" s="663" t="str">
        <f>CONCATENATE("Amount of  ",$E$1-1," Ad Valorem Tax")</f>
        <v>Amount of  2011 Ad Valorem Tax</v>
      </c>
      <c r="D61" s="664"/>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44" operator="greaterThan" stopIfTrue="1">
      <formula>$C$30*0.1</formula>
    </cfRule>
  </conditionalFormatting>
  <conditionalFormatting sqref="D28">
    <cfRule type="cellIs" priority="3" dxfId="44" operator="greaterThan" stopIfTrue="1">
      <formula>$D$30*0.1</formula>
    </cfRule>
  </conditionalFormatting>
  <conditionalFormatting sqref="E28">
    <cfRule type="cellIs" priority="4" dxfId="44" operator="greaterThan" stopIfTrue="1">
      <formula>$E$30*0.1</formula>
    </cfRule>
  </conditionalFormatting>
  <conditionalFormatting sqref="C52">
    <cfRule type="cellIs" priority="5" dxfId="44" operator="greaterThan" stopIfTrue="1">
      <formula>$C$54*0.1</formula>
    </cfRule>
  </conditionalFormatting>
  <conditionalFormatting sqref="D52">
    <cfRule type="cellIs" priority="6" dxfId="44" operator="greaterThan" stopIfTrue="1">
      <formula>$D$54*0.1</formula>
    </cfRule>
  </conditionalFormatting>
  <conditionalFormatting sqref="E52">
    <cfRule type="cellIs" priority="7" dxfId="44" operator="greaterThan" stopIfTrue="1">
      <formula>$E$54*0.1</formula>
    </cfRule>
  </conditionalFormatting>
  <conditionalFormatting sqref="E57">
    <cfRule type="cellIs" priority="8" dxfId="44" operator="greaterThan" stopIfTrue="1">
      <formula>$E$54/0.95-$E$54</formula>
    </cfRule>
  </conditionalFormatting>
  <conditionalFormatting sqref="C55">
    <cfRule type="cellIs" priority="9" dxfId="44"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Rexford Cemetery</v>
      </c>
      <c r="C1" s="100"/>
      <c r="D1" s="100"/>
      <c r="E1" s="287"/>
    </row>
    <row r="2" spans="2:5" ht="15.75">
      <c r="B2" s="100" t="str">
        <f>inputPrYr!D4</f>
        <v>Thomas County</v>
      </c>
      <c r="C2" s="100"/>
      <c r="D2" s="100"/>
      <c r="E2" s="189"/>
    </row>
    <row r="3" spans="2:6" ht="15.75">
      <c r="B3" s="111"/>
      <c r="C3" s="185"/>
      <c r="D3" s="185"/>
      <c r="E3" s="329"/>
      <c r="F3" s="148">
        <f>inputPrYr!D11</f>
        <v>2012</v>
      </c>
    </row>
    <row r="4" spans="2:5" ht="15.75">
      <c r="B4" s="611" t="s">
        <v>77</v>
      </c>
      <c r="C4" s="609"/>
      <c r="D4" s="188"/>
      <c r="E4" s="188"/>
    </row>
    <row r="5" spans="2:5" ht="15.75">
      <c r="B5" s="99" t="s">
        <v>26</v>
      </c>
      <c r="C5" s="448" t="s">
        <v>272</v>
      </c>
      <c r="D5" s="450" t="s">
        <v>274</v>
      </c>
      <c r="E5" s="330" t="s">
        <v>275</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174</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234</v>
      </c>
      <c r="C18" s="332"/>
      <c r="D18" s="332"/>
      <c r="E18" s="304"/>
    </row>
    <row r="19" spans="2:5" ht="15.75">
      <c r="B19" s="334" t="s">
        <v>593</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233</v>
      </c>
      <c r="C28" s="443"/>
      <c r="D28" s="443"/>
      <c r="E28" s="166">
        <f>Nhood!E9</f>
      </c>
    </row>
    <row r="29" spans="2:5" ht="15.75">
      <c r="B29" s="231" t="s">
        <v>234</v>
      </c>
      <c r="C29" s="332"/>
      <c r="D29" s="332"/>
      <c r="E29" s="304"/>
    </row>
    <row r="30" spans="2:5" ht="15.75">
      <c r="B30" s="231" t="s">
        <v>594</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65" t="s">
        <v>695</v>
      </c>
      <c r="D34" s="666"/>
      <c r="E34" s="304"/>
      <c r="F34" s="356">
        <f>IF(E31/0.95-E31&lt;E34,"Exceeds 5%","")</f>
      </c>
    </row>
    <row r="35" spans="2:5" ht="15.75">
      <c r="B35" s="555" t="str">
        <f>CONCATENATE(C82,"     ",D82)</f>
        <v>     </v>
      </c>
      <c r="C35" s="667" t="s">
        <v>696</v>
      </c>
      <c r="D35" s="668"/>
      <c r="E35" s="162">
        <f>E31+E34</f>
        <v>0</v>
      </c>
    </row>
    <row r="36" spans="2:5" ht="15.75">
      <c r="B36" s="555" t="str">
        <f>CONCATENATE(C83,"     ",D83)</f>
        <v>     </v>
      </c>
      <c r="C36" s="557"/>
      <c r="D36" s="558" t="s">
        <v>697</v>
      </c>
      <c r="E36" s="166">
        <f>IF(E35-E21&gt;0,E35-E21,0)</f>
        <v>0</v>
      </c>
    </row>
    <row r="37" spans="2:5" ht="15.75">
      <c r="B37" s="261"/>
      <c r="C37" s="556" t="s">
        <v>698</v>
      </c>
      <c r="D37" s="559">
        <f>inputOth!$E$103</f>
        <v>1.1</v>
      </c>
      <c r="E37" s="162">
        <f>ROUND(IF(D37&gt;0,(E36*D37),0),0)</f>
        <v>0</v>
      </c>
    </row>
    <row r="38" spans="2:5" ht="15.75">
      <c r="B38" s="100"/>
      <c r="C38" s="663" t="str">
        <f>CONCATENATE("Amount of  ",$F$3-1," Ad Valorem Tax")</f>
        <v>Amount of  2011 Ad Valorem Tax</v>
      </c>
      <c r="D38" s="664"/>
      <c r="E38" s="166">
        <f>E36+E37</f>
        <v>0</v>
      </c>
    </row>
    <row r="39" spans="2:5" ht="15.75">
      <c r="B39" s="100"/>
      <c r="C39" s="100"/>
      <c r="D39" s="100"/>
      <c r="E39" s="100"/>
    </row>
    <row r="40" spans="2:5" ht="15.75">
      <c r="B40" s="99" t="s">
        <v>26</v>
      </c>
      <c r="C40" s="188"/>
      <c r="D40" s="188"/>
      <c r="E40" s="188"/>
    </row>
    <row r="41" spans="2:5" ht="15.75">
      <c r="B41" s="100"/>
      <c r="C41" s="448" t="s">
        <v>273</v>
      </c>
      <c r="D41" s="450" t="s">
        <v>274</v>
      </c>
      <c r="E41" s="330" t="s">
        <v>275</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174</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234</v>
      </c>
      <c r="C54" s="332"/>
      <c r="D54" s="332"/>
      <c r="E54" s="304"/>
    </row>
    <row r="55" spans="2:5" ht="15.75">
      <c r="B55" s="334" t="s">
        <v>593</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233</v>
      </c>
      <c r="C64" s="332"/>
      <c r="D64" s="332"/>
      <c r="E64" s="166">
        <f>Nhood!E10</f>
      </c>
    </row>
    <row r="65" spans="2:5" ht="15.75">
      <c r="B65" s="231" t="s">
        <v>234</v>
      </c>
      <c r="C65" s="332"/>
      <c r="D65" s="332"/>
      <c r="E65" s="304"/>
    </row>
    <row r="66" spans="2:5" ht="15.75">
      <c r="B66" s="231" t="s">
        <v>594</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65" t="s">
        <v>695</v>
      </c>
      <c r="D70" s="666"/>
      <c r="E70" s="304"/>
      <c r="F70" s="356">
        <f>IF(E67/0.95-E67&lt;E70,"Exceeds 5%","")</f>
      </c>
    </row>
    <row r="71" spans="2:5" ht="15.75">
      <c r="B71" s="555" t="str">
        <f>CONCATENATE(C84,"     ",D84)</f>
        <v>     </v>
      </c>
      <c r="C71" s="667" t="s">
        <v>696</v>
      </c>
      <c r="D71" s="668"/>
      <c r="E71" s="162">
        <f>E67+E70</f>
        <v>0</v>
      </c>
    </row>
    <row r="72" spans="2:5" ht="15.75">
      <c r="B72" s="555" t="str">
        <f>CONCATENATE(C85,"     ",D85)</f>
        <v>     </v>
      </c>
      <c r="C72" s="557"/>
      <c r="D72" s="558" t="s">
        <v>697</v>
      </c>
      <c r="E72" s="166">
        <f>IF(E71-E57&gt;0,E71-E57,0)</f>
        <v>0</v>
      </c>
    </row>
    <row r="73" spans="2:5" ht="15.75">
      <c r="B73" s="261"/>
      <c r="C73" s="556" t="s">
        <v>698</v>
      </c>
      <c r="D73" s="559">
        <f>inputOth!$E$103</f>
        <v>1.1</v>
      </c>
      <c r="E73" s="162">
        <f>ROUND(IF(D73&gt;0,(E72*D73),0),0)</f>
        <v>0</v>
      </c>
    </row>
    <row r="74" spans="2:5" ht="15.75">
      <c r="B74" s="100"/>
      <c r="C74" s="663" t="str">
        <f>CONCATENATE("Amount of  ",$F$3-1," Ad Valorem Tax")</f>
        <v>Amount of  2011 Ad Valorem Tax</v>
      </c>
      <c r="D74" s="664"/>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44" operator="greaterThan" stopIfTrue="1">
      <formula>$C$31*0.1</formula>
    </cfRule>
  </conditionalFormatting>
  <conditionalFormatting sqref="D29">
    <cfRule type="cellIs" priority="4" dxfId="44" operator="greaterThan" stopIfTrue="1">
      <formula>$D$31*0.1</formula>
    </cfRule>
  </conditionalFormatting>
  <conditionalFormatting sqref="E29">
    <cfRule type="cellIs" priority="5" dxfId="44" operator="greaterThan" stopIfTrue="1">
      <formula>$E$31*0.1</formula>
    </cfRule>
  </conditionalFormatting>
  <conditionalFormatting sqref="E34">
    <cfRule type="cellIs" priority="6" dxfId="44" operator="greaterThan" stopIfTrue="1">
      <formula>$E$31/0.95-$E$31</formula>
    </cfRule>
  </conditionalFormatting>
  <conditionalFormatting sqref="C18">
    <cfRule type="cellIs" priority="7" dxfId="44" operator="greaterThan" stopIfTrue="1">
      <formula>$C$20*0.1</formula>
    </cfRule>
  </conditionalFormatting>
  <conditionalFormatting sqref="D18">
    <cfRule type="cellIs" priority="8" dxfId="44" operator="greaterThan" stopIfTrue="1">
      <formula>$D$20*0.1</formula>
    </cfRule>
  </conditionalFormatting>
  <conditionalFormatting sqref="E18">
    <cfRule type="cellIs" priority="9" dxfId="44" operator="greaterThan" stopIfTrue="1">
      <formula>$E$20*0.1</formula>
    </cfRule>
  </conditionalFormatting>
  <conditionalFormatting sqref="C54">
    <cfRule type="cellIs" priority="10" dxfId="44" operator="greaterThan" stopIfTrue="1">
      <formula>$C$56*0.1</formula>
    </cfRule>
  </conditionalFormatting>
  <conditionalFormatting sqref="D54">
    <cfRule type="cellIs" priority="11" dxfId="44" operator="greaterThan" stopIfTrue="1">
      <formula>$D$56*0.1</formula>
    </cfRule>
  </conditionalFormatting>
  <conditionalFormatting sqref="C65">
    <cfRule type="cellIs" priority="12" dxfId="44" operator="greaterThan" stopIfTrue="1">
      <formula>$C$67*0.1</formula>
    </cfRule>
  </conditionalFormatting>
  <conditionalFormatting sqref="D65">
    <cfRule type="cellIs" priority="13" dxfId="44" operator="greaterThan" stopIfTrue="1">
      <formula>$D$67*0.1</formula>
    </cfRule>
  </conditionalFormatting>
  <conditionalFormatting sqref="E65">
    <cfRule type="cellIs" priority="14" dxfId="44" operator="greaterThan" stopIfTrue="1">
      <formula>$E$67*0.1</formula>
    </cfRule>
  </conditionalFormatting>
  <conditionalFormatting sqref="E70">
    <cfRule type="cellIs" priority="15" dxfId="44" operator="greaterThan" stopIfTrue="1">
      <formula>$E$67/0.95-$E$67</formula>
    </cfRule>
  </conditionalFormatting>
  <conditionalFormatting sqref="E54">
    <cfRule type="cellIs" priority="16" dxfId="44" operator="greaterThan" stopIfTrue="1">
      <formula>$E$56*0.1+$E$74</formula>
    </cfRule>
  </conditionalFormatting>
  <conditionalFormatting sqref="C68 C32">
    <cfRule type="cellIs" priority="17" dxfId="44" operator="lessThan" stopIfTrue="1">
      <formula>0</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Rexford Cemetery</v>
      </c>
      <c r="C1" s="185"/>
      <c r="D1" s="100"/>
      <c r="E1" s="287"/>
    </row>
    <row r="2" spans="2:5" ht="15.75">
      <c r="B2" s="100" t="str">
        <f>inputPrYr!D4</f>
        <v>Thomas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273</v>
      </c>
      <c r="D5" s="330" t="s">
        <v>274</v>
      </c>
      <c r="E5" s="330" t="s">
        <v>276</v>
      </c>
    </row>
    <row r="6" spans="2:5" ht="15.75">
      <c r="B6" s="460">
        <f>inputPrYr!B31</f>
        <v>0</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234</v>
      </c>
      <c r="C17" s="304"/>
      <c r="D17" s="335"/>
      <c r="E17" s="335"/>
    </row>
    <row r="18" spans="2:5" ht="15.75">
      <c r="B18" s="334" t="s">
        <v>593</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234</v>
      </c>
      <c r="C29" s="304"/>
      <c r="D29" s="335"/>
      <c r="E29" s="335"/>
    </row>
    <row r="30" spans="2:5" ht="15.75">
      <c r="B30" s="231" t="s">
        <v>594</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272</v>
      </c>
      <c r="D39" s="330" t="s">
        <v>274</v>
      </c>
      <c r="E39" s="330" t="s">
        <v>275</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234</v>
      </c>
      <c r="C51" s="304"/>
      <c r="D51" s="335"/>
      <c r="E51" s="335"/>
    </row>
    <row r="52" spans="2:5" ht="15.75">
      <c r="B52" s="334" t="s">
        <v>593</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234</v>
      </c>
      <c r="C63" s="304"/>
      <c r="D63" s="335"/>
      <c r="E63" s="335"/>
    </row>
    <row r="64" spans="2:5" ht="15.75">
      <c r="B64" s="231" t="s">
        <v>594</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44" operator="greaterThan" stopIfTrue="1">
      <formula>$C$31*0.1</formula>
    </cfRule>
  </conditionalFormatting>
  <conditionalFormatting sqref="D29">
    <cfRule type="cellIs" priority="4" dxfId="44" operator="greaterThan" stopIfTrue="1">
      <formula>$D$31*0.1</formula>
    </cfRule>
  </conditionalFormatting>
  <conditionalFormatting sqref="E29">
    <cfRule type="cellIs" priority="5" dxfId="44" operator="greaterThan" stopIfTrue="1">
      <formula>$E$31*0.1</formula>
    </cfRule>
  </conditionalFormatting>
  <conditionalFormatting sqref="C63">
    <cfRule type="cellIs" priority="6" dxfId="44" operator="greaterThan" stopIfTrue="1">
      <formula>$C$65*0.1</formula>
    </cfRule>
  </conditionalFormatting>
  <conditionalFormatting sqref="D63">
    <cfRule type="cellIs" priority="7" dxfId="44" operator="greaterThan" stopIfTrue="1">
      <formula>$D$65*0.1</formula>
    </cfRule>
  </conditionalFormatting>
  <conditionalFormatting sqref="E63">
    <cfRule type="cellIs" priority="8" dxfId="44" operator="greaterThan" stopIfTrue="1">
      <formula>$E$65*0.1</formula>
    </cfRule>
  </conditionalFormatting>
  <conditionalFormatting sqref="C51">
    <cfRule type="cellIs" priority="9" dxfId="44" operator="greaterThan" stopIfTrue="1">
      <formula>$C$53*0.1</formula>
    </cfRule>
  </conditionalFormatting>
  <conditionalFormatting sqref="D51">
    <cfRule type="cellIs" priority="10" dxfId="44" operator="greaterThan" stopIfTrue="1">
      <formula>$D$53*0.1</formula>
    </cfRule>
  </conditionalFormatting>
  <conditionalFormatting sqref="E51">
    <cfRule type="cellIs" priority="11" dxfId="44" operator="greaterThan" stopIfTrue="1">
      <formula>$E$53*0.1</formula>
    </cfRule>
  </conditionalFormatting>
  <conditionalFormatting sqref="C17">
    <cfRule type="cellIs" priority="12" dxfId="44" operator="greaterThan" stopIfTrue="1">
      <formula>$C$19*0.1</formula>
    </cfRule>
  </conditionalFormatting>
  <conditionalFormatting sqref="D17">
    <cfRule type="cellIs" priority="13" dxfId="44" operator="greaterThan" stopIfTrue="1">
      <formula>$D$19*0.1</formula>
    </cfRule>
  </conditionalFormatting>
  <conditionalFormatting sqref="E17">
    <cfRule type="cellIs" priority="14" dxfId="44" operator="greaterThan" stopIfTrue="1">
      <formula>$E$19*0.1</formula>
    </cfRule>
  </conditionalFormatting>
  <conditionalFormatting sqref="E66 C66 E32 C32">
    <cfRule type="cellIs" priority="15" dxfId="44"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Rexford Cemetery</v>
      </c>
      <c r="B1" s="358"/>
      <c r="C1" s="186"/>
      <c r="D1" s="186"/>
      <c r="E1" s="186"/>
      <c r="F1" s="359" t="s">
        <v>277</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278</v>
      </c>
      <c r="B3" s="186"/>
      <c r="C3" s="186"/>
      <c r="D3" s="186"/>
      <c r="E3" s="186"/>
      <c r="F3" s="358"/>
      <c r="G3" s="186"/>
      <c r="H3" s="186"/>
      <c r="I3" s="186"/>
      <c r="J3" s="186"/>
      <c r="K3" s="186"/>
    </row>
    <row r="4" spans="1:11" ht="15.75">
      <c r="A4" s="186" t="s">
        <v>279</v>
      </c>
      <c r="B4" s="186"/>
      <c r="C4" s="186" t="s">
        <v>280</v>
      </c>
      <c r="D4" s="186"/>
      <c r="E4" s="186" t="s">
        <v>281</v>
      </c>
      <c r="F4" s="358"/>
      <c r="G4" s="186" t="s">
        <v>282</v>
      </c>
      <c r="H4" s="186"/>
      <c r="I4" s="186" t="s">
        <v>283</v>
      </c>
      <c r="J4" s="186"/>
      <c r="K4" s="186"/>
    </row>
    <row r="5" spans="1:11" ht="15.75">
      <c r="A5" s="676">
        <f>inputPrYr!B35</f>
        <v>0</v>
      </c>
      <c r="B5" s="677"/>
      <c r="C5" s="676">
        <f>inputPrYr!B36</f>
        <v>0</v>
      </c>
      <c r="D5" s="677"/>
      <c r="E5" s="676">
        <f>inputPrYr!B37</f>
        <v>0</v>
      </c>
      <c r="F5" s="677"/>
      <c r="G5" s="676">
        <f>inputPrYr!B38</f>
        <v>0</v>
      </c>
      <c r="H5" s="677"/>
      <c r="I5" s="676">
        <f>inputPrYr!B39</f>
        <v>0</v>
      </c>
      <c r="J5" s="677"/>
      <c r="K5" s="362"/>
    </row>
    <row r="6" spans="1:11" ht="15.75">
      <c r="A6" s="363" t="s">
        <v>284</v>
      </c>
      <c r="B6" s="364"/>
      <c r="C6" s="365" t="s">
        <v>284</v>
      </c>
      <c r="D6" s="366"/>
      <c r="E6" s="365" t="s">
        <v>284</v>
      </c>
      <c r="F6" s="367"/>
      <c r="G6" s="365" t="s">
        <v>284</v>
      </c>
      <c r="H6" s="361"/>
      <c r="I6" s="365" t="s">
        <v>284</v>
      </c>
      <c r="J6" s="186"/>
      <c r="K6" s="368" t="s">
        <v>8</v>
      </c>
    </row>
    <row r="7" spans="1:11" ht="15.75">
      <c r="A7" s="369" t="s">
        <v>285</v>
      </c>
      <c r="B7" s="370"/>
      <c r="C7" s="371" t="s">
        <v>285</v>
      </c>
      <c r="D7" s="370"/>
      <c r="E7" s="371" t="s">
        <v>285</v>
      </c>
      <c r="F7" s="370"/>
      <c r="G7" s="371" t="s">
        <v>285</v>
      </c>
      <c r="H7" s="370"/>
      <c r="I7" s="371" t="s">
        <v>285</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286</v>
      </c>
      <c r="B29" s="372">
        <f>SUM(B18-B28)</f>
        <v>0</v>
      </c>
      <c r="C29" s="373" t="s">
        <v>286</v>
      </c>
      <c r="D29" s="372">
        <f>SUM(D18-D28)</f>
        <v>0</v>
      </c>
      <c r="E29" s="373" t="s">
        <v>286</v>
      </c>
      <c r="F29" s="372">
        <f>SUM(F18-F28)</f>
        <v>0</v>
      </c>
      <c r="G29" s="373" t="s">
        <v>286</v>
      </c>
      <c r="H29" s="372">
        <f>SUM(H18-H28)</f>
        <v>0</v>
      </c>
      <c r="I29" s="373" t="s">
        <v>286</v>
      </c>
      <c r="J29" s="372">
        <f>SUM(J18-J28)</f>
        <v>0</v>
      </c>
      <c r="K29" s="387">
        <f>SUM(B29+D29+F29+H29+J29)</f>
        <v>0</v>
      </c>
      <c r="L29" s="148" t="s">
        <v>287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287</v>
      </c>
    </row>
    <row r="31" spans="1:11" ht="15.75">
      <c r="A31" s="186"/>
      <c r="B31" s="388"/>
      <c r="C31" s="186"/>
      <c r="D31" s="358"/>
      <c r="E31" s="186"/>
      <c r="F31" s="186"/>
      <c r="G31" s="389" t="s">
        <v>288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309</v>
      </c>
    </row>
    <row r="2" ht="15.75">
      <c r="A2" s="148"/>
    </row>
    <row r="3" ht="15.75">
      <c r="A3" s="148"/>
    </row>
    <row r="4" ht="56.25" customHeight="1">
      <c r="A4" s="392" t="s">
        <v>310</v>
      </c>
    </row>
    <row r="5" ht="15.75">
      <c r="A5" s="393"/>
    </row>
    <row r="6" ht="15.75">
      <c r="A6" s="148"/>
    </row>
    <row r="7" ht="50.25" customHeight="1">
      <c r="A7" s="392" t="s">
        <v>311</v>
      </c>
    </row>
    <row r="8" ht="15.75">
      <c r="A8" s="148"/>
    </row>
    <row r="9" ht="15.75">
      <c r="A9" s="148"/>
    </row>
    <row r="10" ht="52.5" customHeight="1">
      <c r="A10" s="392" t="s">
        <v>312</v>
      </c>
    </row>
    <row r="11" ht="15.75">
      <c r="A11" s="148"/>
    </row>
    <row r="12" ht="15.75">
      <c r="A12" s="148"/>
    </row>
    <row r="13" ht="52.5" customHeight="1">
      <c r="A13" s="392" t="s">
        <v>313</v>
      </c>
    </row>
    <row r="14" ht="15.75">
      <c r="A14" s="393"/>
    </row>
    <row r="15" ht="15.75">
      <c r="A15" s="393"/>
    </row>
    <row r="16" ht="51" customHeight="1">
      <c r="A16" s="467" t="s">
        <v>599</v>
      </c>
    </row>
    <row r="17" ht="15.75">
      <c r="A17" s="393"/>
    </row>
    <row r="18" ht="15.75">
      <c r="A18" s="393"/>
    </row>
    <row r="19" ht="37.5" customHeight="1">
      <c r="A19" s="392" t="s">
        <v>314</v>
      </c>
    </row>
    <row r="20" ht="15.75">
      <c r="A20" s="148"/>
    </row>
    <row r="21" ht="15.75">
      <c r="A21" s="148"/>
    </row>
    <row r="22" ht="47.25">
      <c r="A22" s="392" t="s">
        <v>315</v>
      </c>
    </row>
    <row r="23" ht="15.75">
      <c r="A23" s="393"/>
    </row>
    <row r="24" ht="15.75">
      <c r="A24" s="148"/>
    </row>
    <row r="25" ht="67.5" customHeight="1">
      <c r="A25" s="392" t="s">
        <v>316</v>
      </c>
    </row>
    <row r="26" ht="68.25" customHeight="1">
      <c r="A26" s="394" t="s">
        <v>317</v>
      </c>
    </row>
    <row r="27" ht="15.75">
      <c r="A27" s="148"/>
    </row>
    <row r="28" ht="15.75">
      <c r="A28" s="148"/>
    </row>
    <row r="29" ht="51" customHeight="1">
      <c r="A29" s="469" t="s">
        <v>600</v>
      </c>
    </row>
    <row r="30" ht="15.75">
      <c r="A30" s="148"/>
    </row>
    <row r="31" ht="15.75">
      <c r="A31" s="393"/>
    </row>
    <row r="32" ht="69" customHeight="1">
      <c r="A32" s="469" t="s">
        <v>601</v>
      </c>
    </row>
    <row r="33" ht="15.75">
      <c r="A33" s="393"/>
    </row>
    <row r="34" ht="15.75">
      <c r="A34" s="393"/>
    </row>
    <row r="35" ht="52.5" customHeight="1">
      <c r="A35" s="469" t="s">
        <v>602</v>
      </c>
    </row>
    <row r="36" ht="15.75">
      <c r="A36" s="393"/>
    </row>
    <row r="37" ht="15.75">
      <c r="A37" s="393"/>
    </row>
    <row r="38" ht="59.25" customHeight="1">
      <c r="A38" s="392" t="s">
        <v>318</v>
      </c>
    </row>
    <row r="39" ht="15.75">
      <c r="A39" s="148"/>
    </row>
    <row r="40" ht="15.75">
      <c r="A40" s="148"/>
    </row>
    <row r="41" ht="53.25" customHeight="1">
      <c r="A41" s="392" t="s">
        <v>319</v>
      </c>
    </row>
    <row r="42" ht="15.75">
      <c r="A42" s="393"/>
    </row>
    <row r="43" ht="15.75">
      <c r="A43" s="393"/>
    </row>
    <row r="44" ht="38.25" customHeight="1">
      <c r="A44" s="392" t="s">
        <v>320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E38" sqref="E38"/>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58" t="s">
        <v>79</v>
      </c>
      <c r="B1" s="658"/>
      <c r="C1" s="658"/>
      <c r="D1" s="658"/>
      <c r="E1" s="658"/>
      <c r="F1" s="658"/>
      <c r="G1" s="658"/>
      <c r="H1" s="110"/>
    </row>
    <row r="2" spans="1:8" ht="15.75">
      <c r="A2" s="100"/>
      <c r="B2" s="100"/>
      <c r="C2" s="100"/>
      <c r="D2" s="100"/>
      <c r="E2" s="100"/>
      <c r="F2" s="100"/>
      <c r="G2" s="100"/>
      <c r="H2" s="100"/>
    </row>
    <row r="3" spans="1:9" ht="15.75">
      <c r="A3" s="649" t="s">
        <v>106</v>
      </c>
      <c r="B3" s="649"/>
      <c r="C3" s="649"/>
      <c r="D3" s="649"/>
      <c r="E3" s="649"/>
      <c r="F3" s="649"/>
      <c r="G3" s="649"/>
      <c r="H3" s="649"/>
      <c r="I3" s="140">
        <f>inputPrYr!D11</f>
        <v>2012</v>
      </c>
    </row>
    <row r="4" spans="1:8" ht="15.75">
      <c r="A4" s="627" t="str">
        <f>inputPrYr!D3</f>
        <v>Rexford Cemetery</v>
      </c>
      <c r="B4" s="627"/>
      <c r="C4" s="627"/>
      <c r="D4" s="627"/>
      <c r="E4" s="627"/>
      <c r="F4" s="627"/>
      <c r="G4" s="627"/>
      <c r="H4" s="627"/>
    </row>
    <row r="5" spans="1:8" ht="15.75">
      <c r="A5" s="685" t="str">
        <f>inputPrYr!D4</f>
        <v>Thomas County</v>
      </c>
      <c r="B5" s="685"/>
      <c r="C5" s="685"/>
      <c r="D5" s="685"/>
      <c r="E5" s="685"/>
      <c r="F5" s="685"/>
      <c r="G5" s="685"/>
      <c r="H5" s="685"/>
    </row>
    <row r="6" spans="1:8" ht="15.75">
      <c r="A6" s="686" t="str">
        <f>CONCATENATE("will meet on ",inputBudSum!B5," at ",inputBudSum!B7," at ",inputBudSum!B9," for the purpose of hearing and")</f>
        <v>will meet on August 1, 2011 at 7:30 p.m. at Rexford City Hall for the purpose of hearing and</v>
      </c>
      <c r="B6" s="686"/>
      <c r="C6" s="686"/>
      <c r="D6" s="686"/>
      <c r="E6" s="686"/>
      <c r="F6" s="686"/>
      <c r="G6" s="686"/>
      <c r="H6" s="686"/>
    </row>
    <row r="7" spans="1:8" ht="15.75">
      <c r="A7" s="151" t="s">
        <v>355</v>
      </c>
      <c r="B7" s="110"/>
      <c r="C7" s="110"/>
      <c r="D7" s="110"/>
      <c r="E7" s="110"/>
      <c r="F7" s="110"/>
      <c r="G7" s="110"/>
      <c r="H7" s="110"/>
    </row>
    <row r="8" spans="1:8" ht="15.75">
      <c r="A8" s="417" t="str">
        <f>CONCATENATE("Detailed budget information is avaiable at ",inputBudSum!B12," and will be available at this hearing.")</f>
        <v>Detailed budget information is avaiable at Gary Hibbs Residence, 2335 County Rd 35, Rexford KS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78" t="str">
        <f>CONCATENATE("Estimated Value Of One Mill For ",I3,"")</f>
        <v>Estimated Value Of One Mill For 2012</v>
      </c>
      <c r="K11" s="679"/>
      <c r="L11" s="679"/>
      <c r="M11" s="680"/>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701</v>
      </c>
      <c r="K13" s="596"/>
      <c r="L13" s="596"/>
      <c r="M13" s="597">
        <f>ROUND(F22/1000,0)</f>
        <v>3880</v>
      </c>
    </row>
    <row r="14" spans="1:13" ht="15.75">
      <c r="A14" s="159"/>
      <c r="B14" s="157"/>
      <c r="C14" s="158" t="s">
        <v>44</v>
      </c>
      <c r="D14" s="157"/>
      <c r="E14" s="158" t="s">
        <v>44</v>
      </c>
      <c r="F14" s="159" t="s">
        <v>228</v>
      </c>
      <c r="G14" s="683" t="str">
        <f>CONCATENATE("Amount of ",I3-1," Ad Valorem Tax")</f>
        <v>Amount of 2011 Ad Valorem Tax</v>
      </c>
      <c r="H14" s="158" t="s">
        <v>704</v>
      </c>
      <c r="J14" s="98"/>
      <c r="K14" s="98"/>
      <c r="L14" s="98"/>
      <c r="M14" s="98"/>
    </row>
    <row r="15" spans="1:13" ht="15.75">
      <c r="A15" s="274" t="s">
        <v>45</v>
      </c>
      <c r="B15" s="160" t="s">
        <v>46</v>
      </c>
      <c r="C15" s="161" t="s">
        <v>177</v>
      </c>
      <c r="D15" s="160" t="s">
        <v>46</v>
      </c>
      <c r="E15" s="161" t="s">
        <v>177</v>
      </c>
      <c r="F15" s="160" t="s">
        <v>592</v>
      </c>
      <c r="G15" s="684"/>
      <c r="H15" s="161" t="s">
        <v>177</v>
      </c>
      <c r="J15" s="678" t="str">
        <f>CONCATENATE("Want The Mill Rate The Same As For ",I3-1,"?")</f>
        <v>Want The Mill Rate The Same As For 2011?</v>
      </c>
      <c r="K15" s="681"/>
      <c r="L15" s="681"/>
      <c r="M15" s="682"/>
    </row>
    <row r="16" spans="1:13" ht="15.75">
      <c r="A16" s="134" t="str">
        <f>inputPrYr!B24</f>
        <v>General</v>
      </c>
      <c r="B16" s="162">
        <f>IF(gen!$C$61&lt;&gt;0,gen!$C$61,"  ")</f>
        <v>5476</v>
      </c>
      <c r="C16" s="163">
        <f>IF(inputPrYr!D43&gt;0,inputPrYr!D43,"  ")</f>
        <v>3.005</v>
      </c>
      <c r="D16" s="162">
        <f>IF(gen!$D$61&lt;&gt;0,gen!$D$61,"  ")</f>
        <v>32193</v>
      </c>
      <c r="E16" s="163">
        <f>IF(inputOth!D46&gt;0,inputOth!D46,"  ")</f>
        <v>2.886</v>
      </c>
      <c r="F16" s="162">
        <f>IF(gen!$E$61&lt;&gt;0,gen!$E$61,"  ")</f>
        <v>9464</v>
      </c>
      <c r="G16" s="162">
        <f>IF(gen!$E$68&lt;&gt;0,gen!$E$68,"  ")</f>
        <v>11401</v>
      </c>
      <c r="H16" s="163">
        <f>IF(gen!E68&gt;0,ROUND(G16/$F$22*1000,3)," ")</f>
        <v>2.938</v>
      </c>
      <c r="J16" s="598"/>
      <c r="K16" s="593"/>
      <c r="L16" s="593"/>
      <c r="M16" s="599"/>
    </row>
    <row r="17" spans="1:13" ht="15.75">
      <c r="A17" s="134" t="s">
        <v>295</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service'!E61&gt;0,ROUND(G17/$F$22*1000,3)," ")</f>
        <v> </v>
      </c>
      <c r="J17" s="598" t="str">
        <f>CONCATENATE("",I3-1," Mill Rate Was:")</f>
        <v>2011 Mill Rate Was:</v>
      </c>
      <c r="K17" s="593"/>
      <c r="L17" s="593"/>
      <c r="M17" s="600">
        <f>E18</f>
        <v>2.886</v>
      </c>
    </row>
    <row r="18" spans="1:13" ht="15.75">
      <c r="A18" s="120" t="s">
        <v>130</v>
      </c>
      <c r="B18" s="606">
        <f aca="true" t="shared" si="0" ref="B18:H18">SUM(B16:B17)</f>
        <v>5476</v>
      </c>
      <c r="C18" s="607">
        <f t="shared" si="0"/>
        <v>3.005</v>
      </c>
      <c r="D18" s="606">
        <f t="shared" si="0"/>
        <v>32193</v>
      </c>
      <c r="E18" s="607">
        <f t="shared" si="0"/>
        <v>2.886</v>
      </c>
      <c r="F18" s="606">
        <f t="shared" si="0"/>
        <v>9464</v>
      </c>
      <c r="G18" s="608">
        <f t="shared" si="0"/>
        <v>11401</v>
      </c>
      <c r="H18" s="607">
        <f t="shared" si="0"/>
        <v>2.938</v>
      </c>
      <c r="J18" s="598"/>
      <c r="K18" s="593"/>
      <c r="L18" s="593"/>
      <c r="M18" s="599"/>
    </row>
    <row r="19" spans="1:13" ht="15.75">
      <c r="A19" s="120" t="s">
        <v>182</v>
      </c>
      <c r="B19" s="162">
        <f>transfers!C26</f>
        <v>0</v>
      </c>
      <c r="C19" s="168"/>
      <c r="D19" s="162">
        <f>transfers!D26</f>
        <v>0</v>
      </c>
      <c r="E19" s="168"/>
      <c r="F19" s="169">
        <f>transfers!E26</f>
        <v>0</v>
      </c>
      <c r="G19" s="170"/>
      <c r="H19" s="171"/>
      <c r="J19" s="598" t="str">
        <f>CONCATENATE("",I3," Ad Valorem Tax Revenue:")</f>
        <v>2012 Ad Valorem Tax Revenue:</v>
      </c>
      <c r="K19" s="593"/>
      <c r="L19" s="593"/>
      <c r="M19" s="594">
        <f>G18</f>
        <v>11401</v>
      </c>
    </row>
    <row r="20" spans="1:13" ht="16.5" thickBot="1">
      <c r="A20" s="120" t="s">
        <v>183</v>
      </c>
      <c r="B20" s="172">
        <f>SUM(B18-B19)</f>
        <v>5476</v>
      </c>
      <c r="C20" s="173"/>
      <c r="D20" s="172">
        <f>SUM(D18-D19)</f>
        <v>32193</v>
      </c>
      <c r="E20" s="173"/>
      <c r="F20" s="174">
        <f>SUM(F18-F19)</f>
        <v>9464</v>
      </c>
      <c r="G20" s="170"/>
      <c r="H20" s="171"/>
      <c r="J20" s="598" t="str">
        <f>CONCATENATE("",I3-1," Ad Valorem Tax Revenue:")</f>
        <v>2011 Ad Valorem Tax Revenue:</v>
      </c>
      <c r="K20" s="593"/>
      <c r="L20" s="593"/>
      <c r="M20" s="601">
        <f>ROUND(F22*M17/1000,0)</f>
        <v>11198</v>
      </c>
    </row>
    <row r="21" spans="1:13" ht="16.5" thickTop="1">
      <c r="A21" s="120" t="s">
        <v>47</v>
      </c>
      <c r="B21" s="175">
        <f>inputPrYr!E50</f>
        <v>10578</v>
      </c>
      <c r="C21" s="159"/>
      <c r="D21" s="175">
        <f>inputPrYr!E29</f>
        <v>10578</v>
      </c>
      <c r="E21" s="159"/>
      <c r="F21" s="176" t="s">
        <v>184</v>
      </c>
      <c r="G21" s="100"/>
      <c r="H21" s="100"/>
      <c r="J21" s="602" t="s">
        <v>702</v>
      </c>
      <c r="K21" s="603"/>
      <c r="L21" s="603"/>
      <c r="M21" s="597">
        <f>M19-M20</f>
        <v>203</v>
      </c>
    </row>
    <row r="22" spans="1:13" ht="16.5" thickBot="1">
      <c r="A22" s="120" t="s">
        <v>218</v>
      </c>
      <c r="B22" s="177">
        <f>inputPrYr!E51</f>
        <v>3518269</v>
      </c>
      <c r="C22" s="159"/>
      <c r="D22" s="177">
        <f>inputOth!E60</f>
        <v>3664781</v>
      </c>
      <c r="E22" s="159"/>
      <c r="F22" s="177">
        <f>inputOth!E12</f>
        <v>3880153</v>
      </c>
      <c r="G22" s="100"/>
      <c r="H22" s="100"/>
      <c r="J22" s="604"/>
      <c r="K22" s="604"/>
      <c r="L22" s="604"/>
      <c r="M22" s="5"/>
    </row>
    <row r="23" spans="1:13" ht="16.5" thickTop="1">
      <c r="A23" s="103"/>
      <c r="B23" s="170"/>
      <c r="C23" s="107"/>
      <c r="D23" s="170"/>
      <c r="E23" s="107"/>
      <c r="F23" s="170"/>
      <c r="G23" s="100"/>
      <c r="H23" s="100"/>
      <c r="J23" s="678" t="s">
        <v>703</v>
      </c>
      <c r="K23" s="681"/>
      <c r="L23" s="681"/>
      <c r="M23" s="682"/>
    </row>
    <row r="24" spans="1:13" ht="15.75">
      <c r="A24" s="99" t="s">
        <v>48</v>
      </c>
      <c r="B24" s="100"/>
      <c r="C24" s="100"/>
      <c r="D24" s="100"/>
      <c r="E24" s="100"/>
      <c r="F24" s="100"/>
      <c r="G24" s="100"/>
      <c r="H24" s="100"/>
      <c r="J24" s="598"/>
      <c r="K24" s="593"/>
      <c r="L24" s="593"/>
      <c r="M24" s="599"/>
    </row>
    <row r="25" spans="1:13" ht="15.75">
      <c r="A25" s="99" t="s">
        <v>185</v>
      </c>
      <c r="B25" s="149">
        <f>I3-2</f>
        <v>2010</v>
      </c>
      <c r="C25" s="100"/>
      <c r="D25" s="149">
        <f>I3-1</f>
        <v>2011</v>
      </c>
      <c r="E25" s="100"/>
      <c r="F25" s="149">
        <f>I3</f>
        <v>2012</v>
      </c>
      <c r="G25" s="100"/>
      <c r="H25" s="100"/>
      <c r="J25" s="598" t="str">
        <f>CONCATENATE("Current ",I3," Estimated Mill Rate:")</f>
        <v>Current 2012 Estimated Mill Rate:</v>
      </c>
      <c r="K25" s="593"/>
      <c r="L25" s="593"/>
      <c r="M25" s="600">
        <f>H18</f>
        <v>2.938</v>
      </c>
    </row>
    <row r="26" spans="1:13" ht="15.75">
      <c r="A26" s="99" t="s">
        <v>49</v>
      </c>
      <c r="B26" s="178">
        <f>inputPrYr!D54</f>
        <v>0</v>
      </c>
      <c r="C26" s="179"/>
      <c r="D26" s="178">
        <f>inputPrYr!E54</f>
        <v>0</v>
      </c>
      <c r="E26" s="100"/>
      <c r="F26" s="178">
        <f>debt!E12</f>
        <v>0</v>
      </c>
      <c r="G26" s="100"/>
      <c r="H26" s="140"/>
      <c r="J26" s="598" t="str">
        <f>CONCATENATE("Desired ",I3," Mill Rate:")</f>
        <v>Desired 2012 Mill Rate:</v>
      </c>
      <c r="K26" s="593"/>
      <c r="L26" s="593"/>
      <c r="M26" s="605">
        <v>0</v>
      </c>
    </row>
    <row r="27" spans="1:13" ht="15.75">
      <c r="A27" s="100" t="s">
        <v>50</v>
      </c>
      <c r="B27" s="178">
        <f>inputPrYr!D55</f>
        <v>0</v>
      </c>
      <c r="C27" s="100"/>
      <c r="D27" s="178">
        <f>inputPrYr!E55</f>
        <v>0</v>
      </c>
      <c r="E27" s="100"/>
      <c r="F27" s="178">
        <f>debt!E16</f>
        <v>0</v>
      </c>
      <c r="G27" s="100"/>
      <c r="H27" s="140"/>
      <c r="J27" s="598" t="str">
        <f>CONCATENATE("",I3," Ad Valorem Tax:")</f>
        <v>2012 Ad Valorem Tax:</v>
      </c>
      <c r="K27" s="593"/>
      <c r="L27" s="593"/>
      <c r="M27" s="601">
        <f>ROUND(F22*M26/1000,0)</f>
        <v>0</v>
      </c>
    </row>
    <row r="28" spans="1:13" ht="15.75">
      <c r="A28" s="99" t="s">
        <v>210</v>
      </c>
      <c r="B28" s="178">
        <f>inputPrYr!D56</f>
        <v>0</v>
      </c>
      <c r="C28" s="179"/>
      <c r="D28" s="178">
        <f>inputPrYr!E56</f>
        <v>0</v>
      </c>
      <c r="E28" s="100"/>
      <c r="F28" s="178">
        <f>debt!E20</f>
        <v>0</v>
      </c>
      <c r="G28" s="100"/>
      <c r="H28" s="140"/>
      <c r="J28" s="602" t="str">
        <f>CONCATENATE("",I3," Tax Levy Fund Exp. Changed By:")</f>
        <v>2012 Tax Levy Fund Exp. Changed By:</v>
      </c>
      <c r="K28" s="603"/>
      <c r="L28" s="603"/>
      <c r="M28" s="597">
        <f>IF(M26=0,0,(M27-G18))</f>
        <v>0</v>
      </c>
    </row>
    <row r="29" spans="1:8" ht="15.75">
      <c r="A29" s="99" t="s">
        <v>131</v>
      </c>
      <c r="B29" s="178">
        <f>inputPrYr!D57</f>
        <v>0</v>
      </c>
      <c r="C29" s="100"/>
      <c r="D29" s="178">
        <f>inputPrYr!E57</f>
        <v>0</v>
      </c>
      <c r="E29" s="100"/>
      <c r="F29" s="178">
        <f>debt!F41</f>
        <v>0</v>
      </c>
      <c r="G29" s="100"/>
      <c r="H29" s="140"/>
    </row>
    <row r="30" spans="1:8" ht="15.75">
      <c r="A30" s="140"/>
      <c r="B30" s="180"/>
      <c r="C30" s="179"/>
      <c r="D30" s="180"/>
      <c r="E30" s="100"/>
      <c r="F30" s="181"/>
      <c r="G30" s="140"/>
      <c r="H30" s="140"/>
    </row>
    <row r="31" spans="1:8" ht="16.5" thickBot="1">
      <c r="A31" s="182" t="s">
        <v>51</v>
      </c>
      <c r="B31" s="183">
        <f>SUM(B26:B30)</f>
        <v>0</v>
      </c>
      <c r="C31" s="100"/>
      <c r="D31" s="183">
        <f>SUM(D26:D30)</f>
        <v>0</v>
      </c>
      <c r="E31" s="100"/>
      <c r="F31" s="183">
        <f>SUM(F26:F30)</f>
        <v>0</v>
      </c>
      <c r="G31" s="184"/>
      <c r="H31" s="140"/>
    </row>
    <row r="32" spans="1:8" ht="16.5" thickTop="1">
      <c r="A32" s="140"/>
      <c r="B32" s="100"/>
      <c r="C32" s="100"/>
      <c r="D32" s="100"/>
      <c r="E32" s="100"/>
      <c r="F32" s="100"/>
      <c r="G32" s="100"/>
      <c r="H32" s="140"/>
    </row>
    <row r="33" spans="1:8" ht="15.75">
      <c r="A33" s="182" t="s">
        <v>52</v>
      </c>
      <c r="B33" s="100"/>
      <c r="C33" s="100"/>
      <c r="D33" s="100"/>
      <c r="E33" s="185"/>
      <c r="F33" s="185"/>
      <c r="G33" s="100"/>
      <c r="H33" s="140"/>
    </row>
    <row r="34" spans="1:8" ht="15.75">
      <c r="A34" s="140"/>
      <c r="B34" s="100"/>
      <c r="C34" s="100"/>
      <c r="D34" s="100"/>
      <c r="E34" s="100"/>
      <c r="F34" s="100"/>
      <c r="G34" s="100"/>
      <c r="H34" s="140"/>
    </row>
    <row r="35" spans="1:8" ht="15.75">
      <c r="A35" s="186"/>
      <c r="B35" s="100"/>
      <c r="C35" s="100"/>
      <c r="D35" s="100"/>
      <c r="E35" s="100"/>
      <c r="F35" s="100"/>
      <c r="G35" s="100"/>
      <c r="H35" s="186"/>
    </row>
    <row r="36" spans="1:8" ht="15.75">
      <c r="A36" s="656" t="s">
        <v>774</v>
      </c>
      <c r="B36" s="657"/>
      <c r="C36" s="152"/>
      <c r="D36" s="100"/>
      <c r="E36" s="100"/>
      <c r="F36" s="100"/>
      <c r="G36" s="100"/>
      <c r="H36" s="140"/>
    </row>
    <row r="37" spans="1:8" ht="15.75">
      <c r="A37" s="150" t="s">
        <v>53</v>
      </c>
      <c r="B37" s="110"/>
      <c r="C37" s="100"/>
      <c r="D37" s="189" t="s">
        <v>37</v>
      </c>
      <c r="E37" s="190">
        <v>7</v>
      </c>
      <c r="F37" s="100"/>
      <c r="G37" s="100"/>
      <c r="H37" s="140"/>
    </row>
    <row r="39" spans="1:8" ht="15.75">
      <c r="A39" s="98"/>
      <c r="B39" s="98"/>
      <c r="C39" s="98"/>
      <c r="D39" s="98"/>
      <c r="E39" s="98"/>
      <c r="F39" s="98"/>
      <c r="G39" s="98"/>
      <c r="H39" s="98"/>
    </row>
    <row r="41" spans="1:8" ht="15.75">
      <c r="A41" s="98"/>
      <c r="B41" s="98"/>
      <c r="C41" s="98"/>
      <c r="D41" s="98"/>
      <c r="E41" s="98"/>
      <c r="F41" s="98"/>
      <c r="G41" s="98"/>
      <c r="H41" s="98"/>
    </row>
    <row r="42" spans="1:8" ht="15.75">
      <c r="A42" s="98"/>
      <c r="B42" s="98"/>
      <c r="C42" s="98"/>
      <c r="D42" s="98"/>
      <c r="E42" s="98"/>
      <c r="F42" s="98"/>
      <c r="G42" s="98"/>
      <c r="H42" s="98"/>
    </row>
    <row r="43" spans="1:8" ht="15.75">
      <c r="A43" s="98"/>
      <c r="B43" s="98"/>
      <c r="C43" s="98"/>
      <c r="D43" s="98"/>
      <c r="E43" s="98"/>
      <c r="F43" s="98"/>
      <c r="G43" s="98"/>
      <c r="H43" s="98"/>
    </row>
    <row r="44" spans="1:8" ht="15.75">
      <c r="A44" s="98"/>
      <c r="B44" s="98"/>
      <c r="C44" s="98"/>
      <c r="D44" s="98"/>
      <c r="E44" s="98"/>
      <c r="F44" s="98"/>
      <c r="G44" s="98"/>
      <c r="H44" s="98"/>
    </row>
    <row r="45" spans="1:8" ht="15.75">
      <c r="A45" s="98"/>
      <c r="B45" s="98"/>
      <c r="C45" s="98"/>
      <c r="D45" s="98"/>
      <c r="E45" s="98"/>
      <c r="F45" s="98"/>
      <c r="G45" s="98"/>
      <c r="H45"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sheetData>
  <sheetProtection/>
  <mergeCells count="10">
    <mergeCell ref="A36:B36"/>
    <mergeCell ref="J11:M11"/>
    <mergeCell ref="J15:M15"/>
    <mergeCell ref="J23:M23"/>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322058" r:id="rId1"/>
  </oleObjects>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40">
      <selection activeCell="D3" sqref="D3"/>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27" t="s">
        <v>2</v>
      </c>
      <c r="B1" s="626"/>
      <c r="C1" s="626"/>
      <c r="D1" s="626"/>
      <c r="E1" s="626"/>
    </row>
    <row r="2" spans="1:5" ht="15.75">
      <c r="A2" s="99"/>
      <c r="B2" s="100"/>
      <c r="C2" s="100"/>
      <c r="D2" s="100"/>
      <c r="E2" s="100"/>
    </row>
    <row r="3" spans="1:5" ht="15.75">
      <c r="A3" s="101" t="s">
        <v>127</v>
      </c>
      <c r="B3" s="100"/>
      <c r="C3" s="100"/>
      <c r="D3" s="102" t="s">
        <v>760</v>
      </c>
      <c r="E3" s="103"/>
    </row>
    <row r="4" spans="1:5" ht="15.75">
      <c r="A4" s="101" t="s">
        <v>241</v>
      </c>
      <c r="B4" s="100"/>
      <c r="C4" s="100"/>
      <c r="D4" s="104" t="s">
        <v>775</v>
      </c>
      <c r="E4" s="103"/>
    </row>
    <row r="5" spans="1:5" ht="15.75">
      <c r="A5" s="101" t="s">
        <v>157</v>
      </c>
      <c r="B5" s="100"/>
      <c r="C5" s="100"/>
      <c r="D5" s="105"/>
      <c r="E5" s="103"/>
    </row>
    <row r="6" spans="1:5" ht="15.75">
      <c r="A6" s="106" t="s">
        <v>242</v>
      </c>
      <c r="B6" s="107"/>
      <c r="C6" s="107"/>
      <c r="D6" s="102" t="s">
        <v>765</v>
      </c>
      <c r="E6" s="103"/>
    </row>
    <row r="7" spans="1:5" ht="15.75">
      <c r="A7" s="101" t="s">
        <v>243</v>
      </c>
      <c r="B7" s="100"/>
      <c r="C7" s="100"/>
      <c r="D7" s="104"/>
      <c r="E7" s="103"/>
    </row>
    <row r="8" spans="1:5" ht="15.75">
      <c r="A8" s="101" t="s">
        <v>244</v>
      </c>
      <c r="B8" s="100"/>
      <c r="C8" s="100"/>
      <c r="D8" s="104"/>
      <c r="E8" s="103"/>
    </row>
    <row r="9" spans="1:5" ht="15.75">
      <c r="A9" s="101" t="s">
        <v>245</v>
      </c>
      <c r="B9" s="100"/>
      <c r="C9" s="100"/>
      <c r="D9" s="104"/>
      <c r="E9" s="103"/>
    </row>
    <row r="10" spans="1:5" ht="15.75">
      <c r="A10" s="100"/>
      <c r="B10" s="100"/>
      <c r="C10" s="100"/>
      <c r="D10" s="100"/>
      <c r="E10" s="100"/>
    </row>
    <row r="11" spans="1:5" ht="15.75">
      <c r="A11" s="101" t="s">
        <v>215</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216</v>
      </c>
      <c r="B15" s="100"/>
      <c r="C15" s="100"/>
      <c r="D15" s="100"/>
      <c r="E15" s="100"/>
    </row>
    <row r="16" spans="1:5" ht="15.75">
      <c r="A16" s="111"/>
      <c r="B16" s="100"/>
      <c r="C16" s="100"/>
      <c r="D16" s="100"/>
      <c r="E16" s="100"/>
    </row>
    <row r="17" spans="1:5" ht="15.75">
      <c r="A17" s="625" t="s">
        <v>158</v>
      </c>
      <c r="B17" s="626"/>
      <c r="C17" s="626"/>
      <c r="D17" s="626"/>
      <c r="E17" s="626"/>
    </row>
    <row r="18" spans="1:5" ht="15.75">
      <c r="A18" s="112"/>
      <c r="B18" s="112"/>
      <c r="C18" s="112"/>
      <c r="D18" s="112"/>
      <c r="E18" s="112"/>
    </row>
    <row r="19" spans="1:5" ht="15.75">
      <c r="A19" s="113" t="s">
        <v>156</v>
      </c>
      <c r="B19" s="114"/>
      <c r="C19" s="100"/>
      <c r="D19" s="100"/>
      <c r="E19" s="100"/>
    </row>
    <row r="20" spans="1:5" ht="15.75">
      <c r="A20" s="115" t="str">
        <f>CONCATENATE("the ",D11-1," Budget, Certificate Page:")</f>
        <v>the 2011 Budget, Certificate Page:</v>
      </c>
      <c r="B20" s="116"/>
      <c r="C20" s="100"/>
      <c r="D20" s="100"/>
      <c r="E20" s="100"/>
    </row>
    <row r="21" spans="1:5" ht="15.75">
      <c r="A21" s="115" t="s">
        <v>304</v>
      </c>
      <c r="B21" s="116"/>
      <c r="C21" s="100"/>
      <c r="D21" s="100"/>
      <c r="E21" s="100"/>
    </row>
    <row r="22" spans="1:5" ht="15.75" customHeight="1">
      <c r="A22" s="100"/>
      <c r="B22" s="100"/>
      <c r="C22" s="117"/>
      <c r="D22" s="118">
        <f>D11-1</f>
        <v>2011</v>
      </c>
      <c r="E22" s="628" t="str">
        <f>CONCATENATE("Amount of ",D11-2,"     Ad Valorem Tax")</f>
        <v>Amount of 2010     Ad Valorem Tax</v>
      </c>
    </row>
    <row r="23" spans="1:5" ht="15.75">
      <c r="A23" s="99" t="s">
        <v>3</v>
      </c>
      <c r="B23" s="100"/>
      <c r="C23" s="117" t="s">
        <v>4</v>
      </c>
      <c r="D23" s="119" t="s">
        <v>305</v>
      </c>
      <c r="E23" s="629"/>
    </row>
    <row r="24" spans="1:5" ht="15.75">
      <c r="A24" s="100"/>
      <c r="B24" s="120" t="s">
        <v>5</v>
      </c>
      <c r="C24" s="121" t="s">
        <v>761</v>
      </c>
      <c r="D24" s="122">
        <v>32902</v>
      </c>
      <c r="E24" s="122">
        <v>10578</v>
      </c>
    </row>
    <row r="25" spans="1:5" ht="15.75">
      <c r="A25" s="100"/>
      <c r="B25" s="120" t="s">
        <v>295</v>
      </c>
      <c r="C25" s="123" t="s">
        <v>155</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10578</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32902</v>
      </c>
      <c r="E33" s="124"/>
    </row>
    <row r="34" spans="1:5" ht="16.5" thickTop="1">
      <c r="A34" s="100" t="s">
        <v>289</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156</v>
      </c>
      <c r="B41" s="114"/>
      <c r="C41" s="100"/>
      <c r="D41" s="623" t="str">
        <f>CONCATENATE("",D11-3," Tax Rate         (",D11-2," Column)")</f>
        <v>2009 Tax Rate         (2010 Column)</v>
      </c>
      <c r="E41" s="124"/>
    </row>
    <row r="42" spans="1:5" ht="15.75">
      <c r="A42" s="115" t="str">
        <f>CONCATENATE("the ",D11-1," Budget, Budget Summary Page")</f>
        <v>the 2011 Budget, Budget Summary Page</v>
      </c>
      <c r="B42" s="116"/>
      <c r="C42" s="100"/>
      <c r="D42" s="624"/>
      <c r="E42" s="124"/>
    </row>
    <row r="43" spans="1:5" ht="15.75">
      <c r="A43" s="100"/>
      <c r="B43" s="134" t="str">
        <f>B24</f>
        <v>General</v>
      </c>
      <c r="C43" s="100"/>
      <c r="D43" s="135">
        <v>3.005</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3.005</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10578</v>
      </c>
    </row>
    <row r="51" spans="1:5" ht="15.75">
      <c r="A51" s="138" t="str">
        <f>CONCATENATE("Assessed Valuation (",D11-2," budget column):")</f>
        <v>Assessed Valuation (2010 budget column):</v>
      </c>
      <c r="B51" s="114"/>
      <c r="C51" s="100"/>
      <c r="D51" s="100"/>
      <c r="E51" s="139">
        <v>3518269</v>
      </c>
    </row>
    <row r="52" spans="1:5" ht="15.75">
      <c r="A52" s="100"/>
      <c r="B52" s="100"/>
      <c r="C52" s="100"/>
      <c r="D52" s="100"/>
      <c r="E52" s="124"/>
    </row>
    <row r="53" spans="1:5" ht="15.75">
      <c r="A53" s="114" t="s">
        <v>217</v>
      </c>
      <c r="B53" s="114"/>
      <c r="C53" s="140"/>
      <c r="D53" s="141">
        <f>D11-3</f>
        <v>2009</v>
      </c>
      <c r="E53" s="141">
        <f>D11-2</f>
        <v>2010</v>
      </c>
    </row>
    <row r="54" spans="1:5" ht="15.75">
      <c r="A54" s="142" t="s">
        <v>203</v>
      </c>
      <c r="B54" s="142"/>
      <c r="C54" s="143"/>
      <c r="D54" s="144"/>
      <c r="E54" s="144"/>
    </row>
    <row r="55" spans="1:5" ht="15.75">
      <c r="A55" s="145" t="s">
        <v>204</v>
      </c>
      <c r="B55" s="145"/>
      <c r="C55" s="146"/>
      <c r="D55" s="144"/>
      <c r="E55" s="144"/>
    </row>
    <row r="56" spans="1:5" ht="15.75">
      <c r="A56" s="145" t="s">
        <v>212</v>
      </c>
      <c r="B56" s="145"/>
      <c r="C56" s="146"/>
      <c r="D56" s="144"/>
      <c r="E56" s="144"/>
    </row>
    <row r="57" spans="1:5" ht="15.75">
      <c r="A57" s="145" t="s">
        <v>205</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Rexford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2" t="str">
        <f>CONCATENATE("",F1," Neighborhood Revitalization Rebate")</f>
        <v>2012 Neighborhood Revitalization Rebate</v>
      </c>
      <c r="C4" s="689"/>
      <c r="D4" s="689"/>
      <c r="E4" s="650"/>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221</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0" t="str">
        <f>CONCATENATE("",F1-1," July 1 Valuation:")</f>
        <v>2011 July 1 Valuation:</v>
      </c>
      <c r="B16" s="688"/>
      <c r="C16" s="690"/>
      <c r="D16" s="204">
        <f>inputOth!E12</f>
        <v>3880153</v>
      </c>
      <c r="E16" s="100"/>
      <c r="F16" s="140"/>
    </row>
    <row r="17" spans="1:6" ht="15.75">
      <c r="A17" s="100"/>
      <c r="B17" s="100"/>
      <c r="C17" s="100"/>
      <c r="D17" s="100"/>
      <c r="E17" s="100"/>
      <c r="F17" s="140"/>
    </row>
    <row r="18" spans="1:6" ht="15.75">
      <c r="A18" s="100"/>
      <c r="B18" s="690" t="s">
        <v>341</v>
      </c>
      <c r="C18" s="690"/>
      <c r="D18" s="205">
        <f>IF(D16&gt;0,(D16*0.001),"")</f>
        <v>3880.1530000000002</v>
      </c>
      <c r="E18" s="100"/>
      <c r="F18" s="140"/>
    </row>
    <row r="19" spans="1:6" ht="15.75">
      <c r="A19" s="100"/>
      <c r="B19" s="189"/>
      <c r="C19" s="189"/>
      <c r="D19" s="206"/>
      <c r="E19" s="100"/>
      <c r="F19" s="140"/>
    </row>
    <row r="20" spans="1:6" ht="15.75">
      <c r="A20" s="687" t="s">
        <v>322</v>
      </c>
      <c r="B20" s="650"/>
      <c r="C20" s="650"/>
      <c r="D20" s="208">
        <f>inputOth!D42</f>
        <v>0</v>
      </c>
      <c r="E20" s="209"/>
      <c r="F20" s="209"/>
    </row>
    <row r="21" spans="1:6" ht="15">
      <c r="A21" s="209"/>
      <c r="B21" s="209"/>
      <c r="C21" s="209"/>
      <c r="D21" s="210"/>
      <c r="E21" s="209"/>
      <c r="F21" s="209"/>
    </row>
    <row r="22" spans="1:6" ht="15.75">
      <c r="A22" s="209"/>
      <c r="B22" s="687" t="s">
        <v>323</v>
      </c>
      <c r="C22" s="688"/>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579</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8">
      <selection activeCell="D39" sqref="D39"/>
    </sheetView>
  </sheetViews>
  <sheetFormatPr defaultColWidth="9.796875" defaultRowHeight="15"/>
  <cols>
    <col min="1" max="1" width="8.8984375" style="39" customWidth="1"/>
    <col min="2" max="16384" width="9.796875" style="39" customWidth="1"/>
  </cols>
  <sheetData>
    <row r="1" spans="2:8" ht="15.75">
      <c r="B1" s="694" t="s">
        <v>135</v>
      </c>
      <c r="C1" s="694"/>
      <c r="D1" s="694"/>
      <c r="E1" s="694"/>
      <c r="F1" s="694"/>
      <c r="G1" s="694"/>
      <c r="H1" s="694"/>
    </row>
    <row r="2" spans="2:8" ht="15.75">
      <c r="B2" s="43"/>
      <c r="C2"/>
      <c r="D2"/>
      <c r="E2"/>
      <c r="F2"/>
      <c r="G2"/>
      <c r="H2"/>
    </row>
    <row r="3" spans="2:8" ht="15.75">
      <c r="B3" s="695" t="s">
        <v>780</v>
      </c>
      <c r="C3" s="695"/>
      <c r="D3" s="695"/>
      <c r="E3" s="695"/>
      <c r="F3" s="695"/>
      <c r="G3" s="695"/>
      <c r="H3" s="695"/>
    </row>
    <row r="4" spans="2:8" ht="15.75">
      <c r="B4" s="44"/>
      <c r="C4"/>
      <c r="D4"/>
      <c r="E4"/>
      <c r="F4"/>
      <c r="G4"/>
      <c r="H4"/>
    </row>
    <row r="5" spans="2:8" ht="15.75">
      <c r="B5" s="696" t="str">
        <f>CONCATENATE("A resolution expressing the property taxation policy of the Board of ",(inputPrYr!D3)," District with respect to financing the ",inputPrYr!D11," annual budget for ",(inputPrYr!D3)," , ",(inputPrYr!D4)," , Kansas.")</f>
        <v>A resolution expressing the property taxation policy of the Board of Rexford Cemetery District with respect to financing the 2012 annual budget for Rexford Cemetery , Thomas County , Kansas.</v>
      </c>
      <c r="C5" s="692"/>
      <c r="D5" s="692"/>
      <c r="E5" s="692"/>
      <c r="F5" s="692"/>
      <c r="G5" s="692"/>
      <c r="H5" s="692"/>
    </row>
    <row r="6" spans="2:10" ht="15.75">
      <c r="B6" s="692"/>
      <c r="C6" s="692"/>
      <c r="D6" s="692"/>
      <c r="E6" s="692"/>
      <c r="F6" s="692"/>
      <c r="G6" s="692"/>
      <c r="H6" s="692"/>
      <c r="J6" s="39">
        <f>CONCATENATE(J7)</f>
      </c>
    </row>
    <row r="7" spans="2:8" ht="15.75">
      <c r="B7" s="48"/>
      <c r="C7"/>
      <c r="D7"/>
      <c r="E7"/>
      <c r="F7"/>
      <c r="G7"/>
      <c r="H7"/>
    </row>
    <row r="8" spans="2:8" ht="15.75">
      <c r="B8" s="49" t="s">
        <v>186</v>
      </c>
      <c r="C8"/>
      <c r="D8"/>
      <c r="E8"/>
      <c r="F8"/>
      <c r="G8"/>
      <c r="H8"/>
    </row>
    <row r="9" spans="2:8" ht="15.75">
      <c r="B9" s="49" t="str">
        <f>CONCATENATE("",inputPrYr!D11," ",(inputPrYr!D3)," district budget exceed the amount levied to finance the")</f>
        <v>2012 Rexford Cemetery district budget exceed the amount levied to finance the</v>
      </c>
      <c r="C9"/>
      <c r="D9"/>
      <c r="E9"/>
      <c r="F9"/>
      <c r="G9"/>
      <c r="H9"/>
    </row>
    <row r="10" spans="2:8" ht="15.75">
      <c r="B10" s="49" t="str">
        <f>CONCATENATE("",inputPrYr!D11-1," ",inputPrYr!D3," except with regard to revenue produced and attributable to the")</f>
        <v>2011 Rexford Cemetery except with regard to revenue produced and attributable to the</v>
      </c>
      <c r="C10"/>
      <c r="D10"/>
      <c r="E10"/>
      <c r="F10"/>
      <c r="G10"/>
      <c r="H10"/>
    </row>
    <row r="11" spans="2:8" ht="15.75">
      <c r="B11" s="697" t="s">
        <v>187</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36"/>
      <c r="C15" s="36"/>
      <c r="D15" s="36"/>
      <c r="E15" s="36"/>
      <c r="F15" s="36"/>
      <c r="G15" s="36"/>
      <c r="H15" s="36"/>
    </row>
    <row r="16" spans="2:8" ht="15.75">
      <c r="B16" s="691" t="s">
        <v>153</v>
      </c>
      <c r="C16" s="699"/>
      <c r="D16" s="699"/>
      <c r="E16" s="699"/>
      <c r="F16" s="699"/>
      <c r="G16" s="699"/>
      <c r="H16" s="699"/>
    </row>
    <row r="17" spans="2:8" ht="15.75">
      <c r="B17" s="699"/>
      <c r="C17" s="699"/>
      <c r="D17" s="699"/>
      <c r="E17" s="699"/>
      <c r="F17" s="699"/>
      <c r="G17" s="699"/>
      <c r="H17" s="699"/>
    </row>
    <row r="18" spans="2:8" ht="15.75">
      <c r="B18" s="49"/>
      <c r="C18"/>
      <c r="D18"/>
      <c r="E18"/>
      <c r="F18"/>
      <c r="G18"/>
      <c r="H18"/>
    </row>
    <row r="19" spans="2:8" ht="15.75">
      <c r="B19" s="49" t="str">
        <f>CONCATENATE("Whereas, ",(inputPrYr!D3)," provides essential services to district residents; and")</f>
        <v>Whereas, Rexford Cemetery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69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Rexford Cemetery that is our desire to notify the public of the possibility of increased property taxes to finance the 2012 Rexford Cemetery  budget as defined above.</v>
      </c>
      <c r="C23" s="700"/>
      <c r="D23" s="700"/>
      <c r="E23" s="700"/>
      <c r="F23" s="700"/>
      <c r="G23" s="700"/>
      <c r="H23" s="700"/>
    </row>
    <row r="24" spans="2:8" ht="15.75">
      <c r="B24" s="700"/>
      <c r="C24" s="700"/>
      <c r="D24" s="700"/>
      <c r="E24" s="700"/>
      <c r="F24" s="700"/>
      <c r="G24" s="700"/>
      <c r="H24" s="700"/>
    </row>
    <row r="25" spans="2:8" ht="15.75">
      <c r="B25" s="700"/>
      <c r="C25" s="700"/>
      <c r="D25" s="700"/>
      <c r="E25" s="700"/>
      <c r="F25" s="700"/>
      <c r="G25" s="700"/>
      <c r="H25" s="700"/>
    </row>
    <row r="26" spans="2:8" ht="15.75">
      <c r="B26" s="49"/>
      <c r="C26"/>
      <c r="D26"/>
      <c r="E26"/>
      <c r="F26"/>
      <c r="G26"/>
      <c r="H26"/>
    </row>
    <row r="27" spans="2:8" ht="15.75">
      <c r="B27" s="691" t="str">
        <f>CONCATENATE("Adopted this _________ day of ___________, ",inputPrYr!D11-1," by the ",(inputPrYr!D3)," District Board, ",(inputPrYr!D4),", State of Kansas.")</f>
        <v>Adopted this _________ day of ___________, 2011 by the Rexford Cemetery District Board, Thomas County, State of Kansas.</v>
      </c>
      <c r="C27" s="692"/>
      <c r="D27" s="692"/>
      <c r="E27" s="692"/>
      <c r="F27" s="692"/>
      <c r="G27" s="692"/>
      <c r="H27" s="692"/>
    </row>
    <row r="28" spans="2:8" ht="15.75">
      <c r="B28" s="692"/>
      <c r="C28" s="692"/>
      <c r="D28" s="692"/>
      <c r="E28" s="692"/>
      <c r="F28" s="692"/>
      <c r="G28" s="692"/>
      <c r="H28" s="692"/>
    </row>
    <row r="29" spans="2:8" ht="15.75">
      <c r="B29" s="45"/>
      <c r="C29"/>
      <c r="D29"/>
      <c r="E29"/>
      <c r="F29"/>
      <c r="G29"/>
      <c r="H29"/>
    </row>
    <row r="30" spans="2:8" ht="15.75">
      <c r="B30" s="45"/>
      <c r="C30"/>
      <c r="D30"/>
      <c r="E30"/>
      <c r="F30"/>
      <c r="G30"/>
      <c r="H30"/>
    </row>
    <row r="31" spans="2:8" ht="15.75">
      <c r="B31" s="46" t="str">
        <f>CONCATENATE(" ",(inputPrYr!D3)," District Board")</f>
        <v> Rexford Cemetery District Board</v>
      </c>
      <c r="C31"/>
      <c r="D31"/>
      <c r="E31"/>
      <c r="F31"/>
      <c r="G31"/>
      <c r="H31"/>
    </row>
    <row r="32" spans="2:8" ht="15.75">
      <c r="B32" s="45"/>
      <c r="C32"/>
      <c r="D32"/>
      <c r="E32"/>
      <c r="F32"/>
      <c r="G32"/>
      <c r="H32"/>
    </row>
    <row r="33" spans="2:8" ht="15.75">
      <c r="B33"/>
      <c r="C33"/>
      <c r="D33"/>
      <c r="E33" s="693" t="s">
        <v>133</v>
      </c>
      <c r="F33" s="693"/>
      <c r="G33" s="693"/>
      <c r="H33" s="693"/>
    </row>
    <row r="34" spans="2:8" ht="15.75">
      <c r="B34"/>
      <c r="C34"/>
      <c r="D34"/>
      <c r="E34" s="693" t="s">
        <v>136</v>
      </c>
      <c r="F34" s="693"/>
      <c r="G34" s="693"/>
      <c r="H34" s="693"/>
    </row>
    <row r="35" spans="2:8" ht="15.75">
      <c r="B35" s="45"/>
      <c r="C35"/>
      <c r="D35"/>
      <c r="E35" s="693"/>
      <c r="F35" s="693"/>
      <c r="G35" s="693"/>
      <c r="H35" s="693"/>
    </row>
    <row r="36" spans="2:8" ht="15.75">
      <c r="B36"/>
      <c r="C36"/>
      <c r="D36"/>
      <c r="E36" s="693" t="s">
        <v>133</v>
      </c>
      <c r="F36" s="693"/>
      <c r="G36" s="693"/>
      <c r="H36" s="693"/>
    </row>
    <row r="37" spans="2:8" ht="15.75">
      <c r="B37"/>
      <c r="C37"/>
      <c r="D37"/>
      <c r="E37" s="693" t="s">
        <v>137</v>
      </c>
      <c r="F37" s="693"/>
      <c r="G37" s="693"/>
      <c r="H37" s="693"/>
    </row>
    <row r="38" spans="2:8" ht="15.75">
      <c r="B38" s="45"/>
      <c r="C38"/>
      <c r="D38"/>
      <c r="E38" s="693"/>
      <c r="F38" s="693"/>
      <c r="G38" s="693"/>
      <c r="H38" s="693"/>
    </row>
    <row r="39" spans="2:8" ht="15.75">
      <c r="B39"/>
      <c r="C39"/>
      <c r="D39"/>
      <c r="E39" s="693" t="s">
        <v>133</v>
      </c>
      <c r="F39" s="693"/>
      <c r="G39" s="693"/>
      <c r="H39" s="693"/>
    </row>
    <row r="40" spans="2:8" ht="15.75">
      <c r="B40"/>
      <c r="C40"/>
      <c r="D40"/>
      <c r="E40" s="693" t="s">
        <v>138</v>
      </c>
      <c r="F40" s="693"/>
      <c r="G40" s="693"/>
      <c r="H40" s="693"/>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v>8</v>
      </c>
      <c r="F45" s="53"/>
      <c r="G45" s="53"/>
      <c r="H45" s="53"/>
    </row>
    <row r="46" spans="2:8" ht="15.75">
      <c r="B46" s="47" t="s">
        <v>134</v>
      </c>
      <c r="E46" s="701"/>
      <c r="F46" s="701"/>
      <c r="G46" s="701"/>
      <c r="H46" s="701"/>
    </row>
    <row r="47" spans="2:8" ht="15.75">
      <c r="B47" s="40"/>
      <c r="E47" s="701"/>
      <c r="F47" s="701"/>
      <c r="G47" s="701"/>
      <c r="H47" s="701"/>
    </row>
    <row r="48" spans="5:8" ht="15.75">
      <c r="E48" s="701"/>
      <c r="F48" s="701"/>
      <c r="G48" s="701"/>
      <c r="H48" s="701"/>
    </row>
    <row r="49" spans="5:8" ht="15.75">
      <c r="E49" s="701"/>
      <c r="F49" s="701"/>
      <c r="G49" s="701"/>
      <c r="H49" s="701"/>
    </row>
    <row r="50" spans="2:8" ht="15.75">
      <c r="B50" s="40"/>
      <c r="E50" s="701"/>
      <c r="F50" s="701"/>
      <c r="G50" s="701"/>
      <c r="H50" s="701"/>
    </row>
    <row r="51" ht="15.75">
      <c r="B51" s="42"/>
    </row>
    <row r="52" ht="15.75">
      <c r="B52" s="42"/>
    </row>
    <row r="53" ht="15.75">
      <c r="B53" s="42"/>
    </row>
  </sheetData>
  <sheetProtection/>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850446" r:id="rId1"/>
  </oleObjects>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356</v>
      </c>
      <c r="B3" s="419"/>
      <c r="C3" s="419"/>
      <c r="D3" s="419"/>
      <c r="E3" s="419"/>
      <c r="F3" s="419"/>
      <c r="G3" s="419"/>
      <c r="H3" s="419"/>
      <c r="I3" s="419"/>
      <c r="J3" s="419"/>
      <c r="K3" s="419"/>
      <c r="L3" s="419"/>
    </row>
    <row r="5" ht="15">
      <c r="A5" s="420" t="s">
        <v>357</v>
      </c>
    </row>
    <row r="6" ht="15">
      <c r="A6" s="420" t="str">
        <f>CONCATENATE(inputPrYr!D11-2," 'total expenditures' exceed your ",inputPrYr!D11-2," 'budget authority.'")</f>
        <v>2010 'total expenditures' exceed your 2010 'budget authority.'</v>
      </c>
    </row>
    <row r="7" ht="15">
      <c r="A7" s="420"/>
    </row>
    <row r="8" ht="15">
      <c r="A8" s="420" t="s">
        <v>358</v>
      </c>
    </row>
    <row r="9" ht="15">
      <c r="A9" s="420" t="s">
        <v>359</v>
      </c>
    </row>
    <row r="10" ht="15">
      <c r="A10" s="420" t="s">
        <v>360</v>
      </c>
    </row>
    <row r="11" ht="15">
      <c r="A11" s="420"/>
    </row>
    <row r="12" ht="15">
      <c r="A12" s="420"/>
    </row>
    <row r="13" ht="15">
      <c r="A13" s="421" t="s">
        <v>361</v>
      </c>
    </row>
    <row r="15" ht="15">
      <c r="A15" s="420" t="s">
        <v>362</v>
      </c>
    </row>
    <row r="16" ht="15">
      <c r="A16" s="420" t="str">
        <f>CONCATENATE("(i.e. an audit has not been completed, or the ",inputPrYr!D11," adopted")</f>
        <v>(i.e. an audit has not been completed, or the 2012 adopted</v>
      </c>
    </row>
    <row r="17" ht="15">
      <c r="A17" s="420" t="s">
        <v>363</v>
      </c>
    </row>
    <row r="18" ht="15">
      <c r="A18" s="420" t="s">
        <v>364</v>
      </c>
    </row>
    <row r="19" ht="15">
      <c r="A19" s="420" t="s">
        <v>365</v>
      </c>
    </row>
    <row r="21" ht="15">
      <c r="A21" s="421" t="s">
        <v>366</v>
      </c>
    </row>
    <row r="22" ht="15">
      <c r="A22" s="421"/>
    </row>
    <row r="23" ht="15">
      <c r="A23" s="420" t="s">
        <v>367</v>
      </c>
    </row>
    <row r="24" ht="15">
      <c r="A24" s="420" t="s">
        <v>368</v>
      </c>
    </row>
    <row r="25" ht="15">
      <c r="A25" s="420" t="str">
        <f>CONCATENATE("particular fund.  If your ",inputPrYr!D11-2," budget was amended, did you")</f>
        <v>particular fund.  If your 2010 budget was amended, did you</v>
      </c>
    </row>
    <row r="26" ht="15">
      <c r="A26" s="420" t="s">
        <v>369</v>
      </c>
    </row>
    <row r="27" ht="15">
      <c r="A27" s="420"/>
    </row>
    <row r="28" ht="15">
      <c r="A28" s="420" t="str">
        <f>CONCATENATE("Next, look to see if any of your ",inputPrYr!D11-2," expenditures can be")</f>
        <v>Next, look to see if any of your 2010 expenditures can be</v>
      </c>
    </row>
    <row r="29" ht="15">
      <c r="A29" s="420" t="s">
        <v>370</v>
      </c>
    </row>
    <row r="30" ht="15">
      <c r="A30" s="420" t="s">
        <v>371</v>
      </c>
    </row>
    <row r="31" ht="15">
      <c r="A31" s="420" t="s">
        <v>372</v>
      </c>
    </row>
    <row r="32" ht="15">
      <c r="A32" s="420"/>
    </row>
    <row r="33" ht="15">
      <c r="A33" s="420" t="str">
        <f>CONCATENATE("Additionally, do your ",inputPrYr!D11-2," receipts contain a reimbursement")</f>
        <v>Additionally, do your 2010 receipts contain a reimbursement</v>
      </c>
    </row>
    <row r="34" ht="15">
      <c r="A34" s="420" t="s">
        <v>373</v>
      </c>
    </row>
    <row r="35" ht="15">
      <c r="A35" s="420" t="s">
        <v>374</v>
      </c>
    </row>
    <row r="36" ht="15">
      <c r="A36" s="420"/>
    </row>
    <row r="37" ht="15">
      <c r="A37" s="420" t="s">
        <v>375</v>
      </c>
    </row>
    <row r="38" ht="15">
      <c r="A38" s="420" t="s">
        <v>376</v>
      </c>
    </row>
    <row r="39" ht="15">
      <c r="A39" s="420" t="s">
        <v>377</v>
      </c>
    </row>
    <row r="40" ht="15">
      <c r="A40" s="420"/>
    </row>
    <row r="41" ht="15">
      <c r="A41" s="421" t="s">
        <v>378</v>
      </c>
    </row>
    <row r="42" ht="15">
      <c r="A42" s="420"/>
    </row>
    <row r="43" ht="15">
      <c r="A43" s="420" t="s">
        <v>379</v>
      </c>
    </row>
    <row r="44" ht="15">
      <c r="A44" s="420" t="s">
        <v>380</v>
      </c>
    </row>
    <row r="45" ht="15">
      <c r="A45" s="420" t="s">
        <v>381</v>
      </c>
    </row>
    <row r="46" ht="15">
      <c r="A46" s="420" t="s">
        <v>382</v>
      </c>
    </row>
    <row r="47" ht="15">
      <c r="A47" s="420" t="s">
        <v>383</v>
      </c>
    </row>
    <row r="48" ht="15">
      <c r="A48" s="420" t="s">
        <v>384</v>
      </c>
    </row>
    <row r="49" ht="15">
      <c r="A49" s="420" t="s">
        <v>385</v>
      </c>
    </row>
    <row r="50" ht="15">
      <c r="A50" s="420" t="s">
        <v>386</v>
      </c>
    </row>
    <row r="51" ht="15">
      <c r="A51" s="420" t="s">
        <v>387</v>
      </c>
    </row>
    <row r="52" ht="15">
      <c r="A52" s="420" t="s">
        <v>388</v>
      </c>
    </row>
    <row r="53" ht="15">
      <c r="A53" s="420" t="s">
        <v>389</v>
      </c>
    </row>
    <row r="54" ht="15">
      <c r="A54" s="420" t="s">
        <v>390</v>
      </c>
    </row>
    <row r="55" ht="15">
      <c r="A55" s="420" t="s">
        <v>391</v>
      </c>
    </row>
    <row r="56" ht="15">
      <c r="A56" s="420"/>
    </row>
    <row r="57" ht="15">
      <c r="A57" s="420" t="s">
        <v>392</v>
      </c>
    </row>
    <row r="58" ht="15">
      <c r="A58" s="420" t="s">
        <v>393</v>
      </c>
    </row>
    <row r="59" ht="15">
      <c r="A59" s="420" t="s">
        <v>394</v>
      </c>
    </row>
    <row r="60" ht="15">
      <c r="A60" s="420"/>
    </row>
    <row r="61" ht="15">
      <c r="A61" s="421" t="str">
        <f>CONCATENATE("What if the ",inputPrYr!D11-2," financial records have been closed?")</f>
        <v>What if the 2010 financial records have been closed?</v>
      </c>
    </row>
    <row r="63" ht="15">
      <c r="A63" s="420" t="s">
        <v>395</v>
      </c>
    </row>
    <row r="64" ht="15">
      <c r="A64" s="420" t="str">
        <f>CONCATENATE("(i.e. an audit for ",inputPrYr!D11-2," has been completed, or the ",inputPrYr!D11)</f>
        <v>(i.e. an audit for 2010 has been completed, or the 2012</v>
      </c>
    </row>
    <row r="65" ht="15">
      <c r="A65" s="420" t="s">
        <v>396</v>
      </c>
    </row>
    <row r="66" ht="15">
      <c r="A66" s="420" t="s">
        <v>397</v>
      </c>
    </row>
    <row r="67" ht="15">
      <c r="A67" s="420"/>
    </row>
    <row r="68" ht="15">
      <c r="A68" s="420" t="s">
        <v>398</v>
      </c>
    </row>
    <row r="69" ht="15">
      <c r="A69" s="420" t="s">
        <v>399</v>
      </c>
    </row>
    <row r="70" ht="15">
      <c r="A70" s="420" t="s">
        <v>400</v>
      </c>
    </row>
    <row r="71" ht="15">
      <c r="A71" s="420"/>
    </row>
    <row r="72" ht="15">
      <c r="A72" s="420" t="s">
        <v>401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402</v>
      </c>
      <c r="B3" s="419"/>
      <c r="C3" s="419"/>
      <c r="D3" s="419"/>
      <c r="E3" s="419"/>
      <c r="F3" s="419"/>
      <c r="G3" s="419"/>
      <c r="H3" s="422"/>
      <c r="I3" s="422"/>
      <c r="J3" s="422"/>
    </row>
    <row r="5" ht="15">
      <c r="A5" s="420" t="s">
        <v>403</v>
      </c>
    </row>
    <row r="6" ht="15">
      <c r="A6" t="str">
        <f>CONCATENATE(inputPrYr!D11-2," expenditures show that you finished the year with a ")</f>
        <v>2010 expenditures show that you finished the year with a </v>
      </c>
    </row>
    <row r="7" ht="15">
      <c r="A7" t="s">
        <v>404</v>
      </c>
    </row>
    <row r="9" ht="15">
      <c r="A9" t="s">
        <v>405</v>
      </c>
    </row>
    <row r="10" ht="15">
      <c r="A10" t="s">
        <v>406</v>
      </c>
    </row>
    <row r="11" ht="15">
      <c r="A11" t="s">
        <v>407</v>
      </c>
    </row>
    <row r="13" ht="15">
      <c r="A13" s="421" t="s">
        <v>408</v>
      </c>
    </row>
    <row r="14" ht="15">
      <c r="A14" s="421"/>
    </row>
    <row r="15" ht="15">
      <c r="A15" s="420" t="s">
        <v>409</v>
      </c>
    </row>
    <row r="16" ht="15">
      <c r="A16" s="420" t="s">
        <v>410</v>
      </c>
    </row>
    <row r="17" ht="15">
      <c r="A17" s="420" t="s">
        <v>411</v>
      </c>
    </row>
    <row r="18" ht="15">
      <c r="A18" s="420"/>
    </row>
    <row r="19" ht="15">
      <c r="A19" s="421" t="s">
        <v>412</v>
      </c>
    </row>
    <row r="20" ht="15">
      <c r="A20" s="421"/>
    </row>
    <row r="21" ht="15">
      <c r="A21" s="420" t="s">
        <v>413</v>
      </c>
    </row>
    <row r="22" ht="15">
      <c r="A22" s="420" t="s">
        <v>414</v>
      </c>
    </row>
    <row r="23" ht="15">
      <c r="A23" s="420" t="s">
        <v>415</v>
      </c>
    </row>
    <row r="24" ht="15">
      <c r="A24" s="420"/>
    </row>
    <row r="25" ht="15">
      <c r="A25" s="421" t="s">
        <v>416</v>
      </c>
    </row>
    <row r="26" ht="15">
      <c r="A26" s="421"/>
    </row>
    <row r="27" ht="15">
      <c r="A27" s="420" t="s">
        <v>417</v>
      </c>
    </row>
    <row r="28" ht="15">
      <c r="A28" s="420" t="s">
        <v>418</v>
      </c>
    </row>
    <row r="29" ht="15">
      <c r="A29" s="420" t="s">
        <v>419</v>
      </c>
    </row>
    <row r="30" ht="15">
      <c r="A30" s="420"/>
    </row>
    <row r="31" ht="15">
      <c r="A31" s="421" t="s">
        <v>420</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421</v>
      </c>
      <c r="B35" s="420"/>
      <c r="C35" s="420"/>
      <c r="D35" s="420"/>
      <c r="E35" s="420"/>
      <c r="F35" s="420"/>
      <c r="G35" s="420"/>
      <c r="H35" s="420"/>
    </row>
    <row r="36" spans="1:8" ht="15">
      <c r="A36" s="420" t="s">
        <v>422</v>
      </c>
      <c r="B36" s="420"/>
      <c r="C36" s="420"/>
      <c r="D36" s="420"/>
      <c r="E36" s="420"/>
      <c r="F36" s="420"/>
      <c r="G36" s="420"/>
      <c r="H36" s="420"/>
    </row>
    <row r="37" spans="1:8" ht="15">
      <c r="A37" s="420" t="s">
        <v>423</v>
      </c>
      <c r="B37" s="420"/>
      <c r="C37" s="420"/>
      <c r="D37" s="420"/>
      <c r="E37" s="420"/>
      <c r="F37" s="420"/>
      <c r="G37" s="420"/>
      <c r="H37" s="420"/>
    </row>
    <row r="38" spans="1:8" ht="15">
      <c r="A38" s="420" t="s">
        <v>424</v>
      </c>
      <c r="B38" s="420"/>
      <c r="C38" s="420"/>
      <c r="D38" s="420"/>
      <c r="E38" s="420"/>
      <c r="F38" s="420"/>
      <c r="G38" s="420"/>
      <c r="H38" s="420"/>
    </row>
    <row r="39" spans="1:8" ht="15">
      <c r="A39" s="420" t="s">
        <v>425</v>
      </c>
      <c r="B39" s="420"/>
      <c r="C39" s="420"/>
      <c r="D39" s="420"/>
      <c r="E39" s="420"/>
      <c r="F39" s="420"/>
      <c r="G39" s="420"/>
      <c r="H39" s="420"/>
    </row>
    <row r="40" spans="1:8" ht="15">
      <c r="A40" s="420"/>
      <c r="B40" s="420"/>
      <c r="C40" s="420"/>
      <c r="D40" s="420"/>
      <c r="E40" s="420"/>
      <c r="F40" s="420"/>
      <c r="G40" s="420"/>
      <c r="H40" s="420"/>
    </row>
    <row r="41" spans="1:8" ht="15">
      <c r="A41" s="420" t="s">
        <v>426</v>
      </c>
      <c r="B41" s="420"/>
      <c r="C41" s="420"/>
      <c r="D41" s="420"/>
      <c r="E41" s="420"/>
      <c r="F41" s="420"/>
      <c r="G41" s="420"/>
      <c r="H41" s="420"/>
    </row>
    <row r="42" spans="1:8" ht="15">
      <c r="A42" s="420" t="s">
        <v>427</v>
      </c>
      <c r="B42" s="420"/>
      <c r="C42" s="420"/>
      <c r="D42" s="420"/>
      <c r="E42" s="420"/>
      <c r="F42" s="420"/>
      <c r="G42" s="420"/>
      <c r="H42" s="420"/>
    </row>
    <row r="43" spans="1:8" ht="15">
      <c r="A43" s="420" t="s">
        <v>428</v>
      </c>
      <c r="B43" s="420"/>
      <c r="C43" s="420"/>
      <c r="D43" s="420"/>
      <c r="E43" s="420"/>
      <c r="F43" s="420"/>
      <c r="G43" s="420"/>
      <c r="H43" s="420"/>
    </row>
    <row r="44" spans="1:8" ht="15">
      <c r="A44" s="420" t="s">
        <v>429</v>
      </c>
      <c r="B44" s="420"/>
      <c r="C44" s="420"/>
      <c r="D44" s="420"/>
      <c r="E44" s="420"/>
      <c r="F44" s="420"/>
      <c r="G44" s="420"/>
      <c r="H44" s="420"/>
    </row>
    <row r="45" spans="1:8" ht="15">
      <c r="A45" s="420"/>
      <c r="B45" s="420"/>
      <c r="C45" s="420"/>
      <c r="D45" s="420"/>
      <c r="E45" s="420"/>
      <c r="F45" s="420"/>
      <c r="G45" s="420"/>
      <c r="H45" s="420"/>
    </row>
    <row r="46" spans="1:8" ht="15">
      <c r="A46" s="420" t="s">
        <v>430</v>
      </c>
      <c r="B46" s="420"/>
      <c r="C46" s="420"/>
      <c r="D46" s="420"/>
      <c r="E46" s="420"/>
      <c r="F46" s="420"/>
      <c r="G46" s="420"/>
      <c r="H46" s="420"/>
    </row>
    <row r="47" spans="1:8" ht="15">
      <c r="A47" s="420" t="s">
        <v>431</v>
      </c>
      <c r="B47" s="420"/>
      <c r="C47" s="420"/>
      <c r="D47" s="420"/>
      <c r="E47" s="420"/>
      <c r="F47" s="420"/>
      <c r="G47" s="420"/>
      <c r="H47" s="420"/>
    </row>
    <row r="48" spans="1:8" ht="15">
      <c r="A48" s="420" t="s">
        <v>432</v>
      </c>
      <c r="B48" s="420"/>
      <c r="C48" s="420"/>
      <c r="D48" s="420"/>
      <c r="E48" s="420"/>
      <c r="F48" s="420"/>
      <c r="G48" s="420"/>
      <c r="H48" s="420"/>
    </row>
    <row r="49" spans="1:8" ht="15">
      <c r="A49" s="420" t="s">
        <v>433</v>
      </c>
      <c r="B49" s="420"/>
      <c r="C49" s="420"/>
      <c r="D49" s="420"/>
      <c r="E49" s="420"/>
      <c r="F49" s="420"/>
      <c r="G49" s="420"/>
      <c r="H49" s="420"/>
    </row>
    <row r="50" spans="1:8" ht="15">
      <c r="A50" s="420" t="s">
        <v>434</v>
      </c>
      <c r="B50" s="420"/>
      <c r="C50" s="420"/>
      <c r="D50" s="420"/>
      <c r="E50" s="420"/>
      <c r="F50" s="420"/>
      <c r="G50" s="420"/>
      <c r="H50" s="420"/>
    </row>
    <row r="51" spans="1:8" ht="15">
      <c r="A51" s="420"/>
      <c r="B51" s="420"/>
      <c r="C51" s="420"/>
      <c r="D51" s="420"/>
      <c r="E51" s="420"/>
      <c r="F51" s="420"/>
      <c r="G51" s="420"/>
      <c r="H51" s="420"/>
    </row>
    <row r="52" spans="1:8" ht="15">
      <c r="A52" s="421" t="s">
        <v>435</v>
      </c>
      <c r="B52" s="421"/>
      <c r="C52" s="421"/>
      <c r="D52" s="421"/>
      <c r="E52" s="421"/>
      <c r="F52" s="421"/>
      <c r="G52" s="421"/>
      <c r="H52" s="420"/>
    </row>
    <row r="53" spans="1:8" ht="15">
      <c r="A53" s="421" t="s">
        <v>436</v>
      </c>
      <c r="B53" s="421"/>
      <c r="C53" s="421"/>
      <c r="D53" s="421"/>
      <c r="E53" s="421"/>
      <c r="F53" s="421"/>
      <c r="G53" s="421"/>
      <c r="H53" s="420"/>
    </row>
    <row r="54" spans="1:8" ht="15">
      <c r="A54" s="420"/>
      <c r="B54" s="420"/>
      <c r="C54" s="420"/>
      <c r="D54" s="420"/>
      <c r="E54" s="420"/>
      <c r="F54" s="420"/>
      <c r="G54" s="420"/>
      <c r="H54" s="420"/>
    </row>
    <row r="55" spans="1:8" ht="15">
      <c r="A55" s="420" t="s">
        <v>437</v>
      </c>
      <c r="B55" s="420"/>
      <c r="C55" s="420"/>
      <c r="D55" s="420"/>
      <c r="E55" s="420"/>
      <c r="F55" s="420"/>
      <c r="G55" s="420"/>
      <c r="H55" s="420"/>
    </row>
    <row r="56" spans="1:8" ht="15">
      <c r="A56" s="420" t="s">
        <v>438</v>
      </c>
      <c r="B56" s="420"/>
      <c r="C56" s="420"/>
      <c r="D56" s="420"/>
      <c r="E56" s="420"/>
      <c r="F56" s="420"/>
      <c r="G56" s="420"/>
      <c r="H56" s="420"/>
    </row>
    <row r="57" spans="1:8" ht="15">
      <c r="A57" s="420" t="s">
        <v>439</v>
      </c>
      <c r="B57" s="420"/>
      <c r="C57" s="420"/>
      <c r="D57" s="420"/>
      <c r="E57" s="420"/>
      <c r="F57" s="420"/>
      <c r="G57" s="420"/>
      <c r="H57" s="420"/>
    </row>
    <row r="58" spans="1:8" ht="15">
      <c r="A58" s="420" t="s">
        <v>440</v>
      </c>
      <c r="B58" s="420"/>
      <c r="C58" s="420"/>
      <c r="D58" s="420"/>
      <c r="E58" s="420"/>
      <c r="F58" s="420"/>
      <c r="G58" s="420"/>
      <c r="H58" s="420"/>
    </row>
    <row r="59" spans="1:8" ht="15">
      <c r="A59" s="420"/>
      <c r="B59" s="420"/>
      <c r="C59" s="420"/>
      <c r="D59" s="420"/>
      <c r="E59" s="420"/>
      <c r="F59" s="420"/>
      <c r="G59" s="420"/>
      <c r="H59" s="420"/>
    </row>
    <row r="60" spans="1:8" ht="15">
      <c r="A60" s="420" t="s">
        <v>441</v>
      </c>
      <c r="B60" s="420"/>
      <c r="C60" s="420"/>
      <c r="D60" s="420"/>
      <c r="E60" s="420"/>
      <c r="F60" s="420"/>
      <c r="G60" s="420"/>
      <c r="H60" s="420"/>
    </row>
    <row r="61" spans="1:8" ht="15">
      <c r="A61" s="420" t="s">
        <v>442</v>
      </c>
      <c r="B61" s="420"/>
      <c r="C61" s="420"/>
      <c r="D61" s="420"/>
      <c r="E61" s="420"/>
      <c r="F61" s="420"/>
      <c r="G61" s="420"/>
      <c r="H61" s="420"/>
    </row>
    <row r="62" spans="1:8" ht="15">
      <c r="A62" s="420" t="s">
        <v>443</v>
      </c>
      <c r="B62" s="420"/>
      <c r="C62" s="420"/>
      <c r="D62" s="420"/>
      <c r="E62" s="420"/>
      <c r="F62" s="420"/>
      <c r="G62" s="420"/>
      <c r="H62" s="420"/>
    </row>
    <row r="63" spans="1:8" ht="15">
      <c r="A63" s="420" t="s">
        <v>444</v>
      </c>
      <c r="B63" s="420"/>
      <c r="C63" s="420"/>
      <c r="D63" s="420"/>
      <c r="E63" s="420"/>
      <c r="F63" s="420"/>
      <c r="G63" s="420"/>
      <c r="H63" s="420"/>
    </row>
    <row r="64" spans="1:8" ht="15">
      <c r="A64" s="420" t="s">
        <v>445</v>
      </c>
      <c r="B64" s="420"/>
      <c r="C64" s="420"/>
      <c r="D64" s="420"/>
      <c r="E64" s="420"/>
      <c r="F64" s="420"/>
      <c r="G64" s="420"/>
      <c r="H64" s="420"/>
    </row>
    <row r="65" spans="1:8" ht="15">
      <c r="A65" s="420" t="s">
        <v>446</v>
      </c>
      <c r="B65" s="420"/>
      <c r="C65" s="420"/>
      <c r="D65" s="420"/>
      <c r="E65" s="420"/>
      <c r="F65" s="420"/>
      <c r="G65" s="420"/>
      <c r="H65" s="420"/>
    </row>
    <row r="66" spans="1:8" ht="15">
      <c r="A66" s="420"/>
      <c r="B66" s="420"/>
      <c r="C66" s="420"/>
      <c r="D66" s="420"/>
      <c r="E66" s="420"/>
      <c r="F66" s="420"/>
      <c r="G66" s="420"/>
      <c r="H66" s="420"/>
    </row>
    <row r="67" spans="1:8" ht="15">
      <c r="A67" s="420" t="s">
        <v>447</v>
      </c>
      <c r="B67" s="420"/>
      <c r="C67" s="420"/>
      <c r="D67" s="420"/>
      <c r="E67" s="420"/>
      <c r="F67" s="420"/>
      <c r="G67" s="420"/>
      <c r="H67" s="420"/>
    </row>
    <row r="68" spans="1:8" ht="15">
      <c r="A68" s="420" t="s">
        <v>448</v>
      </c>
      <c r="B68" s="420"/>
      <c r="C68" s="420"/>
      <c r="D68" s="420"/>
      <c r="E68" s="420"/>
      <c r="F68" s="420"/>
      <c r="G68" s="420"/>
      <c r="H68" s="420"/>
    </row>
    <row r="69" spans="1:8" ht="15">
      <c r="A69" s="420" t="s">
        <v>449</v>
      </c>
      <c r="B69" s="420"/>
      <c r="C69" s="420"/>
      <c r="D69" s="420"/>
      <c r="E69" s="420"/>
      <c r="F69" s="420"/>
      <c r="G69" s="420"/>
      <c r="H69" s="420"/>
    </row>
    <row r="70" spans="1:8" ht="15">
      <c r="A70" s="420" t="s">
        <v>450</v>
      </c>
      <c r="B70" s="420"/>
      <c r="C70" s="420"/>
      <c r="D70" s="420"/>
      <c r="E70" s="420"/>
      <c r="F70" s="420"/>
      <c r="G70" s="420"/>
      <c r="H70" s="420"/>
    </row>
    <row r="71" spans="1:8" ht="15">
      <c r="A71" s="420" t="s">
        <v>451</v>
      </c>
      <c r="B71" s="420"/>
      <c r="C71" s="420"/>
      <c r="D71" s="420"/>
      <c r="E71" s="420"/>
      <c r="F71" s="420"/>
      <c r="G71" s="420"/>
      <c r="H71" s="420"/>
    </row>
    <row r="72" spans="1:8" ht="15">
      <c r="A72" s="420" t="s">
        <v>452</v>
      </c>
      <c r="B72" s="420"/>
      <c r="C72" s="420"/>
      <c r="D72" s="420"/>
      <c r="E72" s="420"/>
      <c r="F72" s="420"/>
      <c r="G72" s="420"/>
      <c r="H72" s="420"/>
    </row>
    <row r="73" spans="1:8" ht="15">
      <c r="A73" s="420" t="s">
        <v>453</v>
      </c>
      <c r="B73" s="420"/>
      <c r="C73" s="420"/>
      <c r="D73" s="420"/>
      <c r="E73" s="420"/>
      <c r="F73" s="420"/>
      <c r="G73" s="420"/>
      <c r="H73" s="420"/>
    </row>
    <row r="74" spans="1:8" ht="15">
      <c r="A74" s="420"/>
      <c r="B74" s="420"/>
      <c r="C74" s="420"/>
      <c r="D74" s="420"/>
      <c r="E74" s="420"/>
      <c r="F74" s="420"/>
      <c r="G74" s="420"/>
      <c r="H74" s="420"/>
    </row>
    <row r="75" spans="1:8" ht="15">
      <c r="A75" s="420" t="s">
        <v>454</v>
      </c>
      <c r="B75" s="420"/>
      <c r="C75" s="420"/>
      <c r="D75" s="420"/>
      <c r="E75" s="420"/>
      <c r="F75" s="420"/>
      <c r="G75" s="420"/>
      <c r="H75" s="420"/>
    </row>
    <row r="76" spans="1:8" ht="15">
      <c r="A76" s="420" t="s">
        <v>455</v>
      </c>
      <c r="B76" s="420"/>
      <c r="C76" s="420"/>
      <c r="D76" s="420"/>
      <c r="E76" s="420"/>
      <c r="F76" s="420"/>
      <c r="G76" s="420"/>
      <c r="H76" s="420"/>
    </row>
    <row r="77" spans="1:8" ht="15">
      <c r="A77" s="420" t="s">
        <v>456</v>
      </c>
      <c r="B77" s="420"/>
      <c r="C77" s="420"/>
      <c r="D77" s="420"/>
      <c r="E77" s="420"/>
      <c r="F77" s="420"/>
      <c r="G77" s="420"/>
      <c r="H77" s="420"/>
    </row>
    <row r="78" spans="1:8" ht="15">
      <c r="A78" s="420"/>
      <c r="B78" s="420"/>
      <c r="C78" s="420"/>
      <c r="D78" s="420"/>
      <c r="E78" s="420"/>
      <c r="F78" s="420"/>
      <c r="G78" s="420"/>
      <c r="H78" s="420"/>
    </row>
    <row r="79" ht="15">
      <c r="A79" s="420" t="s">
        <v>401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357</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458</v>
      </c>
      <c r="I7" s="419"/>
      <c r="J7" s="419"/>
      <c r="K7" s="419"/>
      <c r="L7" s="419"/>
    </row>
    <row r="8" spans="1:12" ht="15">
      <c r="A8" s="420"/>
      <c r="I8" s="419"/>
      <c r="J8" s="419"/>
      <c r="K8" s="419"/>
      <c r="L8" s="419"/>
    </row>
    <row r="9" spans="1:12" ht="15">
      <c r="A9" s="420" t="s">
        <v>459</v>
      </c>
      <c r="I9" s="419"/>
      <c r="J9" s="419"/>
      <c r="K9" s="419"/>
      <c r="L9" s="419"/>
    </row>
    <row r="10" spans="1:12" ht="15">
      <c r="A10" s="420" t="s">
        <v>460</v>
      </c>
      <c r="I10" s="419"/>
      <c r="J10" s="419"/>
      <c r="K10" s="419"/>
      <c r="L10" s="419"/>
    </row>
    <row r="11" spans="1:12" ht="15">
      <c r="A11" s="420" t="s">
        <v>461</v>
      </c>
      <c r="I11" s="419"/>
      <c r="J11" s="419"/>
      <c r="K11" s="419"/>
      <c r="L11" s="419"/>
    </row>
    <row r="12" spans="1:12" ht="15">
      <c r="A12" s="420" t="s">
        <v>462</v>
      </c>
      <c r="I12" s="419"/>
      <c r="J12" s="419"/>
      <c r="K12" s="419"/>
      <c r="L12" s="419"/>
    </row>
    <row r="13" spans="1:12" ht="15">
      <c r="A13" s="420" t="s">
        <v>463</v>
      </c>
      <c r="I13" s="419"/>
      <c r="J13" s="419"/>
      <c r="K13" s="419"/>
      <c r="L13" s="419"/>
    </row>
    <row r="14" spans="1:12" ht="15">
      <c r="A14" s="419"/>
      <c r="B14" s="419"/>
      <c r="C14" s="419"/>
      <c r="D14" s="419"/>
      <c r="E14" s="419"/>
      <c r="F14" s="419"/>
      <c r="G14" s="419"/>
      <c r="H14" s="419"/>
      <c r="I14" s="419"/>
      <c r="J14" s="419"/>
      <c r="K14" s="419"/>
      <c r="L14" s="419"/>
    </row>
    <row r="15" ht="15">
      <c r="A15" s="421" t="s">
        <v>464</v>
      </c>
    </row>
    <row r="16" ht="15">
      <c r="A16" s="421" t="s">
        <v>465</v>
      </c>
    </row>
    <row r="17" ht="15">
      <c r="A17" s="421"/>
    </row>
    <row r="18" spans="1:7" ht="15">
      <c r="A18" s="420" t="s">
        <v>466</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467</v>
      </c>
      <c r="B20" s="420"/>
      <c r="C20" s="420"/>
      <c r="D20" s="420"/>
      <c r="E20" s="420"/>
      <c r="F20" s="420"/>
      <c r="G20" s="420"/>
    </row>
    <row r="21" spans="1:7" ht="15">
      <c r="A21" s="420" t="s">
        <v>468</v>
      </c>
      <c r="B21" s="420"/>
      <c r="C21" s="420"/>
      <c r="D21" s="420"/>
      <c r="E21" s="420"/>
      <c r="F21" s="420"/>
      <c r="G21" s="420"/>
    </row>
    <row r="22" ht="15">
      <c r="A22" s="420"/>
    </row>
    <row r="23" ht="15">
      <c r="A23" s="421" t="s">
        <v>469</v>
      </c>
    </row>
    <row r="24" ht="15">
      <c r="A24" s="421"/>
    </row>
    <row r="25" ht="15">
      <c r="A25" s="420" t="s">
        <v>470</v>
      </c>
    </row>
    <row r="26" spans="1:6" ht="15">
      <c r="A26" s="420" t="s">
        <v>471</v>
      </c>
      <c r="B26" s="420"/>
      <c r="C26" s="420"/>
      <c r="D26" s="420"/>
      <c r="E26" s="420"/>
      <c r="F26" s="420"/>
    </row>
    <row r="27" spans="1:6" ht="15">
      <c r="A27" s="420" t="s">
        <v>472</v>
      </c>
      <c r="B27" s="420"/>
      <c r="C27" s="420"/>
      <c r="D27" s="420"/>
      <c r="E27" s="420"/>
      <c r="F27" s="420"/>
    </row>
    <row r="28" spans="1:6" ht="15">
      <c r="A28" s="420" t="s">
        <v>473</v>
      </c>
      <c r="B28" s="420"/>
      <c r="C28" s="420"/>
      <c r="D28" s="420"/>
      <c r="E28" s="420"/>
      <c r="F28" s="420"/>
    </row>
    <row r="29" spans="1:6" ht="15">
      <c r="A29" s="420"/>
      <c r="B29" s="420"/>
      <c r="C29" s="420"/>
      <c r="D29" s="420"/>
      <c r="E29" s="420"/>
      <c r="F29" s="420"/>
    </row>
    <row r="30" spans="1:7" ht="15">
      <c r="A30" s="421" t="s">
        <v>474</v>
      </c>
      <c r="B30" s="421"/>
      <c r="C30" s="421"/>
      <c r="D30" s="421"/>
      <c r="E30" s="421"/>
      <c r="F30" s="421"/>
      <c r="G30" s="421"/>
    </row>
    <row r="31" spans="1:7" ht="15">
      <c r="A31" s="421" t="s">
        <v>475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476</v>
      </c>
      <c r="B34" s="420"/>
      <c r="C34" s="420"/>
      <c r="D34" s="420"/>
      <c r="E34" s="420"/>
      <c r="F34" s="420"/>
    </row>
    <row r="35" spans="1:6" ht="15">
      <c r="A35" s="424" t="s">
        <v>371</v>
      </c>
      <c r="B35" s="420"/>
      <c r="C35" s="420"/>
      <c r="D35" s="420"/>
      <c r="E35" s="420"/>
      <c r="F35" s="420"/>
    </row>
    <row r="36" spans="1:6" ht="15">
      <c r="A36" s="424" t="s">
        <v>372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373</v>
      </c>
      <c r="B39" s="420"/>
      <c r="C39" s="420"/>
      <c r="D39" s="420"/>
      <c r="E39" s="420"/>
      <c r="F39" s="420"/>
    </row>
    <row r="40" spans="1:6" ht="15">
      <c r="A40" s="424" t="s">
        <v>374</v>
      </c>
      <c r="B40" s="420"/>
      <c r="C40" s="420"/>
      <c r="D40" s="420"/>
      <c r="E40" s="420"/>
      <c r="F40" s="420"/>
    </row>
    <row r="41" spans="1:6" ht="15">
      <c r="A41" s="424"/>
      <c r="B41" s="420"/>
      <c r="C41" s="420"/>
      <c r="D41" s="420"/>
      <c r="E41" s="420"/>
      <c r="F41" s="420"/>
    </row>
    <row r="42" spans="1:6" ht="15">
      <c r="A42" s="424" t="s">
        <v>477</v>
      </c>
      <c r="B42" s="420"/>
      <c r="C42" s="420"/>
      <c r="D42" s="420"/>
      <c r="E42" s="420"/>
      <c r="F42" s="420"/>
    </row>
    <row r="43" spans="1:6" ht="15">
      <c r="A43" s="424" t="s">
        <v>478</v>
      </c>
      <c r="B43" s="420"/>
      <c r="C43" s="420"/>
      <c r="D43" s="420"/>
      <c r="E43" s="420"/>
      <c r="F43" s="420"/>
    </row>
    <row r="44" spans="1:6" ht="15">
      <c r="A44" s="424" t="s">
        <v>479</v>
      </c>
      <c r="B44" s="420"/>
      <c r="C44" s="420"/>
      <c r="D44" s="420"/>
      <c r="E44" s="420"/>
      <c r="F44" s="420"/>
    </row>
    <row r="45" spans="1:6" ht="15">
      <c r="A45" s="424" t="s">
        <v>480</v>
      </c>
      <c r="B45" s="420"/>
      <c r="C45" s="420"/>
      <c r="D45" s="420"/>
      <c r="E45" s="420"/>
      <c r="F45" s="420"/>
    </row>
    <row r="46" spans="1:6" ht="15">
      <c r="A46" s="424" t="s">
        <v>481</v>
      </c>
      <c r="B46" s="420"/>
      <c r="C46" s="420"/>
      <c r="D46" s="420"/>
      <c r="E46" s="420"/>
      <c r="F46" s="420"/>
    </row>
    <row r="47" spans="1:6" ht="15">
      <c r="A47" s="424"/>
      <c r="B47" s="420"/>
      <c r="C47" s="420"/>
      <c r="D47" s="420"/>
      <c r="E47" s="420"/>
      <c r="F47" s="420"/>
    </row>
    <row r="48" spans="1:6" ht="15">
      <c r="A48" s="425" t="s">
        <v>482</v>
      </c>
      <c r="B48" s="420"/>
      <c r="C48" s="420"/>
      <c r="D48" s="420"/>
      <c r="E48" s="420"/>
      <c r="F48" s="420"/>
    </row>
    <row r="49" spans="1:6" ht="15">
      <c r="A49" s="425" t="s">
        <v>483</v>
      </c>
      <c r="B49" s="420"/>
      <c r="C49" s="420"/>
      <c r="D49" s="420"/>
      <c r="E49" s="420"/>
      <c r="F49" s="420"/>
    </row>
    <row r="50" spans="1:6" ht="15">
      <c r="A50" s="425" t="s">
        <v>484</v>
      </c>
      <c r="B50" s="420"/>
      <c r="C50" s="420"/>
      <c r="D50" s="420"/>
      <c r="E50" s="420"/>
      <c r="F50" s="420"/>
    </row>
    <row r="51" ht="15">
      <c r="A51" s="425" t="s">
        <v>485</v>
      </c>
    </row>
    <row r="52" ht="15">
      <c r="A52" s="425" t="s">
        <v>486</v>
      </c>
    </row>
    <row r="53" ht="15">
      <c r="A53" s="425" t="s">
        <v>487</v>
      </c>
    </row>
    <row r="55" ht="15">
      <c r="A55" s="420" t="s">
        <v>488</v>
      </c>
    </row>
    <row r="56" ht="15">
      <c r="A56" s="420" t="s">
        <v>489</v>
      </c>
    </row>
    <row r="57" ht="15">
      <c r="A57" s="420" t="s">
        <v>490</v>
      </c>
    </row>
    <row r="58" ht="15">
      <c r="A58" s="420" t="s">
        <v>491</v>
      </c>
    </row>
    <row r="59" ht="15">
      <c r="A59" s="420" t="s">
        <v>492</v>
      </c>
    </row>
    <row r="60" ht="15">
      <c r="A60" s="420" t="s">
        <v>493</v>
      </c>
    </row>
    <row r="62" ht="15">
      <c r="A62" s="420" t="s">
        <v>401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3">
      <selection activeCell="A1" sqref="A1"/>
    </sheetView>
  </sheetViews>
  <sheetFormatPr defaultColWidth="8.796875" defaultRowHeight="15"/>
  <cols>
    <col min="1" max="1" width="71.296875" style="0" customWidth="1"/>
  </cols>
  <sheetData>
    <row r="3" spans="1:7" ht="15">
      <c r="A3" s="419" t="s">
        <v>494</v>
      </c>
      <c r="B3" s="419"/>
      <c r="C3" s="419"/>
      <c r="D3" s="419"/>
      <c r="E3" s="419"/>
      <c r="F3" s="419"/>
      <c r="G3" s="419"/>
    </row>
    <row r="4" spans="1:7" ht="15">
      <c r="A4" s="419"/>
      <c r="B4" s="419"/>
      <c r="C4" s="419"/>
      <c r="D4" s="419"/>
      <c r="E4" s="419"/>
      <c r="F4" s="419"/>
      <c r="G4" s="419"/>
    </row>
    <row r="5" ht="15">
      <c r="A5" s="420" t="s">
        <v>403</v>
      </c>
    </row>
    <row r="6" ht="15">
      <c r="A6" s="420" t="str">
        <f>CONCATENATE(inputPrYr!D11-1," estimated expenditures show that at the end of this year")</f>
        <v>2011 estimated expenditures show that at the end of this year</v>
      </c>
    </row>
    <row r="7" ht="15">
      <c r="A7" s="420" t="s">
        <v>495</v>
      </c>
    </row>
    <row r="8" ht="15">
      <c r="A8" s="420" t="s">
        <v>496</v>
      </c>
    </row>
    <row r="10" ht="15">
      <c r="A10" t="s">
        <v>405</v>
      </c>
    </row>
    <row r="11" ht="15">
      <c r="A11" t="s">
        <v>406</v>
      </c>
    </row>
    <row r="12" ht="15">
      <c r="A12" t="s">
        <v>407</v>
      </c>
    </row>
    <row r="13" spans="1:7" ht="15">
      <c r="A13" s="419"/>
      <c r="B13" s="419"/>
      <c r="C13" s="419"/>
      <c r="D13" s="419"/>
      <c r="E13" s="419"/>
      <c r="F13" s="419"/>
      <c r="G13" s="419"/>
    </row>
    <row r="14" ht="15">
      <c r="A14" s="421" t="s">
        <v>497</v>
      </c>
    </row>
    <row r="15" ht="15">
      <c r="A15" s="420"/>
    </row>
    <row r="16" ht="15">
      <c r="A16" s="420" t="s">
        <v>498</v>
      </c>
    </row>
    <row r="17" ht="15">
      <c r="A17" s="420" t="s">
        <v>499</v>
      </c>
    </row>
    <row r="18" ht="15">
      <c r="A18" s="420" t="s">
        <v>500</v>
      </c>
    </row>
    <row r="19" ht="15">
      <c r="A19" s="420"/>
    </row>
    <row r="20" ht="15">
      <c r="A20" s="420" t="s">
        <v>501</v>
      </c>
    </row>
    <row r="21" ht="15">
      <c r="A21" s="420" t="s">
        <v>502</v>
      </c>
    </row>
    <row r="22" ht="15">
      <c r="A22" s="420" t="s">
        <v>503</v>
      </c>
    </row>
    <row r="23" ht="15">
      <c r="A23" s="420" t="s">
        <v>504</v>
      </c>
    </row>
    <row r="24" ht="15">
      <c r="A24" s="420"/>
    </row>
    <row r="25" ht="15">
      <c r="A25" s="421" t="s">
        <v>469</v>
      </c>
    </row>
    <row r="26" ht="15">
      <c r="A26" s="421"/>
    </row>
    <row r="27" ht="15">
      <c r="A27" s="420" t="s">
        <v>470</v>
      </c>
    </row>
    <row r="28" spans="1:6" ht="15">
      <c r="A28" s="420" t="s">
        <v>471</v>
      </c>
      <c r="B28" s="420"/>
      <c r="C28" s="420"/>
      <c r="D28" s="420"/>
      <c r="E28" s="420"/>
      <c r="F28" s="420"/>
    </row>
    <row r="29" spans="1:6" ht="15">
      <c r="A29" s="420" t="s">
        <v>472</v>
      </c>
      <c r="B29" s="420"/>
      <c r="C29" s="420"/>
      <c r="D29" s="420"/>
      <c r="E29" s="420"/>
      <c r="F29" s="420"/>
    </row>
    <row r="30" spans="1:6" ht="15">
      <c r="A30" s="420" t="s">
        <v>473</v>
      </c>
      <c r="B30" s="420"/>
      <c r="C30" s="420"/>
      <c r="D30" s="420"/>
      <c r="E30" s="420"/>
      <c r="F30" s="420"/>
    </row>
    <row r="31" ht="15">
      <c r="A31" s="420"/>
    </row>
    <row r="32" spans="1:7" ht="15">
      <c r="A32" s="421" t="s">
        <v>474</v>
      </c>
      <c r="B32" s="421"/>
      <c r="C32" s="421"/>
      <c r="D32" s="421"/>
      <c r="E32" s="421"/>
      <c r="F32" s="421"/>
      <c r="G32" s="421"/>
    </row>
    <row r="33" spans="1:7" ht="15">
      <c r="A33" s="421" t="s">
        <v>475</v>
      </c>
      <c r="B33" s="421"/>
      <c r="C33" s="421"/>
      <c r="D33" s="421"/>
      <c r="E33" s="421"/>
      <c r="F33" s="421"/>
      <c r="G33" s="421"/>
    </row>
    <row r="34" spans="1:7" ht="15">
      <c r="A34" s="421"/>
      <c r="B34" s="421"/>
      <c r="C34" s="421"/>
      <c r="D34" s="421"/>
      <c r="E34" s="421"/>
      <c r="F34" s="421"/>
      <c r="G34" s="421"/>
    </row>
    <row r="35" spans="1:7" ht="15">
      <c r="A35" s="420" t="s">
        <v>505</v>
      </c>
      <c r="B35" s="420"/>
      <c r="C35" s="420"/>
      <c r="D35" s="420"/>
      <c r="E35" s="420"/>
      <c r="F35" s="420"/>
      <c r="G35" s="420"/>
    </row>
    <row r="36" spans="1:7" ht="15">
      <c r="A36" s="420" t="s">
        <v>506</v>
      </c>
      <c r="B36" s="420"/>
      <c r="C36" s="420"/>
      <c r="D36" s="420"/>
      <c r="E36" s="420"/>
      <c r="F36" s="420"/>
      <c r="G36" s="420"/>
    </row>
    <row r="37" spans="1:7" ht="15">
      <c r="A37" s="420" t="s">
        <v>507</v>
      </c>
      <c r="B37" s="420"/>
      <c r="C37" s="420"/>
      <c r="D37" s="420"/>
      <c r="E37" s="420"/>
      <c r="F37" s="420"/>
      <c r="G37" s="420"/>
    </row>
    <row r="38" spans="1:7" ht="15">
      <c r="A38" s="420" t="s">
        <v>508</v>
      </c>
      <c r="B38" s="420"/>
      <c r="C38" s="420"/>
      <c r="D38" s="420"/>
      <c r="E38" s="420"/>
      <c r="F38" s="420"/>
      <c r="G38" s="420"/>
    </row>
    <row r="39" spans="1:7" ht="15">
      <c r="A39" s="420" t="s">
        <v>509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476</v>
      </c>
      <c r="B42" s="420"/>
      <c r="C42" s="420"/>
      <c r="D42" s="420"/>
      <c r="E42" s="420"/>
      <c r="F42" s="420"/>
    </row>
    <row r="43" spans="1:6" ht="15">
      <c r="A43" s="424" t="s">
        <v>371</v>
      </c>
      <c r="B43" s="420"/>
      <c r="C43" s="420"/>
      <c r="D43" s="420"/>
      <c r="E43" s="420"/>
      <c r="F43" s="420"/>
    </row>
    <row r="44" spans="1:6" ht="15">
      <c r="A44" s="424" t="s">
        <v>372</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373</v>
      </c>
      <c r="B47" s="420"/>
      <c r="C47" s="420"/>
      <c r="D47" s="420"/>
      <c r="E47" s="420"/>
      <c r="F47" s="420"/>
    </row>
    <row r="48" spans="1:6" ht="15">
      <c r="A48" s="424" t="s">
        <v>374</v>
      </c>
      <c r="B48" s="420"/>
      <c r="C48" s="420"/>
      <c r="D48" s="420"/>
      <c r="E48" s="420"/>
      <c r="F48" s="420"/>
    </row>
    <row r="49" spans="1:7" ht="15">
      <c r="A49" s="420"/>
      <c r="B49" s="420"/>
      <c r="C49" s="420"/>
      <c r="D49" s="420"/>
      <c r="E49" s="420"/>
      <c r="F49" s="420"/>
      <c r="G49" s="420"/>
    </row>
    <row r="50" spans="1:7" ht="15">
      <c r="A50" s="420" t="s">
        <v>430</v>
      </c>
      <c r="B50" s="420"/>
      <c r="C50" s="420"/>
      <c r="D50" s="420"/>
      <c r="E50" s="420"/>
      <c r="F50" s="420"/>
      <c r="G50" s="420"/>
    </row>
    <row r="51" spans="1:7" ht="15">
      <c r="A51" s="420" t="s">
        <v>431</v>
      </c>
      <c r="B51" s="420"/>
      <c r="C51" s="420"/>
      <c r="D51" s="420"/>
      <c r="E51" s="420"/>
      <c r="F51" s="420"/>
      <c r="G51" s="420"/>
    </row>
    <row r="52" spans="1:7" ht="15">
      <c r="A52" s="420" t="s">
        <v>432</v>
      </c>
      <c r="B52" s="420"/>
      <c r="C52" s="420"/>
      <c r="D52" s="420"/>
      <c r="E52" s="420"/>
      <c r="F52" s="420"/>
      <c r="G52" s="420"/>
    </row>
    <row r="53" spans="1:7" ht="15">
      <c r="A53" s="420" t="s">
        <v>433</v>
      </c>
      <c r="B53" s="420"/>
      <c r="C53" s="420"/>
      <c r="D53" s="420"/>
      <c r="E53" s="420"/>
      <c r="F53" s="420"/>
      <c r="G53" s="420"/>
    </row>
    <row r="54" spans="1:7" ht="15">
      <c r="A54" s="420" t="s">
        <v>434</v>
      </c>
      <c r="B54" s="420"/>
      <c r="C54" s="420"/>
      <c r="D54" s="420"/>
      <c r="E54" s="420"/>
      <c r="F54" s="420"/>
      <c r="G54" s="420"/>
    </row>
    <row r="55" spans="1:7" ht="15">
      <c r="A55" s="420"/>
      <c r="B55" s="420"/>
      <c r="C55" s="420"/>
      <c r="D55" s="420"/>
      <c r="E55" s="420"/>
      <c r="F55" s="420"/>
      <c r="G55" s="420"/>
    </row>
    <row r="56" spans="1:6" ht="15">
      <c r="A56" s="424" t="s">
        <v>510</v>
      </c>
      <c r="B56" s="420"/>
      <c r="C56" s="420"/>
      <c r="D56" s="420"/>
      <c r="E56" s="420"/>
      <c r="F56" s="420"/>
    </row>
    <row r="57" spans="1:6" ht="15">
      <c r="A57" s="424" t="s">
        <v>511</v>
      </c>
      <c r="B57" s="420"/>
      <c r="C57" s="420"/>
      <c r="D57" s="420"/>
      <c r="E57" s="420"/>
      <c r="F57" s="420"/>
    </row>
    <row r="58" spans="1:6" ht="15">
      <c r="A58" s="424" t="s">
        <v>512</v>
      </c>
      <c r="B58" s="420"/>
      <c r="C58" s="420"/>
      <c r="D58" s="420"/>
      <c r="E58" s="420"/>
      <c r="F58" s="420"/>
    </row>
    <row r="59" spans="1:6" ht="15">
      <c r="A59" s="424"/>
      <c r="B59" s="420"/>
      <c r="C59" s="420"/>
      <c r="D59" s="420"/>
      <c r="E59" s="420"/>
      <c r="F59" s="420"/>
    </row>
    <row r="60" spans="1:7" ht="15">
      <c r="A60" s="420" t="s">
        <v>513</v>
      </c>
      <c r="B60" s="420"/>
      <c r="C60" s="420"/>
      <c r="D60" s="420"/>
      <c r="E60" s="420"/>
      <c r="F60" s="420"/>
      <c r="G60" s="420"/>
    </row>
    <row r="61" spans="1:7" ht="15">
      <c r="A61" s="420" t="s">
        <v>514</v>
      </c>
      <c r="B61" s="420"/>
      <c r="C61" s="420"/>
      <c r="D61" s="420"/>
      <c r="E61" s="420"/>
      <c r="F61" s="420"/>
      <c r="G61" s="420"/>
    </row>
    <row r="62" spans="1:7" ht="15">
      <c r="A62" s="420" t="s">
        <v>515</v>
      </c>
      <c r="B62" s="420"/>
      <c r="C62" s="420"/>
      <c r="D62" s="420"/>
      <c r="E62" s="420"/>
      <c r="F62" s="420"/>
      <c r="G62" s="420"/>
    </row>
    <row r="63" spans="1:7" ht="15">
      <c r="A63" s="420" t="s">
        <v>516</v>
      </c>
      <c r="B63" s="420"/>
      <c r="C63" s="420"/>
      <c r="D63" s="420"/>
      <c r="E63" s="420"/>
      <c r="F63" s="420"/>
      <c r="G63" s="420"/>
    </row>
    <row r="64" spans="1:7" ht="15">
      <c r="A64" s="420" t="s">
        <v>517</v>
      </c>
      <c r="B64" s="420"/>
      <c r="C64" s="420"/>
      <c r="D64" s="420"/>
      <c r="E64" s="420"/>
      <c r="F64" s="420"/>
      <c r="G64" s="420"/>
    </row>
    <row r="66" spans="1:6" ht="15">
      <c r="A66" s="424" t="s">
        <v>477</v>
      </c>
      <c r="B66" s="420"/>
      <c r="C66" s="420"/>
      <c r="D66" s="420"/>
      <c r="E66" s="420"/>
      <c r="F66" s="420"/>
    </row>
    <row r="67" spans="1:6" ht="15">
      <c r="A67" s="424" t="s">
        <v>478</v>
      </c>
      <c r="B67" s="420"/>
      <c r="C67" s="420"/>
      <c r="D67" s="420"/>
      <c r="E67" s="420"/>
      <c r="F67" s="420"/>
    </row>
    <row r="68" spans="1:6" ht="15">
      <c r="A68" s="424" t="s">
        <v>479</v>
      </c>
      <c r="B68" s="420"/>
      <c r="C68" s="420"/>
      <c r="D68" s="420"/>
      <c r="E68" s="420"/>
      <c r="F68" s="420"/>
    </row>
    <row r="69" spans="1:6" ht="15">
      <c r="A69" s="424" t="s">
        <v>480</v>
      </c>
      <c r="B69" s="420"/>
      <c r="C69" s="420"/>
      <c r="D69" s="420"/>
      <c r="E69" s="420"/>
      <c r="F69" s="420"/>
    </row>
    <row r="70" spans="1:6" ht="15">
      <c r="A70" s="424" t="s">
        <v>481</v>
      </c>
      <c r="B70" s="420"/>
      <c r="C70" s="420"/>
      <c r="D70" s="420"/>
      <c r="E70" s="420"/>
      <c r="F70" s="420"/>
    </row>
    <row r="71" ht="15">
      <c r="A71" s="420"/>
    </row>
    <row r="72" ht="15">
      <c r="A72" s="420" t="s">
        <v>401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518</v>
      </c>
      <c r="B3" s="419"/>
      <c r="C3" s="419"/>
      <c r="D3" s="419"/>
      <c r="E3" s="419"/>
      <c r="F3" s="419"/>
      <c r="G3" s="419"/>
    </row>
    <row r="4" spans="1:7" ht="15">
      <c r="A4" s="419" t="s">
        <v>519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357</v>
      </c>
    </row>
    <row r="8" ht="15">
      <c r="A8" s="420" t="str">
        <f>CONCATENATE("estimated ",inputPrYr!D11," 'total expenditures' exceed your ",inputPrYr!D11,"")</f>
        <v>estimated 2012 'total expenditures' exceed your 2012</v>
      </c>
    </row>
    <row r="9" ht="15">
      <c r="A9" s="423" t="s">
        <v>520</v>
      </c>
    </row>
    <row r="10" ht="15">
      <c r="A10" s="420"/>
    </row>
    <row r="11" ht="15">
      <c r="A11" s="420" t="s">
        <v>521</v>
      </c>
    </row>
    <row r="12" ht="15">
      <c r="A12" s="420" t="s">
        <v>522</v>
      </c>
    </row>
    <row r="13" ht="15">
      <c r="A13" s="420" t="s">
        <v>523</v>
      </c>
    </row>
    <row r="14" ht="15">
      <c r="A14" s="420"/>
    </row>
    <row r="15" ht="15">
      <c r="A15" s="421" t="s">
        <v>524</v>
      </c>
    </row>
    <row r="16" spans="1:7" ht="15">
      <c r="A16" s="419"/>
      <c r="B16" s="419"/>
      <c r="C16" s="419"/>
      <c r="D16" s="419"/>
      <c r="E16" s="419"/>
      <c r="F16" s="419"/>
      <c r="G16" s="419"/>
    </row>
    <row r="17" spans="1:8" ht="15">
      <c r="A17" s="426" t="s">
        <v>525</v>
      </c>
      <c r="B17" s="427"/>
      <c r="C17" s="427"/>
      <c r="D17" s="427"/>
      <c r="E17" s="427"/>
      <c r="F17" s="427"/>
      <c r="G17" s="427"/>
      <c r="H17" s="427"/>
    </row>
    <row r="18" spans="1:7" ht="15">
      <c r="A18" s="420" t="s">
        <v>526</v>
      </c>
      <c r="B18" s="428"/>
      <c r="C18" s="428"/>
      <c r="D18" s="428"/>
      <c r="E18" s="428"/>
      <c r="F18" s="428"/>
      <c r="G18" s="428"/>
    </row>
    <row r="19" ht="15">
      <c r="A19" s="420" t="s">
        <v>527</v>
      </c>
    </row>
    <row r="20" ht="15">
      <c r="A20" s="420" t="s">
        <v>528</v>
      </c>
    </row>
    <row r="22" ht="15">
      <c r="A22" s="421" t="s">
        <v>529</v>
      </c>
    </row>
    <row r="24" ht="15">
      <c r="A24" s="420" t="s">
        <v>530</v>
      </c>
    </row>
    <row r="25" ht="15">
      <c r="A25" s="420" t="s">
        <v>531</v>
      </c>
    </row>
    <row r="26" ht="15">
      <c r="A26" s="420" t="s">
        <v>532</v>
      </c>
    </row>
    <row r="28" ht="15">
      <c r="A28" s="421" t="s">
        <v>533</v>
      </c>
    </row>
    <row r="30" ht="15">
      <c r="A30" t="s">
        <v>534</v>
      </c>
    </row>
    <row r="31" ht="15">
      <c r="A31" t="s">
        <v>535</v>
      </c>
    </row>
    <row r="32" ht="15">
      <c r="A32" t="s">
        <v>536</v>
      </c>
    </row>
    <row r="33" ht="15">
      <c r="A33" s="420" t="s">
        <v>537</v>
      </c>
    </row>
    <row r="35" ht="15">
      <c r="A35" t="s">
        <v>538</v>
      </c>
    </row>
    <row r="36" ht="15">
      <c r="A36" t="s">
        <v>539</v>
      </c>
    </row>
    <row r="37" ht="15">
      <c r="A37" t="s">
        <v>540</v>
      </c>
    </row>
    <row r="38" ht="15">
      <c r="A38" t="s">
        <v>541</v>
      </c>
    </row>
    <row r="40" ht="15">
      <c r="A40" t="s">
        <v>542</v>
      </c>
    </row>
    <row r="41" ht="15">
      <c r="A41" t="s">
        <v>543</v>
      </c>
    </row>
    <row r="42" ht="15">
      <c r="A42" t="s">
        <v>544</v>
      </c>
    </row>
    <row r="43" ht="15">
      <c r="A43" t="s">
        <v>545</v>
      </c>
    </row>
    <row r="44" ht="15">
      <c r="A44" t="s">
        <v>546</v>
      </c>
    </row>
    <row r="45" ht="15">
      <c r="A45" t="s">
        <v>547</v>
      </c>
    </row>
    <row r="47" ht="15">
      <c r="A47" t="s">
        <v>548</v>
      </c>
    </row>
    <row r="48" ht="15">
      <c r="A48" t="s">
        <v>549</v>
      </c>
    </row>
    <row r="49" ht="15">
      <c r="A49" s="420" t="s">
        <v>550</v>
      </c>
    </row>
    <row r="50" ht="15">
      <c r="A50" s="420" t="s">
        <v>551</v>
      </c>
    </row>
    <row r="52" ht="15">
      <c r="A52" t="s">
        <v>401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02" t="s">
        <v>603</v>
      </c>
      <c r="C6" s="703"/>
      <c r="D6" s="703"/>
      <c r="E6" s="703"/>
      <c r="F6" s="703"/>
      <c r="G6" s="703"/>
      <c r="H6" s="703"/>
      <c r="I6" s="703"/>
      <c r="J6" s="703"/>
      <c r="K6" s="703"/>
      <c r="L6" s="473"/>
    </row>
    <row r="7" spans="1:12" ht="40.5" customHeight="1">
      <c r="A7" s="470"/>
      <c r="B7" s="704" t="s">
        <v>604</v>
      </c>
      <c r="C7" s="705"/>
      <c r="D7" s="705"/>
      <c r="E7" s="705"/>
      <c r="F7" s="705"/>
      <c r="G7" s="705"/>
      <c r="H7" s="705"/>
      <c r="I7" s="705"/>
      <c r="J7" s="705"/>
      <c r="K7" s="705"/>
      <c r="L7" s="470"/>
    </row>
    <row r="8" spans="1:12" ht="14.25">
      <c r="A8" s="470"/>
      <c r="B8" s="706" t="s">
        <v>605</v>
      </c>
      <c r="C8" s="706"/>
      <c r="D8" s="706"/>
      <c r="E8" s="706"/>
      <c r="F8" s="706"/>
      <c r="G8" s="706"/>
      <c r="H8" s="706"/>
      <c r="I8" s="706"/>
      <c r="J8" s="706"/>
      <c r="K8" s="706"/>
      <c r="L8" s="470"/>
    </row>
    <row r="9" spans="1:12" ht="14.25">
      <c r="A9" s="470"/>
      <c r="L9" s="470"/>
    </row>
    <row r="10" spans="1:12" ht="14.25">
      <c r="A10" s="470"/>
      <c r="B10" s="706" t="s">
        <v>606</v>
      </c>
      <c r="C10" s="706"/>
      <c r="D10" s="706"/>
      <c r="E10" s="706"/>
      <c r="F10" s="706"/>
      <c r="G10" s="706"/>
      <c r="H10" s="706"/>
      <c r="I10" s="706"/>
      <c r="J10" s="706"/>
      <c r="K10" s="706"/>
      <c r="L10" s="470"/>
    </row>
    <row r="11" spans="1:12" ht="14.25">
      <c r="A11" s="470"/>
      <c r="B11" s="474"/>
      <c r="C11" s="474"/>
      <c r="D11" s="474"/>
      <c r="E11" s="474"/>
      <c r="F11" s="474"/>
      <c r="G11" s="474"/>
      <c r="H11" s="474"/>
      <c r="I11" s="474"/>
      <c r="J11" s="474"/>
      <c r="K11" s="474"/>
      <c r="L11" s="470"/>
    </row>
    <row r="12" spans="1:12" ht="32.25" customHeight="1">
      <c r="A12" s="470"/>
      <c r="B12" s="707" t="s">
        <v>607</v>
      </c>
      <c r="C12" s="707"/>
      <c r="D12" s="707"/>
      <c r="E12" s="707"/>
      <c r="F12" s="707"/>
      <c r="G12" s="707"/>
      <c r="H12" s="707"/>
      <c r="I12" s="707"/>
      <c r="J12" s="707"/>
      <c r="K12" s="707"/>
      <c r="L12" s="470"/>
    </row>
    <row r="13" spans="1:12" ht="14.25">
      <c r="A13" s="470"/>
      <c r="L13" s="470"/>
    </row>
    <row r="14" spans="1:12" ht="14.25">
      <c r="A14" s="470"/>
      <c r="B14" s="475" t="s">
        <v>608</v>
      </c>
      <c r="L14" s="470"/>
    </row>
    <row r="15" spans="1:12" ht="14.25">
      <c r="A15" s="470"/>
      <c r="L15" s="470"/>
    </row>
    <row r="16" spans="1:12" ht="14.25">
      <c r="A16" s="470"/>
      <c r="B16" s="472" t="s">
        <v>609</v>
      </c>
      <c r="L16" s="470"/>
    </row>
    <row r="17" spans="1:12" ht="14.25">
      <c r="A17" s="470"/>
      <c r="B17" s="472" t="s">
        <v>610</v>
      </c>
      <c r="L17" s="470"/>
    </row>
    <row r="18" spans="1:12" ht="14.25">
      <c r="A18" s="470"/>
      <c r="L18" s="470"/>
    </row>
    <row r="19" spans="1:12" ht="14.25">
      <c r="A19" s="470"/>
      <c r="B19" s="475" t="s">
        <v>611</v>
      </c>
      <c r="L19" s="470"/>
    </row>
    <row r="20" spans="1:12" ht="14.25">
      <c r="A20" s="470"/>
      <c r="B20" s="475"/>
      <c r="L20" s="470"/>
    </row>
    <row r="21" spans="1:12" ht="14.25">
      <c r="A21" s="470"/>
      <c r="B21" s="472" t="s">
        <v>612</v>
      </c>
      <c r="L21" s="470"/>
    </row>
    <row r="22" spans="1:12" ht="14.25">
      <c r="A22" s="470"/>
      <c r="L22" s="470"/>
    </row>
    <row r="23" spans="1:12" ht="14.25">
      <c r="A23" s="470"/>
      <c r="B23" s="472" t="s">
        <v>613</v>
      </c>
      <c r="E23" s="472" t="s">
        <v>614</v>
      </c>
      <c r="F23" s="708">
        <v>133685008</v>
      </c>
      <c r="G23" s="708"/>
      <c r="L23" s="470"/>
    </row>
    <row r="24" spans="1:12" ht="14.25">
      <c r="A24" s="470"/>
      <c r="L24" s="470"/>
    </row>
    <row r="25" spans="1:12" ht="14.25">
      <c r="A25" s="470"/>
      <c r="C25" s="709">
        <f>F23</f>
        <v>133685008</v>
      </c>
      <c r="D25" s="709"/>
      <c r="E25" s="472" t="s">
        <v>615</v>
      </c>
      <c r="F25" s="476">
        <v>1000</v>
      </c>
      <c r="G25" s="476" t="s">
        <v>614</v>
      </c>
      <c r="H25" s="477">
        <f>F23/F25</f>
        <v>133685.008</v>
      </c>
      <c r="L25" s="470"/>
    </row>
    <row r="26" spans="1:12" ht="15" thickBot="1">
      <c r="A26" s="470"/>
      <c r="L26" s="470"/>
    </row>
    <row r="27" spans="1:12" ht="14.25">
      <c r="A27" s="470"/>
      <c r="B27" s="478" t="s">
        <v>608</v>
      </c>
      <c r="C27" s="479"/>
      <c r="D27" s="479"/>
      <c r="E27" s="479"/>
      <c r="F27" s="479"/>
      <c r="G27" s="479"/>
      <c r="H27" s="479"/>
      <c r="I27" s="479"/>
      <c r="J27" s="479"/>
      <c r="K27" s="480"/>
      <c r="L27" s="470"/>
    </row>
    <row r="28" spans="1:12" ht="14.25">
      <c r="A28" s="470"/>
      <c r="B28" s="481">
        <f>F23</f>
        <v>133685008</v>
      </c>
      <c r="C28" s="482" t="s">
        <v>616</v>
      </c>
      <c r="D28" s="482"/>
      <c r="E28" s="482" t="s">
        <v>615</v>
      </c>
      <c r="F28" s="483">
        <v>1000</v>
      </c>
      <c r="G28" s="483" t="s">
        <v>614</v>
      </c>
      <c r="H28" s="484">
        <f>B28/F28</f>
        <v>133685.008</v>
      </c>
      <c r="I28" s="482" t="s">
        <v>617</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0" t="s">
        <v>604</v>
      </c>
      <c r="C30" s="710"/>
      <c r="D30" s="710"/>
      <c r="E30" s="710"/>
      <c r="F30" s="710"/>
      <c r="G30" s="710"/>
      <c r="H30" s="710"/>
      <c r="I30" s="710"/>
      <c r="J30" s="710"/>
      <c r="K30" s="710"/>
      <c r="L30" s="470"/>
    </row>
    <row r="31" spans="1:12" ht="14.25">
      <c r="A31" s="470"/>
      <c r="B31" s="706" t="s">
        <v>618</v>
      </c>
      <c r="C31" s="706"/>
      <c r="D31" s="706"/>
      <c r="E31" s="706"/>
      <c r="F31" s="706"/>
      <c r="G31" s="706"/>
      <c r="H31" s="706"/>
      <c r="I31" s="706"/>
      <c r="J31" s="706"/>
      <c r="K31" s="706"/>
      <c r="L31" s="470"/>
    </row>
    <row r="32" spans="1:12" ht="14.25">
      <c r="A32" s="470"/>
      <c r="L32" s="470"/>
    </row>
    <row r="33" spans="1:12" ht="14.25">
      <c r="A33" s="470"/>
      <c r="B33" s="706" t="s">
        <v>619</v>
      </c>
      <c r="C33" s="706"/>
      <c r="D33" s="706"/>
      <c r="E33" s="706"/>
      <c r="F33" s="706"/>
      <c r="G33" s="706"/>
      <c r="H33" s="706"/>
      <c r="I33" s="706"/>
      <c r="J33" s="706"/>
      <c r="K33" s="706"/>
      <c r="L33" s="470"/>
    </row>
    <row r="34" spans="1:12" ht="14.25">
      <c r="A34" s="470"/>
      <c r="L34" s="470"/>
    </row>
    <row r="35" spans="1:12" ht="89.25" customHeight="1">
      <c r="A35" s="470"/>
      <c r="B35" s="707" t="s">
        <v>620</v>
      </c>
      <c r="C35" s="711"/>
      <c r="D35" s="711"/>
      <c r="E35" s="711"/>
      <c r="F35" s="711"/>
      <c r="G35" s="711"/>
      <c r="H35" s="711"/>
      <c r="I35" s="711"/>
      <c r="J35" s="711"/>
      <c r="K35" s="711"/>
      <c r="L35" s="470"/>
    </row>
    <row r="36" spans="1:12" ht="14.25">
      <c r="A36" s="470"/>
      <c r="L36" s="470"/>
    </row>
    <row r="37" spans="1:12" ht="14.25">
      <c r="A37" s="470"/>
      <c r="B37" s="475" t="s">
        <v>621</v>
      </c>
      <c r="L37" s="470"/>
    </row>
    <row r="38" spans="1:12" ht="14.25">
      <c r="A38" s="470"/>
      <c r="L38" s="470"/>
    </row>
    <row r="39" spans="1:12" ht="14.25">
      <c r="A39" s="470"/>
      <c r="B39" s="472" t="s">
        <v>622</v>
      </c>
      <c r="L39" s="470"/>
    </row>
    <row r="40" spans="1:12" ht="14.25">
      <c r="A40" s="470"/>
      <c r="L40" s="470"/>
    </row>
    <row r="41" spans="1:12" ht="14.25">
      <c r="A41" s="470"/>
      <c r="C41" s="712">
        <v>3120000</v>
      </c>
      <c r="D41" s="712"/>
      <c r="E41" s="472" t="s">
        <v>615</v>
      </c>
      <c r="F41" s="476">
        <v>1000</v>
      </c>
      <c r="G41" s="476" t="s">
        <v>614</v>
      </c>
      <c r="H41" s="489">
        <f>C41/F41</f>
        <v>3120</v>
      </c>
      <c r="L41" s="470"/>
    </row>
    <row r="42" spans="1:12" ht="14.25">
      <c r="A42" s="470"/>
      <c r="L42" s="470"/>
    </row>
    <row r="43" spans="1:12" ht="14.25">
      <c r="A43" s="470"/>
      <c r="B43" s="472" t="s">
        <v>623</v>
      </c>
      <c r="L43" s="470"/>
    </row>
    <row r="44" spans="1:12" ht="14.25">
      <c r="A44" s="470"/>
      <c r="L44" s="470"/>
    </row>
    <row r="45" spans="1:12" ht="14.25">
      <c r="A45" s="470"/>
      <c r="B45" s="472" t="s">
        <v>624</v>
      </c>
      <c r="L45" s="470"/>
    </row>
    <row r="46" spans="1:12" ht="15" thickBot="1">
      <c r="A46" s="470"/>
      <c r="L46" s="470"/>
    </row>
    <row r="47" spans="1:12" ht="14.25">
      <c r="A47" s="470"/>
      <c r="B47" s="490" t="s">
        <v>608</v>
      </c>
      <c r="C47" s="479"/>
      <c r="D47" s="479"/>
      <c r="E47" s="479"/>
      <c r="F47" s="479"/>
      <c r="G47" s="479"/>
      <c r="H47" s="479"/>
      <c r="I47" s="479"/>
      <c r="J47" s="479"/>
      <c r="K47" s="480"/>
      <c r="L47" s="470"/>
    </row>
    <row r="48" spans="1:12" ht="14.25">
      <c r="A48" s="470"/>
      <c r="B48" s="708">
        <v>133685008</v>
      </c>
      <c r="C48" s="708"/>
      <c r="D48" s="482" t="s">
        <v>625</v>
      </c>
      <c r="E48" s="482" t="s">
        <v>615</v>
      </c>
      <c r="F48" s="483">
        <v>1000</v>
      </c>
      <c r="G48" s="483" t="s">
        <v>614</v>
      </c>
      <c r="H48" s="484">
        <f>B48/F48</f>
        <v>133685.008</v>
      </c>
      <c r="I48" s="482" t="s">
        <v>626</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627</v>
      </c>
      <c r="D50" s="482"/>
      <c r="E50" s="482" t="s">
        <v>615</v>
      </c>
      <c r="F50" s="484">
        <f>H48</f>
        <v>133685.008</v>
      </c>
      <c r="G50" s="713" t="s">
        <v>628</v>
      </c>
      <c r="H50" s="714"/>
      <c r="I50" s="483" t="s">
        <v>614</v>
      </c>
      <c r="J50" s="493">
        <f>B50/F50</f>
        <v>52.8690023342034</v>
      </c>
      <c r="K50" s="485"/>
      <c r="L50" s="470"/>
    </row>
    <row r="51" spans="1:15" ht="15" thickBot="1">
      <c r="A51" s="470"/>
      <c r="B51" s="486"/>
      <c r="C51" s="487"/>
      <c r="D51" s="487"/>
      <c r="E51" s="487"/>
      <c r="F51" s="487"/>
      <c r="G51" s="487"/>
      <c r="H51" s="487"/>
      <c r="I51" s="715" t="s">
        <v>629</v>
      </c>
      <c r="J51" s="715"/>
      <c r="K51" s="716"/>
      <c r="L51" s="470"/>
      <c r="O51" s="494"/>
    </row>
    <row r="52" spans="1:12" ht="40.5" customHeight="1">
      <c r="A52" s="470"/>
      <c r="B52" s="710" t="s">
        <v>604</v>
      </c>
      <c r="C52" s="710"/>
      <c r="D52" s="710"/>
      <c r="E52" s="710"/>
      <c r="F52" s="710"/>
      <c r="G52" s="710"/>
      <c r="H52" s="710"/>
      <c r="I52" s="710"/>
      <c r="J52" s="710"/>
      <c r="K52" s="710"/>
      <c r="L52" s="470"/>
    </row>
    <row r="53" spans="1:12" ht="14.25">
      <c r="A53" s="470"/>
      <c r="B53" s="706" t="s">
        <v>630</v>
      </c>
      <c r="C53" s="706"/>
      <c r="D53" s="706"/>
      <c r="E53" s="706"/>
      <c r="F53" s="706"/>
      <c r="G53" s="706"/>
      <c r="H53" s="706"/>
      <c r="I53" s="706"/>
      <c r="J53" s="706"/>
      <c r="K53" s="706"/>
      <c r="L53" s="470"/>
    </row>
    <row r="54" spans="1:12" ht="14.25">
      <c r="A54" s="470"/>
      <c r="B54" s="474"/>
      <c r="C54" s="474"/>
      <c r="D54" s="474"/>
      <c r="E54" s="474"/>
      <c r="F54" s="474"/>
      <c r="G54" s="474"/>
      <c r="H54" s="474"/>
      <c r="I54" s="474"/>
      <c r="J54" s="474"/>
      <c r="K54" s="474"/>
      <c r="L54" s="470"/>
    </row>
    <row r="55" spans="1:12" ht="14.25">
      <c r="A55" s="470"/>
      <c r="B55" s="702" t="s">
        <v>631</v>
      </c>
      <c r="C55" s="702"/>
      <c r="D55" s="702"/>
      <c r="E55" s="702"/>
      <c r="F55" s="702"/>
      <c r="G55" s="702"/>
      <c r="H55" s="702"/>
      <c r="I55" s="702"/>
      <c r="J55" s="702"/>
      <c r="K55" s="702"/>
      <c r="L55" s="470"/>
    </row>
    <row r="56" spans="1:12" ht="15" customHeight="1">
      <c r="A56" s="470"/>
      <c r="L56" s="470"/>
    </row>
    <row r="57" spans="1:24" ht="74.25" customHeight="1">
      <c r="A57" s="470"/>
      <c r="B57" s="707" t="s">
        <v>632</v>
      </c>
      <c r="C57" s="711"/>
      <c r="D57" s="711"/>
      <c r="E57" s="711"/>
      <c r="F57" s="711"/>
      <c r="G57" s="711"/>
      <c r="H57" s="711"/>
      <c r="I57" s="711"/>
      <c r="J57" s="711"/>
      <c r="K57" s="711"/>
      <c r="L57" s="470"/>
      <c r="M57" s="495"/>
      <c r="N57" s="496"/>
      <c r="O57" s="496"/>
      <c r="P57" s="496"/>
      <c r="Q57" s="496"/>
      <c r="R57" s="496"/>
      <c r="S57" s="496"/>
      <c r="T57" s="496"/>
      <c r="U57" s="496"/>
      <c r="V57" s="496"/>
      <c r="W57" s="496"/>
      <c r="X57" s="496"/>
    </row>
    <row r="58" spans="1:24" ht="15" customHeight="1">
      <c r="A58" s="470"/>
      <c r="B58" s="707"/>
      <c r="C58" s="711"/>
      <c r="D58" s="711"/>
      <c r="E58" s="711"/>
      <c r="F58" s="711"/>
      <c r="G58" s="711"/>
      <c r="H58" s="711"/>
      <c r="I58" s="711"/>
      <c r="J58" s="711"/>
      <c r="K58" s="711"/>
      <c r="L58" s="470"/>
      <c r="M58" s="495"/>
      <c r="N58" s="496"/>
      <c r="O58" s="496"/>
      <c r="P58" s="496"/>
      <c r="Q58" s="496"/>
      <c r="R58" s="496"/>
      <c r="S58" s="496"/>
      <c r="T58" s="496"/>
      <c r="U58" s="496"/>
      <c r="V58" s="496"/>
      <c r="W58" s="496"/>
      <c r="X58" s="496"/>
    </row>
    <row r="59" spans="1:24" ht="14.25">
      <c r="A59" s="470"/>
      <c r="B59" s="475" t="s">
        <v>621</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633</v>
      </c>
      <c r="L61" s="470"/>
      <c r="M61" s="496"/>
      <c r="N61" s="496"/>
      <c r="O61" s="496"/>
      <c r="P61" s="496"/>
      <c r="Q61" s="496"/>
      <c r="R61" s="496"/>
      <c r="S61" s="496"/>
      <c r="T61" s="496"/>
      <c r="U61" s="496"/>
      <c r="V61" s="496"/>
      <c r="W61" s="496"/>
      <c r="X61" s="496"/>
    </row>
    <row r="62" spans="1:24" ht="14.25">
      <c r="A62" s="470"/>
      <c r="B62" s="472" t="s">
        <v>634</v>
      </c>
      <c r="L62" s="470"/>
      <c r="M62" s="496"/>
      <c r="N62" s="496"/>
      <c r="O62" s="496"/>
      <c r="P62" s="496"/>
      <c r="Q62" s="496"/>
      <c r="R62" s="496"/>
      <c r="S62" s="496"/>
      <c r="T62" s="496"/>
      <c r="U62" s="496"/>
      <c r="V62" s="496"/>
      <c r="W62" s="496"/>
      <c r="X62" s="496"/>
    </row>
    <row r="63" spans="1:24" ht="14.25">
      <c r="A63" s="470"/>
      <c r="B63" s="472" t="s">
        <v>635</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636</v>
      </c>
      <c r="L65" s="470"/>
      <c r="M65" s="496"/>
      <c r="N65" s="496"/>
      <c r="O65" s="496"/>
      <c r="P65" s="496"/>
      <c r="Q65" s="496"/>
      <c r="R65" s="496"/>
      <c r="S65" s="496"/>
      <c r="T65" s="496"/>
      <c r="U65" s="496"/>
      <c r="V65" s="496"/>
      <c r="W65" s="496"/>
      <c r="X65" s="496"/>
    </row>
    <row r="66" spans="1:24" ht="14.25">
      <c r="A66" s="470"/>
      <c r="B66" s="472" t="s">
        <v>637</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638</v>
      </c>
      <c r="L68" s="470"/>
      <c r="M68" s="497"/>
      <c r="N68" s="498"/>
      <c r="O68" s="498"/>
      <c r="P68" s="498"/>
      <c r="Q68" s="498"/>
      <c r="R68" s="498"/>
      <c r="S68" s="498"/>
      <c r="T68" s="498"/>
      <c r="U68" s="498"/>
      <c r="V68" s="498"/>
      <c r="W68" s="498"/>
      <c r="X68" s="496"/>
    </row>
    <row r="69" spans="1:24" ht="14.25">
      <c r="A69" s="470"/>
      <c r="B69" s="472" t="s">
        <v>639</v>
      </c>
      <c r="L69" s="470"/>
      <c r="M69" s="496"/>
      <c r="N69" s="496"/>
      <c r="O69" s="496"/>
      <c r="P69" s="496"/>
      <c r="Q69" s="496"/>
      <c r="R69" s="496"/>
      <c r="S69" s="496"/>
      <c r="T69" s="496"/>
      <c r="U69" s="496"/>
      <c r="V69" s="496"/>
      <c r="W69" s="496"/>
      <c r="X69" s="496"/>
    </row>
    <row r="70" spans="1:24" ht="14.25">
      <c r="A70" s="470"/>
      <c r="B70" s="472" t="s">
        <v>640</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608</v>
      </c>
      <c r="C72" s="479"/>
      <c r="D72" s="479"/>
      <c r="E72" s="479"/>
      <c r="F72" s="479"/>
      <c r="G72" s="479"/>
      <c r="H72" s="479"/>
      <c r="I72" s="479"/>
      <c r="J72" s="479"/>
      <c r="K72" s="480"/>
      <c r="L72" s="499"/>
    </row>
    <row r="73" spans="1:12" ht="14.25">
      <c r="A73" s="470"/>
      <c r="B73" s="491"/>
      <c r="C73" s="482" t="s">
        <v>616</v>
      </c>
      <c r="D73" s="482"/>
      <c r="E73" s="482"/>
      <c r="F73" s="482"/>
      <c r="G73" s="482"/>
      <c r="H73" s="482"/>
      <c r="I73" s="482"/>
      <c r="J73" s="482"/>
      <c r="K73" s="485"/>
      <c r="L73" s="499"/>
    </row>
    <row r="74" spans="1:12" ht="14.25">
      <c r="A74" s="470"/>
      <c r="B74" s="491" t="s">
        <v>641</v>
      </c>
      <c r="C74" s="708">
        <v>133685008</v>
      </c>
      <c r="D74" s="708"/>
      <c r="E74" s="483" t="s">
        <v>615</v>
      </c>
      <c r="F74" s="483">
        <v>1000</v>
      </c>
      <c r="G74" s="483" t="s">
        <v>614</v>
      </c>
      <c r="H74" s="500">
        <f>C74/F74</f>
        <v>133685.008</v>
      </c>
      <c r="I74" s="482" t="s">
        <v>642</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643</v>
      </c>
      <c r="D76" s="482"/>
      <c r="E76" s="483"/>
      <c r="F76" s="482" t="s">
        <v>642</v>
      </c>
      <c r="G76" s="482"/>
      <c r="H76" s="482"/>
      <c r="I76" s="482"/>
      <c r="J76" s="482"/>
      <c r="K76" s="485"/>
      <c r="L76" s="499"/>
    </row>
    <row r="77" spans="1:12" ht="14.25">
      <c r="A77" s="470"/>
      <c r="B77" s="491" t="s">
        <v>644</v>
      </c>
      <c r="C77" s="708">
        <v>5000</v>
      </c>
      <c r="D77" s="708"/>
      <c r="E77" s="483" t="s">
        <v>615</v>
      </c>
      <c r="F77" s="500">
        <f>H74</f>
        <v>133685.008</v>
      </c>
      <c r="G77" s="483" t="s">
        <v>614</v>
      </c>
      <c r="H77" s="493">
        <f>C77/F77</f>
        <v>0.03740135169083432</v>
      </c>
      <c r="I77" s="482" t="s">
        <v>645</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646</v>
      </c>
      <c r="D79" s="502"/>
      <c r="E79" s="503"/>
      <c r="F79" s="502"/>
      <c r="G79" s="502"/>
      <c r="H79" s="502"/>
      <c r="I79" s="502"/>
      <c r="J79" s="502"/>
      <c r="K79" s="504"/>
      <c r="L79" s="499"/>
    </row>
    <row r="80" spans="1:12" ht="14.25">
      <c r="A80" s="470"/>
      <c r="B80" s="491" t="s">
        <v>647</v>
      </c>
      <c r="C80" s="708">
        <v>100000</v>
      </c>
      <c r="D80" s="708"/>
      <c r="E80" s="483" t="s">
        <v>21</v>
      </c>
      <c r="F80" s="483">
        <v>0.115</v>
      </c>
      <c r="G80" s="483" t="s">
        <v>614</v>
      </c>
      <c r="H80" s="500">
        <f>C80*F80</f>
        <v>11500</v>
      </c>
      <c r="I80" s="482" t="s">
        <v>648</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649</v>
      </c>
      <c r="D82" s="502"/>
      <c r="E82" s="503"/>
      <c r="F82" s="502" t="s">
        <v>645</v>
      </c>
      <c r="G82" s="502"/>
      <c r="H82" s="502"/>
      <c r="I82" s="502"/>
      <c r="J82" s="502" t="s">
        <v>650</v>
      </c>
      <c r="K82" s="504"/>
      <c r="L82" s="499"/>
    </row>
    <row r="83" spans="1:12" ht="14.25">
      <c r="A83" s="470"/>
      <c r="B83" s="491" t="s">
        <v>651</v>
      </c>
      <c r="C83" s="717">
        <f>H80</f>
        <v>11500</v>
      </c>
      <c r="D83" s="717"/>
      <c r="E83" s="483" t="s">
        <v>21</v>
      </c>
      <c r="F83" s="493">
        <f>H77</f>
        <v>0.03740135169083432</v>
      </c>
      <c r="G83" s="483" t="s">
        <v>615</v>
      </c>
      <c r="H83" s="483">
        <v>1000</v>
      </c>
      <c r="I83" s="483" t="s">
        <v>614</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0" t="s">
        <v>604</v>
      </c>
      <c r="C85" s="710"/>
      <c r="D85" s="710"/>
      <c r="E85" s="710"/>
      <c r="F85" s="710"/>
      <c r="G85" s="710"/>
      <c r="H85" s="710"/>
      <c r="I85" s="710"/>
      <c r="J85" s="710"/>
      <c r="K85" s="710"/>
      <c r="L85" s="470"/>
    </row>
    <row r="86" spans="1:12" ht="14.25">
      <c r="A86" s="470"/>
      <c r="B86" s="702" t="s">
        <v>652</v>
      </c>
      <c r="C86" s="702"/>
      <c r="D86" s="702"/>
      <c r="E86" s="702"/>
      <c r="F86" s="702"/>
      <c r="G86" s="702"/>
      <c r="H86" s="702"/>
      <c r="I86" s="702"/>
      <c r="J86" s="702"/>
      <c r="K86" s="702"/>
      <c r="L86" s="470"/>
    </row>
    <row r="87" spans="1:12" ht="14.25">
      <c r="A87" s="470"/>
      <c r="B87" s="510"/>
      <c r="C87" s="510"/>
      <c r="D87" s="510"/>
      <c r="E87" s="510"/>
      <c r="F87" s="510"/>
      <c r="G87" s="510"/>
      <c r="H87" s="510"/>
      <c r="I87" s="510"/>
      <c r="J87" s="510"/>
      <c r="K87" s="510"/>
      <c r="L87" s="470"/>
    </row>
    <row r="88" spans="1:12" ht="14.25">
      <c r="A88" s="470"/>
      <c r="B88" s="702" t="s">
        <v>653</v>
      </c>
      <c r="C88" s="702"/>
      <c r="D88" s="702"/>
      <c r="E88" s="702"/>
      <c r="F88" s="702"/>
      <c r="G88" s="702"/>
      <c r="H88" s="702"/>
      <c r="I88" s="702"/>
      <c r="J88" s="702"/>
      <c r="K88" s="702"/>
      <c r="L88" s="470"/>
    </row>
    <row r="89" spans="1:12" ht="14.25">
      <c r="A89" s="470"/>
      <c r="B89" s="511"/>
      <c r="C89" s="511"/>
      <c r="D89" s="511"/>
      <c r="E89" s="511"/>
      <c r="F89" s="511"/>
      <c r="G89" s="511"/>
      <c r="H89" s="511"/>
      <c r="I89" s="511"/>
      <c r="J89" s="511"/>
      <c r="K89" s="511"/>
      <c r="L89" s="470"/>
    </row>
    <row r="90" spans="1:12" ht="45" customHeight="1">
      <c r="A90" s="470"/>
      <c r="B90" s="707" t="s">
        <v>654</v>
      </c>
      <c r="C90" s="707"/>
      <c r="D90" s="707"/>
      <c r="E90" s="707"/>
      <c r="F90" s="707"/>
      <c r="G90" s="707"/>
      <c r="H90" s="707"/>
      <c r="I90" s="707"/>
      <c r="J90" s="707"/>
      <c r="K90" s="707"/>
      <c r="L90" s="470"/>
    </row>
    <row r="91" spans="1:12" ht="15" customHeight="1" thickBot="1">
      <c r="A91" s="470"/>
      <c r="L91" s="470"/>
    </row>
    <row r="92" spans="1:12" ht="15" customHeight="1">
      <c r="A92" s="470"/>
      <c r="B92" s="512" t="s">
        <v>608</v>
      </c>
      <c r="C92" s="513"/>
      <c r="D92" s="513"/>
      <c r="E92" s="513"/>
      <c r="F92" s="513"/>
      <c r="G92" s="513"/>
      <c r="H92" s="513"/>
      <c r="I92" s="513"/>
      <c r="J92" s="513"/>
      <c r="K92" s="514"/>
      <c r="L92" s="470"/>
    </row>
    <row r="93" spans="1:12" ht="15" customHeight="1">
      <c r="A93" s="470"/>
      <c r="B93" s="515"/>
      <c r="C93" s="516" t="s">
        <v>616</v>
      </c>
      <c r="D93" s="516"/>
      <c r="E93" s="516"/>
      <c r="F93" s="516"/>
      <c r="G93" s="516"/>
      <c r="H93" s="516"/>
      <c r="I93" s="516"/>
      <c r="J93" s="516"/>
      <c r="K93" s="517"/>
      <c r="L93" s="470"/>
    </row>
    <row r="94" spans="1:12" ht="15" customHeight="1">
      <c r="A94" s="470"/>
      <c r="B94" s="515" t="s">
        <v>641</v>
      </c>
      <c r="C94" s="708">
        <v>133685008</v>
      </c>
      <c r="D94" s="708"/>
      <c r="E94" s="483" t="s">
        <v>615</v>
      </c>
      <c r="F94" s="483">
        <v>1000</v>
      </c>
      <c r="G94" s="483" t="s">
        <v>614</v>
      </c>
      <c r="H94" s="500">
        <f>C94/F94</f>
        <v>133685.008</v>
      </c>
      <c r="I94" s="516" t="s">
        <v>642</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643</v>
      </c>
      <c r="D96" s="516"/>
      <c r="E96" s="483"/>
      <c r="F96" s="516" t="s">
        <v>642</v>
      </c>
      <c r="G96" s="516"/>
      <c r="H96" s="516"/>
      <c r="I96" s="516"/>
      <c r="J96" s="516"/>
      <c r="K96" s="517"/>
      <c r="L96" s="470"/>
    </row>
    <row r="97" spans="1:12" ht="15" customHeight="1">
      <c r="A97" s="470"/>
      <c r="B97" s="515" t="s">
        <v>644</v>
      </c>
      <c r="C97" s="708">
        <v>50000</v>
      </c>
      <c r="D97" s="708"/>
      <c r="E97" s="483" t="s">
        <v>615</v>
      </c>
      <c r="F97" s="500">
        <f>H94</f>
        <v>133685.008</v>
      </c>
      <c r="G97" s="483" t="s">
        <v>614</v>
      </c>
      <c r="H97" s="493">
        <f>C97/F97</f>
        <v>0.3740135169083432</v>
      </c>
      <c r="I97" s="516" t="s">
        <v>645</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655</v>
      </c>
      <c r="D99" s="519"/>
      <c r="E99" s="503"/>
      <c r="F99" s="519"/>
      <c r="G99" s="519"/>
      <c r="H99" s="519"/>
      <c r="I99" s="519"/>
      <c r="J99" s="519"/>
      <c r="K99" s="520"/>
      <c r="L99" s="470"/>
    </row>
    <row r="100" spans="1:12" ht="15" customHeight="1">
      <c r="A100" s="470"/>
      <c r="B100" s="515" t="s">
        <v>647</v>
      </c>
      <c r="C100" s="708">
        <v>2500000</v>
      </c>
      <c r="D100" s="708"/>
      <c r="E100" s="483" t="s">
        <v>21</v>
      </c>
      <c r="F100" s="521">
        <v>0.3</v>
      </c>
      <c r="G100" s="483" t="s">
        <v>614</v>
      </c>
      <c r="H100" s="500">
        <f>C100*F100</f>
        <v>750000</v>
      </c>
      <c r="I100" s="516" t="s">
        <v>648</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649</v>
      </c>
      <c r="D102" s="519"/>
      <c r="E102" s="503"/>
      <c r="F102" s="519" t="s">
        <v>645</v>
      </c>
      <c r="G102" s="519"/>
      <c r="H102" s="519"/>
      <c r="I102" s="519"/>
      <c r="J102" s="519" t="s">
        <v>650</v>
      </c>
      <c r="K102" s="520"/>
      <c r="L102" s="470"/>
    </row>
    <row r="103" spans="1:12" ht="15" customHeight="1">
      <c r="A103" s="470"/>
      <c r="B103" s="515" t="s">
        <v>651</v>
      </c>
      <c r="C103" s="717">
        <f>H100</f>
        <v>750000</v>
      </c>
      <c r="D103" s="717"/>
      <c r="E103" s="483" t="s">
        <v>21</v>
      </c>
      <c r="F103" s="493">
        <f>H97</f>
        <v>0.3740135169083432</v>
      </c>
      <c r="G103" s="483" t="s">
        <v>615</v>
      </c>
      <c r="H103" s="483">
        <v>1000</v>
      </c>
      <c r="I103" s="483" t="s">
        <v>614</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0" t="s">
        <v>604</v>
      </c>
      <c r="C105" s="718"/>
      <c r="D105" s="718"/>
      <c r="E105" s="718"/>
      <c r="F105" s="718"/>
      <c r="G105" s="718"/>
      <c r="H105" s="718"/>
      <c r="I105" s="718"/>
      <c r="J105" s="718"/>
      <c r="K105" s="718"/>
      <c r="L105" s="470"/>
    </row>
    <row r="106" spans="1:12" ht="15" customHeight="1">
      <c r="A106" s="470"/>
      <c r="B106" s="719" t="s">
        <v>656</v>
      </c>
      <c r="C106" s="703"/>
      <c r="D106" s="703"/>
      <c r="E106" s="703"/>
      <c r="F106" s="703"/>
      <c r="G106" s="703"/>
      <c r="H106" s="703"/>
      <c r="I106" s="703"/>
      <c r="J106" s="703"/>
      <c r="K106" s="703"/>
      <c r="L106" s="470"/>
    </row>
    <row r="107" spans="1:12" ht="15" customHeight="1">
      <c r="A107" s="470"/>
      <c r="B107" s="516"/>
      <c r="C107" s="524"/>
      <c r="D107" s="524"/>
      <c r="E107" s="483"/>
      <c r="F107" s="493"/>
      <c r="G107" s="483"/>
      <c r="H107" s="483"/>
      <c r="I107" s="483"/>
      <c r="J107" s="505"/>
      <c r="K107" s="516"/>
      <c r="L107" s="470"/>
    </row>
    <row r="108" spans="1:12" ht="15" customHeight="1">
      <c r="A108" s="470"/>
      <c r="B108" s="719" t="s">
        <v>657</v>
      </c>
      <c r="C108" s="720"/>
      <c r="D108" s="720"/>
      <c r="E108" s="720"/>
      <c r="F108" s="720"/>
      <c r="G108" s="720"/>
      <c r="H108" s="720"/>
      <c r="I108" s="720"/>
      <c r="J108" s="720"/>
      <c r="K108" s="720"/>
      <c r="L108" s="470"/>
    </row>
    <row r="109" spans="1:12" ht="15" customHeight="1">
      <c r="A109" s="470"/>
      <c r="B109" s="516"/>
      <c r="C109" s="524"/>
      <c r="D109" s="524"/>
      <c r="E109" s="483"/>
      <c r="F109" s="493"/>
      <c r="G109" s="483"/>
      <c r="H109" s="483"/>
      <c r="I109" s="483"/>
      <c r="J109" s="505"/>
      <c r="K109" s="516"/>
      <c r="L109" s="470"/>
    </row>
    <row r="110" spans="1:12" ht="59.25" customHeight="1">
      <c r="A110" s="470"/>
      <c r="B110" s="721" t="s">
        <v>658</v>
      </c>
      <c r="C110" s="711"/>
      <c r="D110" s="711"/>
      <c r="E110" s="711"/>
      <c r="F110" s="711"/>
      <c r="G110" s="711"/>
      <c r="H110" s="711"/>
      <c r="I110" s="711"/>
      <c r="J110" s="711"/>
      <c r="K110" s="711"/>
      <c r="L110" s="470"/>
    </row>
    <row r="111" spans="1:12" ht="15" thickBot="1">
      <c r="A111" s="470"/>
      <c r="B111" s="474"/>
      <c r="C111" s="474"/>
      <c r="D111" s="474"/>
      <c r="E111" s="474"/>
      <c r="F111" s="474"/>
      <c r="G111" s="474"/>
      <c r="H111" s="474"/>
      <c r="I111" s="474"/>
      <c r="J111" s="474"/>
      <c r="K111" s="474"/>
      <c r="L111" s="525"/>
    </row>
    <row r="112" spans="1:12" ht="14.25">
      <c r="A112" s="470"/>
      <c r="B112" s="478" t="s">
        <v>608</v>
      </c>
      <c r="C112" s="479"/>
      <c r="D112" s="479"/>
      <c r="E112" s="479"/>
      <c r="F112" s="479"/>
      <c r="G112" s="479"/>
      <c r="H112" s="479"/>
      <c r="I112" s="479"/>
      <c r="J112" s="479"/>
      <c r="K112" s="480"/>
      <c r="L112" s="470"/>
    </row>
    <row r="113" spans="1:12" ht="14.25">
      <c r="A113" s="470"/>
      <c r="B113" s="491"/>
      <c r="C113" s="482" t="s">
        <v>616</v>
      </c>
      <c r="D113" s="482"/>
      <c r="E113" s="482"/>
      <c r="F113" s="482"/>
      <c r="G113" s="482"/>
      <c r="H113" s="482"/>
      <c r="I113" s="482"/>
      <c r="J113" s="482"/>
      <c r="K113" s="485"/>
      <c r="L113" s="470"/>
    </row>
    <row r="114" spans="1:12" ht="14.25">
      <c r="A114" s="470"/>
      <c r="B114" s="491" t="s">
        <v>641</v>
      </c>
      <c r="C114" s="708">
        <v>133685008</v>
      </c>
      <c r="D114" s="708"/>
      <c r="E114" s="483" t="s">
        <v>615</v>
      </c>
      <c r="F114" s="483">
        <v>1000</v>
      </c>
      <c r="G114" s="483" t="s">
        <v>614</v>
      </c>
      <c r="H114" s="500">
        <f>C114/F114</f>
        <v>133685.008</v>
      </c>
      <c r="I114" s="482" t="s">
        <v>642</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643</v>
      </c>
      <c r="D116" s="482"/>
      <c r="E116" s="483"/>
      <c r="F116" s="482" t="s">
        <v>642</v>
      </c>
      <c r="G116" s="482"/>
      <c r="H116" s="482"/>
      <c r="I116" s="482"/>
      <c r="J116" s="482"/>
      <c r="K116" s="485"/>
      <c r="L116" s="470"/>
    </row>
    <row r="117" spans="1:12" ht="14.25">
      <c r="A117" s="470"/>
      <c r="B117" s="491" t="s">
        <v>644</v>
      </c>
      <c r="C117" s="708">
        <v>50000</v>
      </c>
      <c r="D117" s="708"/>
      <c r="E117" s="483" t="s">
        <v>615</v>
      </c>
      <c r="F117" s="500">
        <f>H114</f>
        <v>133685.008</v>
      </c>
      <c r="G117" s="483" t="s">
        <v>614</v>
      </c>
      <c r="H117" s="493">
        <f>C117/F117</f>
        <v>0.3740135169083432</v>
      </c>
      <c r="I117" s="482" t="s">
        <v>645</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655</v>
      </c>
      <c r="D119" s="502"/>
      <c r="E119" s="503"/>
      <c r="F119" s="502"/>
      <c r="G119" s="502"/>
      <c r="H119" s="502"/>
      <c r="I119" s="502"/>
      <c r="J119" s="502"/>
      <c r="K119" s="504"/>
      <c r="L119" s="470"/>
    </row>
    <row r="120" spans="1:12" ht="14.25">
      <c r="A120" s="470"/>
      <c r="B120" s="491" t="s">
        <v>647</v>
      </c>
      <c r="C120" s="708">
        <v>2500000</v>
      </c>
      <c r="D120" s="708"/>
      <c r="E120" s="483" t="s">
        <v>21</v>
      </c>
      <c r="F120" s="521">
        <v>0.25</v>
      </c>
      <c r="G120" s="483" t="s">
        <v>614</v>
      </c>
      <c r="H120" s="500">
        <f>C120*F120</f>
        <v>625000</v>
      </c>
      <c r="I120" s="482" t="s">
        <v>648</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649</v>
      </c>
      <c r="D122" s="502"/>
      <c r="E122" s="503"/>
      <c r="F122" s="502" t="s">
        <v>645</v>
      </c>
      <c r="G122" s="502"/>
      <c r="H122" s="502"/>
      <c r="I122" s="502"/>
      <c r="J122" s="502" t="s">
        <v>650</v>
      </c>
      <c r="K122" s="504"/>
      <c r="L122" s="470"/>
    </row>
    <row r="123" spans="1:12" ht="14.25">
      <c r="A123" s="470"/>
      <c r="B123" s="491" t="s">
        <v>651</v>
      </c>
      <c r="C123" s="717">
        <f>H120</f>
        <v>625000</v>
      </c>
      <c r="D123" s="717"/>
      <c r="E123" s="483" t="s">
        <v>21</v>
      </c>
      <c r="F123" s="493">
        <f>H117</f>
        <v>0.3740135169083432</v>
      </c>
      <c r="G123" s="483" t="s">
        <v>615</v>
      </c>
      <c r="H123" s="483">
        <v>1000</v>
      </c>
      <c r="I123" s="483" t="s">
        <v>614</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0" t="s">
        <v>604</v>
      </c>
      <c r="C125" s="710"/>
      <c r="D125" s="710"/>
      <c r="E125" s="710"/>
      <c r="F125" s="710"/>
      <c r="G125" s="710"/>
      <c r="H125" s="710"/>
      <c r="I125" s="710"/>
      <c r="J125" s="710"/>
      <c r="K125" s="710"/>
      <c r="L125" s="525"/>
    </row>
    <row r="126" spans="1:12" ht="14.25">
      <c r="A126" s="470"/>
      <c r="B126" s="702" t="s">
        <v>659</v>
      </c>
      <c r="C126" s="702"/>
      <c r="D126" s="702"/>
      <c r="E126" s="702"/>
      <c r="F126" s="702"/>
      <c r="G126" s="702"/>
      <c r="H126" s="702"/>
      <c r="I126" s="702"/>
      <c r="J126" s="702"/>
      <c r="K126" s="702"/>
      <c r="L126" s="525"/>
    </row>
    <row r="127" spans="1:12" ht="14.25">
      <c r="A127" s="470"/>
      <c r="B127" s="474"/>
      <c r="C127" s="474"/>
      <c r="D127" s="474"/>
      <c r="E127" s="474"/>
      <c r="F127" s="474"/>
      <c r="G127" s="474"/>
      <c r="H127" s="474"/>
      <c r="I127" s="474"/>
      <c r="J127" s="474"/>
      <c r="K127" s="474"/>
      <c r="L127" s="525"/>
    </row>
    <row r="128" spans="1:12" ht="14.25">
      <c r="A128" s="470"/>
      <c r="B128" s="702" t="s">
        <v>660</v>
      </c>
      <c r="C128" s="702"/>
      <c r="D128" s="702"/>
      <c r="E128" s="702"/>
      <c r="F128" s="702"/>
      <c r="G128" s="702"/>
      <c r="H128" s="702"/>
      <c r="I128" s="702"/>
      <c r="J128" s="702"/>
      <c r="K128" s="702"/>
      <c r="L128" s="525"/>
    </row>
    <row r="129" spans="1:12" ht="14.25">
      <c r="A129" s="470"/>
      <c r="B129" s="511"/>
      <c r="C129" s="511"/>
      <c r="D129" s="511"/>
      <c r="E129" s="511"/>
      <c r="F129" s="511"/>
      <c r="G129" s="511"/>
      <c r="H129" s="511"/>
      <c r="I129" s="511"/>
      <c r="J129" s="511"/>
      <c r="K129" s="511"/>
      <c r="L129" s="525"/>
    </row>
    <row r="130" spans="1:12" ht="74.25" customHeight="1">
      <c r="A130" s="470"/>
      <c r="B130" s="707" t="s">
        <v>661</v>
      </c>
      <c r="C130" s="707"/>
      <c r="D130" s="707"/>
      <c r="E130" s="707"/>
      <c r="F130" s="707"/>
      <c r="G130" s="707"/>
      <c r="H130" s="707"/>
      <c r="I130" s="707"/>
      <c r="J130" s="707"/>
      <c r="K130" s="707"/>
      <c r="L130" s="525"/>
    </row>
    <row r="131" spans="1:12" ht="15" thickBot="1">
      <c r="A131" s="470"/>
      <c r="L131" s="470"/>
    </row>
    <row r="132" spans="1:12" ht="14.25">
      <c r="A132" s="470"/>
      <c r="B132" s="478" t="s">
        <v>608</v>
      </c>
      <c r="C132" s="479"/>
      <c r="D132" s="479"/>
      <c r="E132" s="479"/>
      <c r="F132" s="479"/>
      <c r="G132" s="479"/>
      <c r="H132" s="479"/>
      <c r="I132" s="479"/>
      <c r="J132" s="479"/>
      <c r="K132" s="480"/>
      <c r="L132" s="470"/>
    </row>
    <row r="133" spans="1:12" ht="14.25">
      <c r="A133" s="470"/>
      <c r="B133" s="491"/>
      <c r="C133" s="722" t="s">
        <v>662</v>
      </c>
      <c r="D133" s="722"/>
      <c r="E133" s="482"/>
      <c r="F133" s="483" t="s">
        <v>663</v>
      </c>
      <c r="G133" s="482"/>
      <c r="H133" s="722" t="s">
        <v>648</v>
      </c>
      <c r="I133" s="722"/>
      <c r="J133" s="482"/>
      <c r="K133" s="485"/>
      <c r="L133" s="470"/>
    </row>
    <row r="134" spans="1:12" ht="14.25">
      <c r="A134" s="470"/>
      <c r="B134" s="491" t="s">
        <v>641</v>
      </c>
      <c r="C134" s="708">
        <v>100000</v>
      </c>
      <c r="D134" s="708"/>
      <c r="E134" s="483" t="s">
        <v>21</v>
      </c>
      <c r="F134" s="483">
        <v>0.115</v>
      </c>
      <c r="G134" s="483" t="s">
        <v>614</v>
      </c>
      <c r="H134" s="723">
        <f>C134*F134</f>
        <v>11500</v>
      </c>
      <c r="I134" s="723"/>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24" t="s">
        <v>648</v>
      </c>
      <c r="D136" s="724"/>
      <c r="E136" s="502"/>
      <c r="F136" s="503" t="s">
        <v>664</v>
      </c>
      <c r="G136" s="503"/>
      <c r="H136" s="502"/>
      <c r="I136" s="502"/>
      <c r="J136" s="502" t="s">
        <v>665</v>
      </c>
      <c r="K136" s="504"/>
      <c r="L136" s="470"/>
    </row>
    <row r="137" spans="1:12" ht="14.25">
      <c r="A137" s="470"/>
      <c r="B137" s="491" t="s">
        <v>644</v>
      </c>
      <c r="C137" s="723">
        <f>H134</f>
        <v>11500</v>
      </c>
      <c r="D137" s="723"/>
      <c r="E137" s="483" t="s">
        <v>21</v>
      </c>
      <c r="F137" s="526">
        <v>52.869</v>
      </c>
      <c r="G137" s="483" t="s">
        <v>615</v>
      </c>
      <c r="H137" s="483">
        <v>1000</v>
      </c>
      <c r="I137" s="483" t="s">
        <v>614</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604</v>
      </c>
      <c r="C139" s="532"/>
      <c r="D139" s="532"/>
      <c r="E139" s="533"/>
      <c r="F139" s="534"/>
      <c r="G139" s="533"/>
      <c r="H139" s="533"/>
      <c r="I139" s="533"/>
      <c r="J139" s="535"/>
      <c r="K139" s="536"/>
      <c r="L139" s="470"/>
    </row>
    <row r="140" spans="1:12" ht="14.25">
      <c r="A140" s="470"/>
      <c r="B140" s="537" t="s">
        <v>666</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667</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25" t="s">
        <v>668</v>
      </c>
      <c r="C144" s="726"/>
      <c r="D144" s="726"/>
      <c r="E144" s="726"/>
      <c r="F144" s="726"/>
      <c r="G144" s="726"/>
      <c r="H144" s="726"/>
      <c r="I144" s="726"/>
      <c r="J144" s="726"/>
      <c r="K144" s="727"/>
      <c r="L144" s="470"/>
    </row>
    <row r="145" spans="1:12" ht="15" thickBot="1">
      <c r="A145" s="470"/>
      <c r="B145" s="491"/>
      <c r="C145" s="500"/>
      <c r="D145" s="500"/>
      <c r="E145" s="483"/>
      <c r="F145" s="543"/>
      <c r="G145" s="483"/>
      <c r="H145" s="483"/>
      <c r="I145" s="483"/>
      <c r="J145" s="527"/>
      <c r="K145" s="485"/>
      <c r="L145" s="470"/>
    </row>
    <row r="146" spans="1:12" ht="14.25">
      <c r="A146" s="470"/>
      <c r="B146" s="478" t="s">
        <v>608</v>
      </c>
      <c r="C146" s="544"/>
      <c r="D146" s="544"/>
      <c r="E146" s="545"/>
      <c r="F146" s="546"/>
      <c r="G146" s="545"/>
      <c r="H146" s="545"/>
      <c r="I146" s="545"/>
      <c r="J146" s="547"/>
      <c r="K146" s="480"/>
      <c r="L146" s="470"/>
    </row>
    <row r="147" spans="1:12" ht="14.25">
      <c r="A147" s="470"/>
      <c r="B147" s="491"/>
      <c r="C147" s="723" t="s">
        <v>669</v>
      </c>
      <c r="D147" s="723"/>
      <c r="E147" s="483"/>
      <c r="F147" s="543" t="s">
        <v>670</v>
      </c>
      <c r="G147" s="483"/>
      <c r="H147" s="483"/>
      <c r="I147" s="483"/>
      <c r="J147" s="728" t="s">
        <v>671</v>
      </c>
      <c r="K147" s="729"/>
      <c r="L147" s="470"/>
    </row>
    <row r="148" spans="1:12" ht="14.25">
      <c r="A148" s="470"/>
      <c r="B148" s="491"/>
      <c r="C148" s="730">
        <v>52.869</v>
      </c>
      <c r="D148" s="730"/>
      <c r="E148" s="483" t="s">
        <v>21</v>
      </c>
      <c r="F148" s="548">
        <v>133685008</v>
      </c>
      <c r="G148" s="549" t="s">
        <v>615</v>
      </c>
      <c r="H148" s="483">
        <v>1000</v>
      </c>
      <c r="I148" s="483" t="s">
        <v>614</v>
      </c>
      <c r="J148" s="723">
        <f>C148*(F148/1000)</f>
        <v>7067792.687952</v>
      </c>
      <c r="K148" s="73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672</v>
      </c>
    </row>
    <row r="3" ht="31.5">
      <c r="A3" s="552" t="s">
        <v>673</v>
      </c>
    </row>
    <row r="4" ht="15.75">
      <c r="A4" s="553" t="s">
        <v>674</v>
      </c>
    </row>
    <row r="7" ht="31.5">
      <c r="A7" s="552" t="s">
        <v>675</v>
      </c>
    </row>
    <row r="8" ht="15.75">
      <c r="A8" s="553" t="s">
        <v>676</v>
      </c>
    </row>
    <row r="11" ht="15.75">
      <c r="A11" s="554" t="s">
        <v>677</v>
      </c>
    </row>
    <row r="12" ht="15.75">
      <c r="A12" s="553" t="s">
        <v>678</v>
      </c>
    </row>
    <row r="15" ht="15.75">
      <c r="A15" s="554" t="s">
        <v>679</v>
      </c>
    </row>
    <row r="16" ht="15.75">
      <c r="A16" s="553" t="s">
        <v>680</v>
      </c>
    </row>
    <row r="19" ht="15.75">
      <c r="A19" s="554" t="s">
        <v>681</v>
      </c>
    </row>
    <row r="20" ht="15.75">
      <c r="A20" s="553" t="s">
        <v>682</v>
      </c>
    </row>
    <row r="23" ht="15.75">
      <c r="A23" s="554" t="s">
        <v>683</v>
      </c>
    </row>
    <row r="24" ht="15.75">
      <c r="A24" s="553" t="s">
        <v>684</v>
      </c>
    </row>
    <row r="27" ht="15.75">
      <c r="A27" s="554" t="s">
        <v>685</v>
      </c>
    </row>
    <row r="28" ht="15.75">
      <c r="A28" s="553" t="s">
        <v>686</v>
      </c>
    </row>
    <row r="31" ht="15.75">
      <c r="A31" s="554" t="s">
        <v>687</v>
      </c>
    </row>
    <row r="32" ht="15.75">
      <c r="A32" s="553" t="s">
        <v>688</v>
      </c>
    </row>
    <row r="35" ht="15.75">
      <c r="A35" s="554" t="s">
        <v>689</v>
      </c>
    </row>
    <row r="36" ht="15.75">
      <c r="A36" s="553" t="s">
        <v>690</v>
      </c>
    </row>
    <row r="39" ht="15.75">
      <c r="A39" s="554" t="s">
        <v>691</v>
      </c>
    </row>
    <row r="40" ht="15.75">
      <c r="A40" s="553" t="s">
        <v>692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B109" sqref="B109"/>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Rexford Cemetery</v>
      </c>
      <c r="B1" s="37"/>
      <c r="C1" s="37"/>
      <c r="D1" s="37"/>
      <c r="E1" s="15">
        <f>inputPrYr!D11</f>
        <v>2012</v>
      </c>
    </row>
    <row r="2" spans="1:5" ht="15">
      <c r="A2" s="37"/>
      <c r="B2" s="37"/>
      <c r="C2" s="37"/>
      <c r="D2" s="37"/>
      <c r="E2" s="37"/>
    </row>
    <row r="3" spans="1:5" ht="15">
      <c r="A3" s="630" t="s">
        <v>158</v>
      </c>
      <c r="B3" s="631"/>
      <c r="C3" s="631"/>
      <c r="D3" s="631"/>
      <c r="E3" s="631"/>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Thomas County</v>
      </c>
      <c r="B7" s="21"/>
      <c r="C7" s="21"/>
      <c r="D7" s="12">
        <v>3139984</v>
      </c>
      <c r="E7" s="25"/>
    </row>
    <row r="8" spans="1:5" ht="15.75">
      <c r="A8" s="28" t="str">
        <f>inputPrYr!$D$6</f>
        <v>Sheridan County</v>
      </c>
      <c r="B8" s="21"/>
      <c r="C8" s="21"/>
      <c r="D8" s="12">
        <v>740169</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3880153</v>
      </c>
    </row>
    <row r="13" spans="1:5" ht="16.5" thickTop="1">
      <c r="A13" s="63" t="str">
        <f>CONCATENATE("New Improvements for ",inputPrYr!D11-1,":")</f>
        <v>New Improvements for 2011:</v>
      </c>
      <c r="B13" s="21"/>
      <c r="C13" s="21"/>
      <c r="D13" s="21"/>
      <c r="E13" s="60"/>
    </row>
    <row r="14" spans="1:5" ht="15.75">
      <c r="A14" s="28" t="str">
        <f>inputPrYr!$D$4</f>
        <v>Thomas County</v>
      </c>
      <c r="B14" s="21"/>
      <c r="C14" s="21"/>
      <c r="D14" s="51">
        <v>29701</v>
      </c>
      <c r="E14" s="15"/>
    </row>
    <row r="15" spans="1:5" ht="15.75">
      <c r="A15" s="28" t="str">
        <f>inputPrYr!$D$6</f>
        <v>Sheridan County</v>
      </c>
      <c r="B15" s="21"/>
      <c r="C15" s="21"/>
      <c r="D15" s="14">
        <v>616</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30317</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Thomas County</v>
      </c>
      <c r="B21" s="21"/>
      <c r="C21" s="21"/>
      <c r="D21" s="51">
        <v>94401</v>
      </c>
      <c r="E21" s="15"/>
    </row>
    <row r="22" spans="1:5" ht="15.75">
      <c r="A22" s="28" t="str">
        <f>inputPrYr!$D$6</f>
        <v>Sheridan County</v>
      </c>
      <c r="B22" s="21"/>
      <c r="C22" s="21"/>
      <c r="D22" s="51">
        <v>30923</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125324</v>
      </c>
    </row>
    <row r="27" spans="1:5" ht="16.5" thickTop="1">
      <c r="A27" s="63" t="str">
        <f>CONCATENATE("Property that has changed in use for ",inputPrYr!D11-1,":")</f>
        <v>Property that has changed in use for 2011:</v>
      </c>
      <c r="B27" s="21"/>
      <c r="C27" s="21"/>
      <c r="D27" s="21"/>
      <c r="E27" s="60"/>
    </row>
    <row r="28" spans="1:5" ht="15.75">
      <c r="A28" s="28" t="str">
        <f>inputPrYr!$D$4</f>
        <v>Thomas County</v>
      </c>
      <c r="B28" s="21"/>
      <c r="C28" s="21"/>
      <c r="D28" s="51">
        <v>2124</v>
      </c>
      <c r="E28" s="15"/>
    </row>
    <row r="29" spans="1:5" ht="15.75">
      <c r="A29" s="28" t="str">
        <f>inputPrYr!$D$6</f>
        <v>Sheridan County</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2124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Thomas County</v>
      </c>
      <c r="B35" s="21"/>
      <c r="C35" s="21"/>
      <c r="D35" s="81">
        <v>99738</v>
      </c>
      <c r="E35" s="60"/>
    </row>
    <row r="36" spans="1:5" ht="15.75">
      <c r="A36" s="28" t="str">
        <f>inputPrYr!$D$6</f>
        <v>Sheridan County</v>
      </c>
      <c r="B36" s="21"/>
      <c r="C36" s="21"/>
      <c r="D36" s="82">
        <v>33512</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133250</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2" t="s">
        <v>19</v>
      </c>
      <c r="B45" s="633"/>
      <c r="C45" s="37"/>
      <c r="D45" s="56" t="s">
        <v>57</v>
      </c>
      <c r="E45" s="50"/>
    </row>
    <row r="46" spans="1:5" ht="15.75">
      <c r="A46" s="57" t="s">
        <v>5</v>
      </c>
      <c r="B46" s="18"/>
      <c r="C46" s="21"/>
      <c r="D46" s="77">
        <v>2.886</v>
      </c>
      <c r="E46" s="50"/>
    </row>
    <row r="47" spans="1:5" ht="15.75">
      <c r="A47" s="58" t="s">
        <v>295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213</v>
      </c>
      <c r="C52" s="69"/>
      <c r="D52" s="73">
        <f>SUM(D46:D51)</f>
        <v>2.886</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Thomas County</v>
      </c>
      <c r="B55" s="37"/>
      <c r="C55" s="37"/>
      <c r="D55" s="81">
        <v>2936615</v>
      </c>
      <c r="E55" s="37"/>
    </row>
    <row r="56" spans="1:5" ht="15.75">
      <c r="A56" s="28" t="str">
        <f>inputPrYr!$D$6</f>
        <v>Sheridan County</v>
      </c>
      <c r="B56" s="37"/>
      <c r="C56" s="37"/>
      <c r="D56" s="82">
        <v>728166</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3664781</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148</v>
      </c>
      <c r="B63" s="15"/>
      <c r="C63" s="15"/>
      <c r="D63" s="15"/>
      <c r="E63" s="50"/>
    </row>
    <row r="64" spans="1:5" ht="15.75">
      <c r="A64" s="28" t="str">
        <f>inputPrYr!$D$4</f>
        <v>Thomas County</v>
      </c>
      <c r="B64" s="15"/>
      <c r="C64" s="15"/>
      <c r="D64" s="12">
        <v>1027</v>
      </c>
      <c r="E64" s="25"/>
    </row>
    <row r="65" spans="1:5" ht="15.75">
      <c r="A65" s="28" t="str">
        <f>inputPrYr!$D$6</f>
        <v>Sheridan County</v>
      </c>
      <c r="B65" s="15"/>
      <c r="C65" s="15"/>
      <c r="D65" s="12">
        <v>191</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1218</v>
      </c>
    </row>
    <row r="70" spans="1:5" ht="16.5" thickTop="1">
      <c r="A70" s="64" t="s">
        <v>149</v>
      </c>
      <c r="B70" s="15"/>
      <c r="C70" s="15"/>
      <c r="D70" s="15"/>
      <c r="E70" s="50"/>
    </row>
    <row r="71" spans="1:5" ht="15.75">
      <c r="A71" s="28" t="str">
        <f>inputPrYr!$D$4</f>
        <v>Thomas County</v>
      </c>
      <c r="B71" s="15"/>
      <c r="C71" s="15"/>
      <c r="D71" s="12">
        <v>11</v>
      </c>
      <c r="E71" s="25"/>
    </row>
    <row r="72" spans="1:5" ht="15.75">
      <c r="A72" s="28" t="str">
        <f>inputPrYr!$D$6</f>
        <v>Sheridan County</v>
      </c>
      <c r="B72" s="15"/>
      <c r="C72" s="15"/>
      <c r="D72" s="13">
        <v>10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21</v>
      </c>
    </row>
    <row r="77" spans="1:5" ht="16.5" thickTop="1">
      <c r="A77" s="64" t="s">
        <v>145</v>
      </c>
      <c r="B77" s="15"/>
      <c r="C77" s="15"/>
      <c r="D77" s="15"/>
      <c r="E77" s="50"/>
    </row>
    <row r="78" spans="1:5" ht="15.75">
      <c r="A78" s="28" t="str">
        <f>inputPrYr!$D$4</f>
        <v>Thomas County</v>
      </c>
      <c r="B78" s="15"/>
      <c r="C78" s="15"/>
      <c r="D78" s="12">
        <v>109</v>
      </c>
      <c r="E78" s="25"/>
    </row>
    <row r="79" spans="1:5" ht="15.75">
      <c r="A79" s="28" t="str">
        <f>inputPrYr!$D$6</f>
        <v>Sheridan County</v>
      </c>
      <c r="B79" s="15"/>
      <c r="C79" s="15"/>
      <c r="D79" s="13">
        <v>77</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186</v>
      </c>
    </row>
    <row r="84" spans="1:5" ht="16.5" thickTop="1">
      <c r="A84" s="64" t="s">
        <v>251</v>
      </c>
      <c r="B84" s="15"/>
      <c r="C84" s="15"/>
      <c r="D84" s="50"/>
      <c r="E84" s="50"/>
    </row>
    <row r="85" spans="1:5" ht="15.75">
      <c r="A85" s="28" t="str">
        <f>inputPrYr!$D$4</f>
        <v>Thomas County</v>
      </c>
      <c r="B85" s="15"/>
      <c r="C85" s="15"/>
      <c r="D85" s="81"/>
      <c r="E85" s="50"/>
    </row>
    <row r="86" spans="1:5" ht="15.75">
      <c r="A86" s="28" t="str">
        <f>inputPrYr!$D$6</f>
        <v>Sheridan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252</v>
      </c>
      <c r="B90" s="15"/>
      <c r="C90" s="15"/>
      <c r="D90" s="50"/>
      <c r="E90" s="68">
        <f>SUM(D85:D89)</f>
        <v>0</v>
      </c>
    </row>
    <row r="91" spans="1:5" ht="16.5" thickTop="1">
      <c r="A91" s="64" t="s">
        <v>173</v>
      </c>
      <c r="B91" s="15"/>
      <c r="C91" s="15"/>
      <c r="D91" s="62"/>
      <c r="E91" s="50"/>
    </row>
    <row r="92" spans="1:5" ht="15.75">
      <c r="A92" s="15"/>
      <c r="B92" s="15"/>
      <c r="C92" s="15"/>
      <c r="D92" s="15"/>
      <c r="E92" s="15"/>
    </row>
    <row r="93" spans="1:5" ht="15.75">
      <c r="A93" s="33" t="s">
        <v>222</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223</v>
      </c>
      <c r="D95" s="29" t="s">
        <v>224</v>
      </c>
      <c r="E95" s="52"/>
    </row>
    <row r="96" spans="1:5" ht="15.75">
      <c r="A96" s="28" t="str">
        <f>inputPrYr!$D$4</f>
        <v>Thomas County</v>
      </c>
      <c r="B96" s="22"/>
      <c r="C96" s="92"/>
      <c r="D96" s="62"/>
      <c r="E96" s="52"/>
    </row>
    <row r="97" spans="1:5" ht="15.75">
      <c r="A97" s="28" t="str">
        <f>inputPrYr!$D$6</f>
        <v>Sheridan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214</v>
      </c>
      <c r="B103" s="30"/>
      <c r="C103" s="21"/>
      <c r="D103" s="21"/>
      <c r="E103" s="459">
        <v>1.1</v>
      </c>
    </row>
    <row r="104" spans="1:5" ht="15.75">
      <c r="A104" s="65" t="s">
        <v>206</v>
      </c>
      <c r="B104" s="66"/>
      <c r="C104" s="66"/>
      <c r="D104" s="66"/>
      <c r="E104" s="66"/>
    </row>
    <row r="105" spans="1:5" ht="15">
      <c r="A105" s="86"/>
      <c r="B105" s="86"/>
      <c r="C105" s="86"/>
      <c r="D105" s="86"/>
      <c r="E105" s="86"/>
    </row>
    <row r="106" spans="1:5" ht="15.75">
      <c r="A106" s="634" t="str">
        <f>CONCATENATE("From the ",E1-2," Budget Certificate Page")</f>
        <v>From the 2010 Budget Certificate Page</v>
      </c>
      <c r="B106" s="635"/>
      <c r="C106" s="86"/>
      <c r="D106" s="86"/>
      <c r="E106" s="86"/>
    </row>
    <row r="107" spans="1:5" ht="15.75">
      <c r="A107" s="87"/>
      <c r="B107" s="87" t="str">
        <f>CONCATENATE("",E1-2," Expenditure Amounts")</f>
        <v>2010 Expenditure Amounts</v>
      </c>
      <c r="C107" s="636" t="str">
        <f>CONCATENATE("Note: If the ",E1-2," budget was amended, then the")</f>
        <v>Note: If the 2010 budget was amended, then the</v>
      </c>
      <c r="D107" s="637"/>
      <c r="E107" s="637"/>
    </row>
    <row r="108" spans="1:5" ht="15.75">
      <c r="A108" s="88" t="s">
        <v>227</v>
      </c>
      <c r="B108" s="88" t="s">
        <v>228</v>
      </c>
      <c r="C108" s="85" t="s">
        <v>229</v>
      </c>
      <c r="D108" s="89"/>
      <c r="E108" s="89"/>
    </row>
    <row r="109" spans="1:5" ht="15.75">
      <c r="A109" s="90" t="str">
        <f>inputPrYr!B24</f>
        <v>General</v>
      </c>
      <c r="B109" s="62">
        <v>10690</v>
      </c>
      <c r="C109" s="85" t="s">
        <v>230</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30.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758</v>
      </c>
    </row>
    <row r="2" ht="15.75">
      <c r="A2" s="1" t="s">
        <v>759</v>
      </c>
    </row>
    <row r="4" ht="15.75">
      <c r="A4" s="431" t="s">
        <v>755</v>
      </c>
    </row>
    <row r="5" ht="15.75">
      <c r="A5" s="612" t="s">
        <v>756</v>
      </c>
    </row>
    <row r="6" ht="15.75">
      <c r="A6" s="612" t="s">
        <v>757</v>
      </c>
    </row>
    <row r="8" ht="15.75">
      <c r="A8" s="431" t="s">
        <v>693</v>
      </c>
    </row>
    <row r="9" ht="15.75">
      <c r="A9" s="612" t="s">
        <v>705</v>
      </c>
    </row>
    <row r="10" ht="15.75">
      <c r="A10" s="612" t="s">
        <v>706</v>
      </c>
    </row>
    <row r="11" ht="31.5">
      <c r="A11" s="613" t="s">
        <v>707</v>
      </c>
    </row>
    <row r="12" ht="15.75">
      <c r="A12" s="612" t="s">
        <v>708</v>
      </c>
    </row>
    <row r="13" ht="15.75">
      <c r="A13" s="612" t="s">
        <v>709</v>
      </c>
    </row>
    <row r="14" ht="15.75">
      <c r="A14" s="612" t="s">
        <v>710</v>
      </c>
    </row>
    <row r="15" ht="15.75">
      <c r="A15" s="612" t="s">
        <v>711</v>
      </c>
    </row>
    <row r="16" ht="15.75">
      <c r="A16" s="612" t="s">
        <v>712</v>
      </c>
    </row>
    <row r="17" ht="15.75">
      <c r="A17" s="612" t="s">
        <v>713</v>
      </c>
    </row>
    <row r="18" ht="15.75">
      <c r="A18" s="612" t="s">
        <v>714</v>
      </c>
    </row>
    <row r="19" ht="15.75">
      <c r="A19" s="612" t="s">
        <v>715</v>
      </c>
    </row>
    <row r="20" ht="15.75">
      <c r="A20" s="612" t="s">
        <v>716</v>
      </c>
    </row>
    <row r="21" ht="15.75">
      <c r="A21" s="612" t="s">
        <v>717</v>
      </c>
    </row>
    <row r="22" ht="15.75">
      <c r="A22" s="612" t="s">
        <v>718</v>
      </c>
    </row>
    <row r="23" ht="15.75">
      <c r="A23" s="612" t="s">
        <v>719</v>
      </c>
    </row>
    <row r="24" ht="15.75">
      <c r="A24" s="612" t="s">
        <v>720</v>
      </c>
    </row>
    <row r="25" ht="15.75">
      <c r="A25" s="612" t="s">
        <v>721</v>
      </c>
    </row>
    <row r="26" ht="15.75">
      <c r="A26" s="612" t="s">
        <v>722</v>
      </c>
    </row>
    <row r="27" ht="15.75">
      <c r="A27" s="612" t="s">
        <v>723</v>
      </c>
    </row>
    <row r="28" ht="15.75">
      <c r="A28" s="612" t="s">
        <v>724</v>
      </c>
    </row>
    <row r="29" ht="15.75">
      <c r="A29" s="612" t="s">
        <v>725</v>
      </c>
    </row>
    <row r="30" ht="15.75">
      <c r="A30" s="612" t="s">
        <v>726</v>
      </c>
    </row>
    <row r="31" ht="15.75">
      <c r="A31" s="612" t="s">
        <v>727</v>
      </c>
    </row>
    <row r="32" ht="15.75">
      <c r="A32" s="612"/>
    </row>
    <row r="33" ht="15.75">
      <c r="A33" s="431" t="s">
        <v>588</v>
      </c>
    </row>
    <row r="34" ht="15.75">
      <c r="A34" s="148" t="s">
        <v>591</v>
      </c>
    </row>
    <row r="35" ht="15.75">
      <c r="A35" s="148" t="s">
        <v>589</v>
      </c>
    </row>
    <row r="36" ht="15.75">
      <c r="A36" s="148" t="s">
        <v>590</v>
      </c>
    </row>
    <row r="38" ht="15.75">
      <c r="A38" s="440" t="s">
        <v>580</v>
      </c>
    </row>
    <row r="39" ht="15.75">
      <c r="A39" s="148" t="s">
        <v>587</v>
      </c>
    </row>
    <row r="41" ht="15.75">
      <c r="A41" s="431" t="s">
        <v>573</v>
      </c>
    </row>
    <row r="42" ht="15.75">
      <c r="A42" s="432" t="s">
        <v>574</v>
      </c>
    </row>
    <row r="43" ht="15.75">
      <c r="A43" s="432" t="s">
        <v>575</v>
      </c>
    </row>
    <row r="44" ht="15.75">
      <c r="A44" s="432" t="s">
        <v>576</v>
      </c>
    </row>
    <row r="45" ht="15.75">
      <c r="A45" s="148" t="s">
        <v>577</v>
      </c>
    </row>
    <row r="47" ht="15.75">
      <c r="A47" s="396" t="s">
        <v>321</v>
      </c>
    </row>
    <row r="48" ht="15.75">
      <c r="A48" s="404" t="s">
        <v>335</v>
      </c>
    </row>
    <row r="49" ht="15.75">
      <c r="A49" s="404" t="s">
        <v>336</v>
      </c>
    </row>
    <row r="50" ht="15.75">
      <c r="A50" s="404" t="s">
        <v>337</v>
      </c>
    </row>
    <row r="51" ht="15.75">
      <c r="A51" s="404" t="s">
        <v>338</v>
      </c>
    </row>
    <row r="52" ht="15.75">
      <c r="A52" s="404" t="s">
        <v>339</v>
      </c>
    </row>
    <row r="53" ht="15.75">
      <c r="A53" s="404" t="s">
        <v>340</v>
      </c>
    </row>
    <row r="54" ht="15.75">
      <c r="A54" s="406" t="s">
        <v>342</v>
      </c>
    </row>
    <row r="56" ht="15.75">
      <c r="A56" s="396" t="s">
        <v>302</v>
      </c>
    </row>
    <row r="57" ht="15.75">
      <c r="A57" s="1" t="s">
        <v>303</v>
      </c>
    </row>
    <row r="58" ht="15.75">
      <c r="A58" s="1" t="s">
        <v>306</v>
      </c>
    </row>
    <row r="59" ht="15.75">
      <c r="A59" s="1" t="s">
        <v>308</v>
      </c>
    </row>
    <row r="60" ht="15.75">
      <c r="A60" s="1" t="s">
        <v>307</v>
      </c>
    </row>
    <row r="62" ht="15.75">
      <c r="A62" s="396" t="s">
        <v>300</v>
      </c>
    </row>
    <row r="63" ht="15.75">
      <c r="A63" s="1" t="s">
        <v>301</v>
      </c>
    </row>
    <row r="65" ht="15.75">
      <c r="A65" s="396" t="s">
        <v>296</v>
      </c>
    </row>
    <row r="66" ht="15.75">
      <c r="A66" s="1" t="s">
        <v>297</v>
      </c>
    </row>
    <row r="67" ht="15.75">
      <c r="A67" s="1" t="s">
        <v>298</v>
      </c>
    </row>
    <row r="68" ht="15.75">
      <c r="A68" s="1" t="s">
        <v>299</v>
      </c>
    </row>
    <row r="70" ht="15.75">
      <c r="A70" s="397" t="s">
        <v>292</v>
      </c>
    </row>
    <row r="71" ht="15.75">
      <c r="A71" s="1" t="s">
        <v>293</v>
      </c>
    </row>
    <row r="72" ht="15.75">
      <c r="A72" s="1" t="s">
        <v>294</v>
      </c>
    </row>
    <row r="74" ht="15.75">
      <c r="A74" s="397" t="s">
        <v>271</v>
      </c>
    </row>
    <row r="75" ht="15.75">
      <c r="A75" s="1" t="s">
        <v>255</v>
      </c>
    </row>
    <row r="76" ht="33" customHeight="1">
      <c r="A76" s="4" t="s">
        <v>256</v>
      </c>
    </row>
    <row r="77" ht="15.75">
      <c r="A77" s="1" t="s">
        <v>257</v>
      </c>
    </row>
    <row r="78" ht="15.75">
      <c r="A78" s="1" t="s">
        <v>258</v>
      </c>
    </row>
    <row r="79" ht="15.75">
      <c r="A79" s="1" t="s">
        <v>259</v>
      </c>
    </row>
    <row r="80" ht="15.75">
      <c r="A80" s="1" t="s">
        <v>260</v>
      </c>
    </row>
    <row r="81" ht="36" customHeight="1">
      <c r="A81" s="4" t="s">
        <v>261</v>
      </c>
    </row>
    <row r="82" ht="35.25" customHeight="1">
      <c r="A82" s="4" t="s">
        <v>262</v>
      </c>
    </row>
    <row r="83" ht="33" customHeight="1">
      <c r="A83" s="4" t="s">
        <v>263</v>
      </c>
    </row>
    <row r="84" ht="24" customHeight="1">
      <c r="A84" s="4" t="s">
        <v>264</v>
      </c>
    </row>
    <row r="85" ht="35.25" customHeight="1">
      <c r="A85" s="4" t="s">
        <v>265</v>
      </c>
    </row>
    <row r="86" ht="15.75">
      <c r="A86" s="1" t="s">
        <v>266</v>
      </c>
    </row>
    <row r="87" ht="15.75">
      <c r="A87" s="1" t="s">
        <v>267</v>
      </c>
    </row>
    <row r="88" ht="15.75">
      <c r="A88" s="1" t="s">
        <v>268</v>
      </c>
    </row>
    <row r="89" ht="15.75">
      <c r="A89" s="1" t="s">
        <v>269</v>
      </c>
    </row>
    <row r="90" ht="15.75">
      <c r="A90" s="1" t="s">
        <v>270</v>
      </c>
    </row>
    <row r="93" ht="15.75">
      <c r="A93" s="1" t="s">
        <v>188</v>
      </c>
    </row>
    <row r="94" ht="15.75">
      <c r="A94" s="1" t="s">
        <v>189</v>
      </c>
    </row>
    <row r="95" ht="15.75">
      <c r="A95" s="1" t="s">
        <v>190</v>
      </c>
    </row>
    <row r="96" ht="15.75">
      <c r="A96" s="1" t="s">
        <v>191</v>
      </c>
    </row>
    <row r="97" ht="15.75">
      <c r="A97" s="1" t="s">
        <v>192</v>
      </c>
    </row>
    <row r="98" ht="15.75">
      <c r="A98" s="1" t="s">
        <v>193</v>
      </c>
    </row>
    <row r="99" ht="15.75">
      <c r="A99" s="1" t="s">
        <v>194</v>
      </c>
    </row>
    <row r="100" ht="15.75">
      <c r="A100" s="1" t="s">
        <v>195</v>
      </c>
    </row>
    <row r="101" ht="15.75">
      <c r="A101" s="1" t="s">
        <v>196</v>
      </c>
    </row>
    <row r="102" ht="15.75">
      <c r="A102" s="1" t="s">
        <v>197</v>
      </c>
    </row>
    <row r="103" ht="15.75">
      <c r="A103" s="1" t="s">
        <v>198</v>
      </c>
    </row>
    <row r="104" ht="15.75">
      <c r="A104" s="1" t="s">
        <v>199</v>
      </c>
    </row>
    <row r="105" ht="15.75">
      <c r="A105" s="1" t="s">
        <v>200</v>
      </c>
    </row>
    <row r="106" ht="15.75">
      <c r="A106" s="1" t="s">
        <v>201</v>
      </c>
    </row>
    <row r="107" ht="15.75">
      <c r="A107" s="1" t="s">
        <v>202</v>
      </c>
    </row>
    <row r="108" ht="15.75">
      <c r="A108" s="1" t="s">
        <v>211</v>
      </c>
    </row>
    <row r="109" ht="15.75">
      <c r="A109" s="1" t="s">
        <v>219</v>
      </c>
    </row>
    <row r="110" ht="15.75">
      <c r="A110" s="1" t="s">
        <v>220</v>
      </c>
    </row>
    <row r="111" ht="15.75">
      <c r="A111" s="1" t="s">
        <v>236</v>
      </c>
    </row>
    <row r="112" ht="15.75">
      <c r="A112" s="1" t="s">
        <v>237</v>
      </c>
    </row>
    <row r="113" ht="15.75">
      <c r="A113" s="1" t="s">
        <v>238</v>
      </c>
    </row>
    <row r="114" ht="15.75">
      <c r="A114" s="1" t="s">
        <v>231</v>
      </c>
    </row>
    <row r="115" ht="15.75">
      <c r="A115" s="1" t="s">
        <v>232</v>
      </c>
    </row>
    <row r="116" ht="15.75">
      <c r="A116" s="1" t="s">
        <v>239</v>
      </c>
    </row>
    <row r="117" ht="15.75">
      <c r="A117" s="1" t="s">
        <v>240</v>
      </c>
    </row>
    <row r="118" ht="15.75">
      <c r="A118" s="1" t="s">
        <v>249</v>
      </c>
    </row>
    <row r="119" ht="15.75">
      <c r="A119" s="1" t="s">
        <v>250</v>
      </c>
    </row>
    <row r="120" ht="15.75">
      <c r="A120" s="1"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6" sqref="D6"/>
    </sheetView>
  </sheetViews>
  <sheetFormatPr defaultColWidth="8.796875" defaultRowHeight="15"/>
  <cols>
    <col min="1" max="1" width="13.796875" style="0" customWidth="1"/>
    <col min="2" max="2" width="16.09765625" style="0" customWidth="1"/>
  </cols>
  <sheetData>
    <row r="2" spans="1:6" ht="54" customHeight="1">
      <c r="A2" s="638" t="s">
        <v>345</v>
      </c>
      <c r="B2" s="639"/>
      <c r="C2" s="639"/>
      <c r="D2" s="639"/>
      <c r="E2" s="639"/>
      <c r="F2" s="639"/>
    </row>
    <row r="4" spans="1:6" ht="15.75">
      <c r="A4" s="407"/>
      <c r="B4" s="407"/>
      <c r="C4" s="407"/>
      <c r="D4" s="408"/>
      <c r="E4" s="407"/>
      <c r="F4" s="407"/>
    </row>
    <row r="5" spans="1:6" ht="15.75">
      <c r="A5" s="409" t="s">
        <v>346</v>
      </c>
      <c r="B5" s="410" t="s">
        <v>773</v>
      </c>
      <c r="C5" s="411"/>
      <c r="D5" s="409" t="s">
        <v>754</v>
      </c>
      <c r="E5" s="407"/>
      <c r="F5" s="407"/>
    </row>
    <row r="6" spans="1:6" ht="15.75">
      <c r="A6" s="409"/>
      <c r="B6" s="412"/>
      <c r="C6" s="413"/>
      <c r="D6" s="409" t="s">
        <v>753</v>
      </c>
      <c r="E6" s="407"/>
      <c r="F6" s="407"/>
    </row>
    <row r="7" spans="1:6" ht="15.75">
      <c r="A7" s="409" t="s">
        <v>347</v>
      </c>
      <c r="B7" s="410" t="s">
        <v>772</v>
      </c>
      <c r="C7" s="414"/>
      <c r="D7" s="409"/>
      <c r="E7" s="407"/>
      <c r="F7" s="407"/>
    </row>
    <row r="8" spans="1:6" ht="15.75">
      <c r="A8" s="409"/>
      <c r="B8" s="409"/>
      <c r="C8" s="409"/>
      <c r="D8" s="409"/>
      <c r="E8" s="407"/>
      <c r="F8" s="407"/>
    </row>
    <row r="9" spans="1:6" ht="15.75">
      <c r="A9" s="409" t="s">
        <v>348</v>
      </c>
      <c r="B9" s="415" t="s">
        <v>762</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349</v>
      </c>
      <c r="B12" s="415" t="s">
        <v>763</v>
      </c>
      <c r="C12" s="415"/>
      <c r="D12" s="415"/>
      <c r="E12" s="416"/>
      <c r="F12" s="407"/>
    </row>
    <row r="15" spans="1:6" ht="15.75">
      <c r="A15" s="640" t="s">
        <v>350</v>
      </c>
      <c r="B15" s="640"/>
      <c r="C15" s="409"/>
      <c r="D15" s="409"/>
      <c r="E15" s="409"/>
      <c r="F15" s="407"/>
    </row>
    <row r="16" spans="1:6" ht="15.75">
      <c r="A16" s="409"/>
      <c r="B16" s="409"/>
      <c r="C16" s="409"/>
      <c r="D16" s="409"/>
      <c r="E16" s="409"/>
      <c r="F16" s="407"/>
    </row>
    <row r="17" spans="1:5" ht="15.75">
      <c r="A17" s="409" t="s">
        <v>346</v>
      </c>
      <c r="B17" s="412" t="s">
        <v>351</v>
      </c>
      <c r="C17" s="409"/>
      <c r="D17" s="409"/>
      <c r="E17" s="409"/>
    </row>
    <row r="18" spans="1:5" ht="15.75">
      <c r="A18" s="409"/>
      <c r="B18" s="409"/>
      <c r="C18" s="409"/>
      <c r="D18" s="409"/>
      <c r="E18" s="409"/>
    </row>
    <row r="19" spans="1:5" ht="15.75">
      <c r="A19" s="409" t="s">
        <v>347</v>
      </c>
      <c r="B19" s="409" t="s">
        <v>352</v>
      </c>
      <c r="C19" s="409"/>
      <c r="D19" s="409"/>
      <c r="E19" s="409"/>
    </row>
    <row r="20" spans="1:5" ht="15.75">
      <c r="A20" s="409"/>
      <c r="B20" s="409"/>
      <c r="C20" s="409"/>
      <c r="D20" s="409"/>
      <c r="E20" s="409"/>
    </row>
    <row r="21" spans="1:5" ht="15.75">
      <c r="A21" s="409" t="s">
        <v>348</v>
      </c>
      <c r="B21" s="409" t="s">
        <v>353</v>
      </c>
      <c r="C21" s="409"/>
      <c r="D21" s="409"/>
      <c r="E21" s="409"/>
    </row>
    <row r="22" spans="1:5" ht="15.75">
      <c r="A22" s="409"/>
      <c r="B22" s="409"/>
      <c r="C22" s="409"/>
      <c r="D22" s="409"/>
      <c r="E22" s="409"/>
    </row>
    <row r="23" spans="1:5" ht="15.75">
      <c r="A23" s="409" t="s">
        <v>349</v>
      </c>
      <c r="B23" s="409" t="s">
        <v>354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25">
      <selection activeCell="F35" sqref="F35:G35"/>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2" t="s">
        <v>75</v>
      </c>
      <c r="B2" s="642"/>
      <c r="C2" s="642"/>
      <c r="D2" s="642"/>
      <c r="E2" s="642"/>
      <c r="F2" s="642"/>
      <c r="G2" s="642"/>
    </row>
    <row r="3" spans="1:7" ht="15.75">
      <c r="A3" s="100"/>
      <c r="B3" s="100"/>
      <c r="C3" s="100"/>
      <c r="D3" s="100"/>
      <c r="E3" s="100"/>
      <c r="F3" s="100"/>
      <c r="G3" s="110">
        <f>inputPrYr!D11</f>
        <v>2012</v>
      </c>
    </row>
    <row r="4" spans="1:7" ht="15.75">
      <c r="A4" s="645" t="str">
        <f>CONCATENATE("To the Clerk of ",inputPrYr!D4,", State of Kansas")</f>
        <v>To the Clerk of Thomas County, State of Kansas</v>
      </c>
      <c r="B4" s="645"/>
      <c r="C4" s="645"/>
      <c r="D4" s="645"/>
      <c r="E4" s="645"/>
      <c r="F4" s="645"/>
      <c r="G4" s="645"/>
    </row>
    <row r="5" spans="1:7" ht="15.75">
      <c r="A5" s="151" t="s">
        <v>175</v>
      </c>
      <c r="B5" s="110"/>
      <c r="C5" s="110"/>
      <c r="D5" s="110"/>
      <c r="E5" s="110"/>
      <c r="F5" s="110"/>
      <c r="G5" s="110"/>
    </row>
    <row r="6" spans="1:7" ht="15.75">
      <c r="A6" s="627" t="str">
        <f>inputPrYr!D3</f>
        <v>Rexford Cemetery</v>
      </c>
      <c r="B6" s="627"/>
      <c r="C6" s="627"/>
      <c r="D6" s="627"/>
      <c r="E6" s="627"/>
      <c r="F6" s="627"/>
      <c r="G6" s="627"/>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46" t="str">
        <f>CONCATENATE("",G3," Adopted Budget")</f>
        <v>2012 Adopted Budget</v>
      </c>
      <c r="F12" s="647"/>
      <c r="G12" s="648"/>
    </row>
    <row r="13" spans="1:8" ht="15.75">
      <c r="A13" s="99"/>
      <c r="B13" s="100"/>
      <c r="C13" s="100"/>
      <c r="D13" s="127"/>
      <c r="E13" s="213" t="s">
        <v>11</v>
      </c>
      <c r="F13" s="643" t="str">
        <f>CONCATENATE("Amount of  ",G3-1," Ad Valorem Tax")</f>
        <v>Amount of  2011 Ad Valorem Tax</v>
      </c>
      <c r="G13" s="214" t="s">
        <v>12</v>
      </c>
      <c r="H13" s="215"/>
    </row>
    <row r="14" spans="1:7" ht="15.75">
      <c r="A14" s="100"/>
      <c r="B14" s="100"/>
      <c r="C14" s="100"/>
      <c r="D14" s="216" t="s">
        <v>13</v>
      </c>
      <c r="E14" s="157" t="s">
        <v>228</v>
      </c>
      <c r="F14" s="644"/>
      <c r="G14" s="214" t="s">
        <v>14</v>
      </c>
    </row>
    <row r="15" spans="1:7" ht="15.75">
      <c r="A15" s="101" t="s">
        <v>15</v>
      </c>
      <c r="B15" s="100"/>
      <c r="C15" s="100"/>
      <c r="D15" s="157" t="s">
        <v>16</v>
      </c>
      <c r="E15" s="157" t="s">
        <v>592</v>
      </c>
      <c r="F15" s="644"/>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17" t="s">
        <v>19</v>
      </c>
      <c r="B21" s="225"/>
      <c r="C21" s="618" t="s">
        <v>20</v>
      </c>
      <c r="D21" s="220"/>
      <c r="E21" s="226"/>
      <c r="F21" s="127"/>
      <c r="G21" s="131"/>
    </row>
    <row r="22" spans="1:7" ht="15.75">
      <c r="A22" s="227" t="s">
        <v>5</v>
      </c>
      <c r="B22" s="225"/>
      <c r="C22" s="228" t="str">
        <f>inputPrYr!C24</f>
        <v>17-1330</v>
      </c>
      <c r="D22" s="201">
        <v>6</v>
      </c>
      <c r="E22" s="229">
        <f>IF(gen!$E$61&lt;&gt;0,gen!$E$61,"  ")</f>
        <v>9464</v>
      </c>
      <c r="F22" s="229">
        <f>IF(gen!$E$68&lt;&gt;0,gen!$E$68,"  ")</f>
        <v>11401</v>
      </c>
      <c r="G22" s="230">
        <f>IF(AND(gen!E68=0,$F$39&gt;=0)," ",IF(AND(F22&gt;0,$F$39=0)," ",IF(AND(F22&gt;0,$F$39&gt;0),ROUND(F22/$F$39*1000,3))))</f>
        <v>2.939</v>
      </c>
    </row>
    <row r="23" spans="1:7" ht="15.75">
      <c r="A23" s="227" t="s">
        <v>295</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9464</v>
      </c>
      <c r="F29" s="177">
        <f>SUM(F22:F27)</f>
        <v>11401</v>
      </c>
      <c r="G29" s="241">
        <f>IF(SUM(G22:G27)=0,"",SUM(G22:G27))</f>
        <v>2.939</v>
      </c>
    </row>
    <row r="30" spans="1:7" ht="16.5" thickTop="1">
      <c r="A30" s="227" t="s">
        <v>207</v>
      </c>
      <c r="B30" s="232"/>
      <c r="C30" s="225"/>
      <c r="D30" s="242">
        <f>summ!E37</f>
        <v>7</v>
      </c>
      <c r="E30" s="243" t="s">
        <v>209</v>
      </c>
      <c r="F30" s="244" t="str">
        <f>IF(F29&gt;computation!J34,"Yes","No")</f>
        <v>Yes</v>
      </c>
      <c r="G30" s="100"/>
    </row>
    <row r="31" spans="1:7" ht="15.75">
      <c r="A31" s="227" t="s">
        <v>233</v>
      </c>
      <c r="B31" s="232"/>
      <c r="C31" s="225"/>
      <c r="D31" s="242">
        <f>IF(Nhood!C35&gt;0,Nhood!C35,"")</f>
      </c>
      <c r="E31" s="100"/>
      <c r="F31" s="100"/>
      <c r="G31" s="99" t="s">
        <v>22</v>
      </c>
    </row>
    <row r="32" spans="1:7" ht="15.75">
      <c r="A32" s="227" t="s">
        <v>208</v>
      </c>
      <c r="B32" s="232"/>
      <c r="C32" s="225"/>
      <c r="D32" s="242">
        <f>IF(Resolution!E45&gt;0,Resolution!E45,"")</f>
        <v>8</v>
      </c>
      <c r="E32" s="619"/>
      <c r="F32" s="245"/>
      <c r="G32" s="99"/>
    </row>
    <row r="33" spans="1:7" ht="15.75">
      <c r="A33" s="99" t="s">
        <v>22</v>
      </c>
      <c r="B33" s="99" t="s">
        <v>22</v>
      </c>
      <c r="C33" s="99" t="s">
        <v>22</v>
      </c>
      <c r="D33" s="246" t="s">
        <v>151</v>
      </c>
      <c r="E33" s="127"/>
      <c r="F33" s="651" t="s">
        <v>132</v>
      </c>
      <c r="G33" s="648"/>
    </row>
    <row r="34" spans="1:7" ht="15.75">
      <c r="A34" s="100" t="s">
        <v>343</v>
      </c>
      <c r="B34" s="100"/>
      <c r="C34" s="99" t="s">
        <v>22</v>
      </c>
      <c r="D34" s="227" t="str">
        <f>inputPrYr!D4</f>
        <v>Thomas County</v>
      </c>
      <c r="E34" s="232"/>
      <c r="F34" s="652">
        <v>3139616</v>
      </c>
      <c r="G34" s="653"/>
    </row>
    <row r="35" spans="1:7" ht="15.75">
      <c r="A35" s="247" t="s">
        <v>776</v>
      </c>
      <c r="B35" s="247"/>
      <c r="C35" s="99" t="s">
        <v>22</v>
      </c>
      <c r="D35" s="227" t="str">
        <f>inputPrYr!D6</f>
        <v>Sheridan County</v>
      </c>
      <c r="E35" s="232"/>
      <c r="F35" s="652">
        <v>740244</v>
      </c>
      <c r="G35" s="653"/>
    </row>
    <row r="36" spans="1:7" ht="15.75">
      <c r="A36" s="248" t="s">
        <v>777</v>
      </c>
      <c r="B36" s="248"/>
      <c r="C36" s="99" t="s">
        <v>22</v>
      </c>
      <c r="D36" s="227">
        <f>inputPrYr!D7</f>
        <v>0</v>
      </c>
      <c r="E36" s="232"/>
      <c r="F36" s="652"/>
      <c r="G36" s="653"/>
    </row>
    <row r="37" spans="1:7" ht="15.75">
      <c r="A37" s="103" t="s">
        <v>344</v>
      </c>
      <c r="B37" s="221"/>
      <c r="C37" s="99" t="s">
        <v>22</v>
      </c>
      <c r="D37" s="227">
        <f>inputPrYr!D8</f>
        <v>0</v>
      </c>
      <c r="E37" s="232"/>
      <c r="F37" s="652"/>
      <c r="G37" s="653"/>
    </row>
    <row r="38" spans="1:7" ht="15.75">
      <c r="A38" s="247" t="s">
        <v>779</v>
      </c>
      <c r="B38" s="247"/>
      <c r="C38" s="99" t="s">
        <v>22</v>
      </c>
      <c r="D38" s="227">
        <f>inputPrYr!D9</f>
        <v>0</v>
      </c>
      <c r="E38" s="232"/>
      <c r="F38" s="652"/>
      <c r="G38" s="653"/>
    </row>
    <row r="39" spans="1:7" ht="15.75">
      <c r="A39" s="248" t="s">
        <v>778</v>
      </c>
      <c r="B39" s="248"/>
      <c r="C39" s="99" t="s">
        <v>22</v>
      </c>
      <c r="D39" s="227" t="s">
        <v>152</v>
      </c>
      <c r="E39" s="232"/>
      <c r="F39" s="654">
        <f>SUM(F34:F38)</f>
        <v>3879860</v>
      </c>
      <c r="G39" s="655"/>
    </row>
    <row r="40" spans="1:7" ht="15.75">
      <c r="A40" s="248"/>
      <c r="B40" s="248"/>
      <c r="C40" s="99" t="s">
        <v>22</v>
      </c>
      <c r="D40" s="99" t="s">
        <v>22</v>
      </c>
      <c r="E40" s="107"/>
      <c r="F40" s="651" t="str">
        <f>CONCATENATE("November 1, ",G3-1," Valuation")</f>
        <v>November 1, 2011 Valuation</v>
      </c>
      <c r="G40" s="653"/>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2" t="s">
        <v>22</v>
      </c>
      <c r="C45" s="107"/>
      <c r="D45" s="107"/>
      <c r="E45" s="107"/>
      <c r="F45" s="620"/>
      <c r="G45" s="620"/>
    </row>
    <row r="46" spans="1:7" ht="15.75">
      <c r="A46" s="99" t="s">
        <v>22</v>
      </c>
      <c r="B46" s="99" t="s">
        <v>22</v>
      </c>
      <c r="C46" s="107"/>
      <c r="D46" s="107"/>
      <c r="E46" s="107"/>
      <c r="F46" s="620"/>
      <c r="G46" s="620"/>
    </row>
    <row r="47" spans="1:7" ht="15.75">
      <c r="A47" s="99" t="s">
        <v>22</v>
      </c>
      <c r="B47" s="99" t="s">
        <v>22</v>
      </c>
      <c r="C47" s="107"/>
      <c r="D47" s="235"/>
      <c r="E47" s="235"/>
      <c r="F47" s="621"/>
      <c r="G47" s="621"/>
    </row>
    <row r="48" spans="1:7" ht="15.75">
      <c r="A48" s="99" t="s">
        <v>176</v>
      </c>
      <c r="B48" s="107"/>
      <c r="C48" s="99">
        <f>G3-1</f>
        <v>2011</v>
      </c>
      <c r="D48" s="127"/>
      <c r="E48" s="127"/>
      <c r="F48" s="187"/>
      <c r="G48" s="187"/>
    </row>
    <row r="49" spans="1:7" ht="15.75">
      <c r="A49" s="99" t="s">
        <v>22</v>
      </c>
      <c r="B49" s="99" t="s">
        <v>22</v>
      </c>
      <c r="C49" s="99" t="s">
        <v>22</v>
      </c>
      <c r="D49" s="100"/>
      <c r="E49" s="100"/>
      <c r="F49" s="110"/>
      <c r="G49" s="110"/>
    </row>
    <row r="50" spans="1:7" ht="15.75">
      <c r="A50" s="656"/>
      <c r="B50" s="657"/>
      <c r="C50" s="100"/>
      <c r="D50" s="127"/>
      <c r="E50" s="127"/>
      <c r="F50" s="127"/>
      <c r="G50" s="127"/>
    </row>
    <row r="51" spans="1:7" ht="15.75">
      <c r="A51" s="110" t="s">
        <v>24</v>
      </c>
      <c r="B51" s="110"/>
      <c r="C51" s="100"/>
      <c r="D51" s="649" t="s">
        <v>23</v>
      </c>
      <c r="E51" s="650"/>
      <c r="F51" s="650"/>
      <c r="G51" s="650"/>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1"/>
    </row>
    <row r="55" spans="1:7" ht="15.75">
      <c r="A55" s="98"/>
      <c r="B55" s="98"/>
      <c r="C55" s="98"/>
      <c r="D55" s="98"/>
      <c r="E55" s="98"/>
      <c r="F55" s="98"/>
      <c r="G55" s="641"/>
    </row>
    <row r="56" spans="1:7" ht="15.75">
      <c r="A56" s="98"/>
      <c r="B56" s="98"/>
      <c r="C56" s="98"/>
      <c r="D56" s="98"/>
      <c r="E56" s="98"/>
      <c r="F56" s="98"/>
      <c r="G56" s="641"/>
    </row>
    <row r="57" spans="1:7" ht="15.75">
      <c r="A57" s="98"/>
      <c r="B57" s="98"/>
      <c r="C57" s="98"/>
      <c r="D57" s="98"/>
      <c r="E57" s="98"/>
      <c r="F57" s="98"/>
      <c r="G57" s="641"/>
    </row>
    <row r="58" spans="1:7" ht="15.75">
      <c r="A58" s="98"/>
      <c r="B58" s="98"/>
      <c r="C58" s="98"/>
      <c r="D58" s="249"/>
      <c r="E58" s="98"/>
      <c r="F58" s="98"/>
      <c r="G58" s="641"/>
    </row>
    <row r="59" ht="15.75">
      <c r="G59" s="641"/>
    </row>
    <row r="60" ht="15.75">
      <c r="G60" s="641"/>
    </row>
    <row r="61" ht="15.75">
      <c r="G61" s="641"/>
    </row>
    <row r="62" ht="15.75">
      <c r="G62" s="641"/>
    </row>
    <row r="63" ht="15.75">
      <c r="G63" s="641"/>
    </row>
    <row r="64" ht="15.75">
      <c r="G64" s="641"/>
    </row>
    <row r="65" ht="15.75">
      <c r="G65" s="641"/>
    </row>
    <row r="66" ht="15.75">
      <c r="G66" s="641"/>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314336"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Rexford Cemetery</v>
      </c>
      <c r="D1" s="100"/>
      <c r="E1" s="100"/>
      <c r="F1" s="100"/>
      <c r="G1" s="100"/>
      <c r="H1" s="100"/>
      <c r="I1" s="100"/>
      <c r="J1" s="100">
        <f>inputPrYr!D11</f>
        <v>2012</v>
      </c>
    </row>
    <row r="2" spans="1:10" ht="15.75" customHeight="1">
      <c r="A2" s="100"/>
      <c r="B2" s="100"/>
      <c r="C2" s="100" t="str">
        <f>inputPrYr!D4</f>
        <v>Thomas County</v>
      </c>
      <c r="D2" s="100"/>
      <c r="E2" s="100"/>
      <c r="F2" s="100"/>
      <c r="G2" s="100"/>
      <c r="H2" s="100"/>
      <c r="I2" s="100"/>
      <c r="J2" s="100"/>
    </row>
    <row r="3" spans="1:10" ht="15.75">
      <c r="A3" s="658" t="str">
        <f>CONCATENATE("Computation to Determine Limit for ",J1,"")</f>
        <v>Computation to Determine Limit for 2012</v>
      </c>
      <c r="B3" s="642"/>
      <c r="C3" s="642"/>
      <c r="D3" s="642"/>
      <c r="E3" s="642"/>
      <c r="F3" s="642"/>
      <c r="G3" s="642"/>
      <c r="H3" s="642"/>
      <c r="I3" s="642"/>
      <c r="J3" s="642"/>
    </row>
    <row r="4" spans="1:10" ht="15.75">
      <c r="A4" s="100"/>
      <c r="B4" s="100"/>
      <c r="C4" s="100"/>
      <c r="D4" s="100"/>
      <c r="E4" s="642"/>
      <c r="F4" s="642"/>
      <c r="G4" s="642"/>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10578</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10578</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30317</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125324</v>
      </c>
      <c r="F14" s="253"/>
      <c r="G14" s="124"/>
      <c r="H14" s="124"/>
      <c r="I14" s="256"/>
      <c r="J14" s="124"/>
    </row>
    <row r="15" spans="1:10" ht="15.75">
      <c r="A15" s="252"/>
      <c r="B15" s="100" t="s">
        <v>95</v>
      </c>
      <c r="C15" s="100" t="str">
        <f>CONCATENATE("Personal Property ",J1-2,"")</f>
        <v>Personal Property 2010</v>
      </c>
      <c r="D15" s="252" t="s">
        <v>91</v>
      </c>
      <c r="E15" s="255">
        <f>inputOth!E40</f>
        <v>133250</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2124</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32441</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3880153</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3847712</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0.00843124433429529</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89</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10667</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10667</v>
      </c>
    </row>
    <row r="35" spans="1:10" ht="16.5" thickTop="1">
      <c r="A35" s="100"/>
      <c r="B35" s="100"/>
      <c r="C35" s="100"/>
      <c r="D35" s="100"/>
      <c r="E35" s="100"/>
      <c r="F35" s="100"/>
      <c r="G35" s="100"/>
      <c r="H35" s="100"/>
      <c r="I35" s="100"/>
      <c r="J35" s="100"/>
    </row>
    <row r="36" spans="1:10" ht="15.75">
      <c r="A36" s="649" t="str">
        <f>CONCATENATE("If the ",J1," budget includes tax levies exceeding the total on line 14, you must")</f>
        <v>If the 2012 budget includes tax levies exceeding the total on line 14, you must</v>
      </c>
      <c r="B36" s="649"/>
      <c r="C36" s="649"/>
      <c r="D36" s="649"/>
      <c r="E36" s="649"/>
      <c r="F36" s="649"/>
      <c r="G36" s="649"/>
      <c r="H36" s="649"/>
      <c r="I36" s="649"/>
      <c r="J36" s="649"/>
    </row>
    <row r="37" spans="1:10" ht="15.75">
      <c r="A37" s="649" t="s">
        <v>116</v>
      </c>
      <c r="B37" s="649"/>
      <c r="C37" s="649"/>
      <c r="D37" s="649"/>
      <c r="E37" s="649"/>
      <c r="F37" s="649"/>
      <c r="G37" s="649"/>
      <c r="H37" s="649"/>
      <c r="I37" s="649"/>
      <c r="J37" s="64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Rexford Cemetery</v>
      </c>
      <c r="C1" s="100"/>
      <c r="D1" s="100"/>
      <c r="E1" s="100"/>
      <c r="F1" s="100"/>
      <c r="G1" s="100"/>
      <c r="H1" s="100"/>
      <c r="I1" s="261"/>
      <c r="J1" s="100"/>
    </row>
    <row r="2" spans="1:10" ht="15.75">
      <c r="A2" s="100"/>
      <c r="B2" s="100" t="str">
        <f>inputPrYr!D4</f>
        <v>Thomas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1" t="s">
        <v>253</v>
      </c>
      <c r="C6" s="661"/>
      <c r="D6" s="661"/>
      <c r="E6" s="661"/>
      <c r="F6" s="661"/>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59" t="str">
        <f>CONCATENATE("",J2-1,"                    Budgeted Funds")</f>
        <v>2011                    Budgeted Funds</v>
      </c>
      <c r="C9" s="643" t="str">
        <f>CONCATENATE("Tax Levy Amount in ",J2-2," Budget")</f>
        <v>Tax Levy Amount in 2010 Budget</v>
      </c>
      <c r="D9" s="646" t="str">
        <f>CONCATENATE("Allocation for Year ",J2,"")</f>
        <v>Allocation for Year 2012</v>
      </c>
      <c r="E9" s="662"/>
      <c r="F9" s="662"/>
      <c r="G9" s="648"/>
      <c r="H9" s="100"/>
      <c r="I9" s="100"/>
      <c r="J9" s="100"/>
    </row>
    <row r="10" spans="1:10" ht="15.75">
      <c r="A10" s="100"/>
      <c r="B10" s="660"/>
      <c r="C10" s="660"/>
      <c r="D10" s="160" t="s">
        <v>38</v>
      </c>
      <c r="E10" s="160" t="s">
        <v>39</v>
      </c>
      <c r="F10" s="160" t="s">
        <v>83</v>
      </c>
      <c r="G10" s="160" t="s">
        <v>174</v>
      </c>
      <c r="H10" s="100"/>
      <c r="I10" s="100"/>
      <c r="J10" s="100"/>
    </row>
    <row r="11" spans="1:10" ht="15.75">
      <c r="A11" s="100"/>
      <c r="B11" s="134" t="str">
        <f>inputPrYr!B24</f>
        <v>General</v>
      </c>
      <c r="C11" s="162">
        <f>inputPrYr!E24</f>
        <v>10578</v>
      </c>
      <c r="D11" s="162">
        <f>IF(E17=0,0,E17-D12-D13-D14)</f>
        <v>1218</v>
      </c>
      <c r="E11" s="162">
        <f>IF(E19=0,0,E19-E12-E13-E14)</f>
        <v>21</v>
      </c>
      <c r="F11" s="162">
        <f>IF(E21=0,0,E21-F12-F13-F14)</f>
        <v>186</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10578</v>
      </c>
      <c r="D15" s="172">
        <f>SUM(D11:D14)</f>
        <v>1218</v>
      </c>
      <c r="E15" s="172">
        <f>SUM(E11:E14)</f>
        <v>21</v>
      </c>
      <c r="F15" s="172">
        <f>SUM(F11:F14)</f>
        <v>186</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1218</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21</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186</v>
      </c>
      <c r="F21" s="100"/>
      <c r="G21" s="100"/>
      <c r="H21" s="100"/>
      <c r="I21" s="100"/>
      <c r="J21" s="100"/>
    </row>
    <row r="22" spans="1:10" ht="15.75">
      <c r="A22" s="100"/>
      <c r="B22" s="100"/>
      <c r="C22" s="100"/>
      <c r="D22" s="100"/>
      <c r="E22" s="100"/>
      <c r="F22" s="100"/>
      <c r="G22" s="100"/>
      <c r="H22" s="100"/>
      <c r="I22" s="100"/>
      <c r="J22" s="100"/>
    </row>
    <row r="23" spans="1:10" ht="15.75">
      <c r="A23" s="100"/>
      <c r="B23" s="100" t="s">
        <v>225</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0.11514463981849121</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0.0019852524106636414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0.01758366420873511</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226</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Rexford Cemetery</v>
      </c>
      <c r="B2" s="270"/>
      <c r="C2" s="100"/>
      <c r="D2" s="100"/>
      <c r="E2" s="261"/>
      <c r="F2" s="100"/>
    </row>
    <row r="3" spans="1:6" ht="15.75">
      <c r="A3" s="270" t="str">
        <f>inputPrYr!D4</f>
        <v>Thomas County</v>
      </c>
      <c r="B3" s="270"/>
      <c r="C3" s="100"/>
      <c r="D3" s="100"/>
      <c r="E3" s="261"/>
      <c r="F3" s="100"/>
    </row>
    <row r="4" spans="1:6" ht="15.75">
      <c r="A4" s="179"/>
      <c r="B4" s="100"/>
      <c r="C4" s="100"/>
      <c r="D4" s="100"/>
      <c r="E4" s="261"/>
      <c r="F4" s="100"/>
    </row>
    <row r="5" spans="1:6" ht="15" customHeight="1">
      <c r="A5" s="642" t="s">
        <v>140</v>
      </c>
      <c r="B5" s="642"/>
      <c r="C5" s="642"/>
      <c r="D5" s="642"/>
      <c r="E5" s="642"/>
      <c r="F5" s="642"/>
    </row>
    <row r="6" spans="1:6" ht="14.25" customHeight="1">
      <c r="A6" s="193"/>
      <c r="B6" s="271"/>
      <c r="C6" s="271"/>
      <c r="D6" s="271"/>
      <c r="E6" s="271"/>
      <c r="F6" s="271"/>
    </row>
    <row r="7" spans="1:6" ht="17.25" customHeight="1">
      <c r="A7" s="272" t="s">
        <v>17</v>
      </c>
      <c r="B7" s="272" t="s">
        <v>584</v>
      </c>
      <c r="C7" s="272" t="s">
        <v>44</v>
      </c>
      <c r="D7" s="272" t="s">
        <v>141</v>
      </c>
      <c r="E7" s="272" t="s">
        <v>142</v>
      </c>
      <c r="F7" s="272" t="s">
        <v>166</v>
      </c>
    </row>
    <row r="8" spans="1:6" ht="17.25" customHeight="1">
      <c r="A8" s="273" t="s">
        <v>585</v>
      </c>
      <c r="B8" s="273" t="s">
        <v>586</v>
      </c>
      <c r="C8" s="273" t="s">
        <v>167</v>
      </c>
      <c r="D8" s="273" t="s">
        <v>167</v>
      </c>
      <c r="E8" s="273" t="s">
        <v>167</v>
      </c>
      <c r="F8" s="273" t="s">
        <v>168</v>
      </c>
    </row>
    <row r="9" spans="1:6" s="276" customFormat="1" ht="18" customHeight="1">
      <c r="A9" s="274" t="s">
        <v>169</v>
      </c>
      <c r="B9" s="274" t="s">
        <v>170</v>
      </c>
      <c r="C9" s="275">
        <f>F1-2</f>
        <v>2010</v>
      </c>
      <c r="D9" s="275">
        <f>F1-1</f>
        <v>2011</v>
      </c>
      <c r="E9" s="275">
        <f>F1</f>
        <v>2012</v>
      </c>
      <c r="F9" s="274" t="s">
        <v>171</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582</v>
      </c>
      <c r="C25" s="285"/>
      <c r="D25" s="286"/>
      <c r="E25" s="286"/>
      <c r="F25" s="283"/>
      <c r="G25" s="192"/>
    </row>
    <row r="26" spans="1:7" ht="15.75">
      <c r="A26" s="117"/>
      <c r="B26" s="281" t="s">
        <v>172</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583</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2011-07-08T16:50:15Z</cp:lastPrinted>
  <dcterms:created xsi:type="dcterms:W3CDTF">1999-08-06T13:59:57Z</dcterms:created>
  <dcterms:modified xsi:type="dcterms:W3CDTF">2011-10-25T08:04:18Z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