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1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Employee Benefits" sheetId="14" r:id="rId14"/>
    <sheet name="levypage9" sheetId="15" r:id="rId15"/>
    <sheet name="NonBud" sheetId="16" r:id="rId16"/>
    <sheet name="NonBudFunds" sheetId="17" r:id="rId17"/>
    <sheet name="summ" sheetId="18" r:id="rId18"/>
    <sheet name="Notice of Publication"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'DebtService'!$B$1:$E$63</definedName>
    <definedName name="_xlnm.Print_Area" localSheetId="11">'gen'!$B$1:$F$63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<sst xmlns="http://schemas.openxmlformats.org/spreadsheetml/2006/main" count="1139" uniqueCount="769">
  <si>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</si>
  <si>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</si>
  <si>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</si>
  <si>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</si>
  <si>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</si>
  <si>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</si>
  <si>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</si>
  <si>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</si>
  <si>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</si>
  <si>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</si>
  <si>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</si>
  <si>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</si>
  <si>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</si>
  <si>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</si>
  <si>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</si>
  <si>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</si>
  <si>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</si>
  <si>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</si>
  <si>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</si>
  <si>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</si>
  <si>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</si>
  <si>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</si>
  <si>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</si>
  <si>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</si>
  <si>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</si>
  <si>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</si>
  <si>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</si>
  <si>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</si>
  <si>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</si>
  <si>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</si>
  <si>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</si>
  <si>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</si>
  <si>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</si>
  <si>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</si>
  <si>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</si>
  <si>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</si>
  <si>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</si>
  <si>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</si>
  <si>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</si>
  <si>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</si>
  <si>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</si>
  <si>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</si>
  <si>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</si>
  <si>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</si>
  <si>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</si>
  <si>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</si>
  <si>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</si>
  <si>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</si>
  <si>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</si>
  <si>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</si>
  <si>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</si>
  <si>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</si>
  <si>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</si>
  <si>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</si>
  <si>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</si>
  <si>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</si>
  <si>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</si>
  <si>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</si>
  <si>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</si>
  <si>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</si>
  <si>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</si>
  <si>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</si>
  <si>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</si>
  <si>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</si>
  <si>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</si>
  <si>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</si>
  <si>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</si>
  <si>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</si>
  <si>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</si>
  <si>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</si>
  <si>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</si>
  <si>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</si>
  <si>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</si>
  <si>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</si>
  <si>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</si>
  <si>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</si>
  <si>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</si>
  <si>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</si>
  <si>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</si>
  <si>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</si>
  <si>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</si>
  <si>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</si>
  <si>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</si>
  <si>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</si>
  <si>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</si>
  <si>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</si>
  <si>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</si>
  <si>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</si>
  <si>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</si>
  <si>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</si>
  <si>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</si>
  <si>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</si>
  <si>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</si>
  <si>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</si>
  <si>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</si>
  <si>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</si>
  <si>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</si>
  <si>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</si>
  <si>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</si>
  <si>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</si>
  <si>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</si>
  <si>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</si>
  <si>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</si>
  <si>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</si>
  <si>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</si>
  <si>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</si>
  <si>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</si>
  <si>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</si>
  <si>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</si>
  <si>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</si>
  <si>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</si>
  <si>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</si>
  <si>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</si>
  <si>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</si>
  <si>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</si>
  <si>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</si>
  <si>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</si>
  <si>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</si>
  <si>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</si>
  <si>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</si>
  <si>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</si>
  <si>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</si>
  <si>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</si>
  <si>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</si>
  <si>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</si>
  <si>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</si>
  <si>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</si>
  <si>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</si>
  <si>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</si>
  <si>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</si>
  <si>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</si>
  <si>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</si>
  <si>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</si>
  <si>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</si>
  <si>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</si>
  <si>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</si>
  <si>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</si>
  <si>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</si>
  <si>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</si>
  <si>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</si>
  <si>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</si>
  <si>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</si>
  <si>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</si>
  <si>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</si>
  <si>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</si>
  <si>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</si>
  <si>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</si>
  <si>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</si>
  <si>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</si>
  <si>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</si>
  <si>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</si>
  <si>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</si>
  <si>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</si>
  <si>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</si>
  <si>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</si>
  <si>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</si>
  <si>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</si>
  <si>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</si>
  <si>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</si>
  <si>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</si>
  <si>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</si>
  <si>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</si>
  <si>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</si>
  <si>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</si>
  <si>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</si>
  <si>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</si>
  <si>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</si>
  <si>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</si>
  <si>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</si>
  <si>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</si>
  <si>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</si>
  <si>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</si>
  <si>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</si>
  <si>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</si>
  <si>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</si>
  <si>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</si>
  <si>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</si>
  <si>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</si>
  <si>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</si>
  <si>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</si>
  <si>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</si>
  <si>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</si>
  <si>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</si>
  <si>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</si>
  <si>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</si>
  <si>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</si>
  <si>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</si>
  <si>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</si>
  <si>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</si>
  <si>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</si>
  <si>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</si>
  <si>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</si>
  <si>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</si>
  <si>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</si>
  <si>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</si>
  <si>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</si>
  <si>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</si>
  <si>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</si>
  <si>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</si>
  <si>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</si>
  <si>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</si>
  <si>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</si>
  <si>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</si>
  <si>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</si>
  <si>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</si>
  <si>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</si>
  <si>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</si>
  <si>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</si>
  <si>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</si>
  <si>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</si>
  <si>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</si>
  <si>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</si>
  <si>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</si>
  <si>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</si>
  <si>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</si>
  <si>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</si>
  <si>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</si>
  <si>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</si>
  <si>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</si>
  <si>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</si>
  <si>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</si>
  <si>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</si>
  <si>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</si>
  <si>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</si>
  <si>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</si>
  <si>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</si>
  <si>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</si>
  <si>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</si>
  <si>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</si>
  <si>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</si>
  <si>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</si>
  <si>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</si>
  <si>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</si>
  <si>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</si>
  <si>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</si>
  <si>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</si>
  <si>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</si>
  <si>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</si>
  <si>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</si>
  <si>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</si>
  <si>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</si>
  <si>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</si>
  <si>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</si>
  <si>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</si>
  <si>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</si>
  <si>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</si>
  <si>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</si>
  <si>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</si>
  <si>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</si>
  <si>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</si>
  <si>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</si>
  <si>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</si>
  <si>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</si>
  <si>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</si>
  <si>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</si>
  <si>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</si>
  <si>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</si>
  <si>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</si>
  <si>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</si>
  <si>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</si>
  <si>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</si>
  <si>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</si>
  <si>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</si>
  <si>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</si>
  <si>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</si>
  <si>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</si>
  <si>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</si>
  <si>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</si>
  <si>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</si>
  <si>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</si>
  <si>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</si>
  <si>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</si>
  <si>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</si>
  <si>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</si>
  <si>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</si>
  <si>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</si>
  <si>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</si>
  <si>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</si>
  <si>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</si>
  <si>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</si>
  <si>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</si>
  <si>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</si>
  <si>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</si>
  <si>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</si>
  <si>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</si>
  <si>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</si>
  <si>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</si>
  <si>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</si>
  <si>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</si>
  <si>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</si>
  <si>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</si>
  <si>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</si>
  <si>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</si>
  <si>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</si>
  <si>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</si>
  <si>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</si>
  <si>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</si>
  <si>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</si>
  <si>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</si>
  <si>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</si>
  <si>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</si>
  <si>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</si>
  <si>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</si>
  <si>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</si>
  <si>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</si>
  <si>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</si>
  <si>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</si>
  <si>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</si>
  <si>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</si>
  <si>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</si>
  <si>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</si>
  <si>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</si>
  <si>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</si>
  <si>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</si>
  <si>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</si>
  <si>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</si>
  <si>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</si>
  <si>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</si>
  <si>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</si>
  <si>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</si>
  <si>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</si>
  <si>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</si>
  <si>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</si>
  <si>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</si>
  <si>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</si>
  <si>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</si>
  <si>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</si>
  <si>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</si>
  <si>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</si>
  <si>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</si>
  <si>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</si>
  <si>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</si>
  <si>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</si>
  <si>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</si>
  <si>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</si>
  <si>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</si>
  <si>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</si>
  <si>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</si>
  <si>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</si>
  <si>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</si>
  <si>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</si>
  <si>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</si>
  <si>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</si>
  <si>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</si>
  <si>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</si>
  <si>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</si>
  <si>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</si>
  <si>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</si>
  <si>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</si>
  <si>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</si>
  <si>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</si>
  <si>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</si>
  <si>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</si>
  <si>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</si>
  <si>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</si>
  <si>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</si>
  <si>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</si>
  <si>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</si>
  <si>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</si>
  <si>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</si>
  <si>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</si>
  <si>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</si>
  <si>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</si>
  <si>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</si>
  <si>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</si>
  <si>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</si>
  <si>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</si>
  <si>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</si>
  <si>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</si>
  <si>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</si>
  <si>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</si>
  <si>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</si>
  <si>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</si>
  <si>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</si>
  <si>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</si>
  <si>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</si>
  <si>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</si>
  <si>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</si>
  <si>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</si>
  <si>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</si>
  <si>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</si>
  <si>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</si>
  <si>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</si>
  <si>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</si>
  <si>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</si>
  <si>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</si>
  <si>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</si>
  <si>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</si>
  <si>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</si>
  <si>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</si>
  <si>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</si>
  <si>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</si>
  <si>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</si>
  <si>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</si>
  <si>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</si>
  <si>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</si>
  <si>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</si>
  <si>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</si>
  <si>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</si>
  <si>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</si>
  <si>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</si>
  <si>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</si>
  <si>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</si>
  <si>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</si>
  <si>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</si>
  <si>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</si>
  <si>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</si>
  <si>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</si>
  <si>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</si>
  <si>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</si>
  <si>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</si>
  <si>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</si>
  <si>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</si>
  <si>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</si>
  <si>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</si>
  <si>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</si>
  <si>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</si>
  <si>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</si>
  <si>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</si>
  <si>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</si>
  <si>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</si>
  <si>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</si>
  <si>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</si>
  <si>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</si>
  <si>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</si>
  <si>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</si>
  <si>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</si>
  <si>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</si>
  <si>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</si>
  <si>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</si>
  <si>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</si>
  <si>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</si>
  <si>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</si>
  <si>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</si>
  <si>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</si>
  <si>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</si>
  <si>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</si>
  <si>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</si>
  <si>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</si>
  <si>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</si>
  <si>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</si>
  <si>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</si>
  <si>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</si>
  <si>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</si>
  <si>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</si>
  <si>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</si>
  <si>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</si>
  <si>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</si>
  <si>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</si>
  <si>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</si>
  <si>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</si>
  <si>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</si>
  <si>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</si>
  <si>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</si>
  <si>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</si>
  <si>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</si>
  <si>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</si>
  <si>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</si>
  <si>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</si>
  <si>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</si>
  <si>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</si>
  <si>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</si>
  <si>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</si>
  <si>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</si>
  <si>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</si>
  <si>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</si>
  <si>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</si>
  <si>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</si>
  <si>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</si>
  <si>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</si>
  <si>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</si>
  <si>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</si>
  <si>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</si>
  <si>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</si>
  <si>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</si>
  <si>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</si>
  <si>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</si>
  <si>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</si>
  <si>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</si>
  <si>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</si>
  <si>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</si>
  <si>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</si>
  <si>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</si>
  <si>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</si>
  <si>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</si>
  <si>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</si>
  <si>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</si>
  <si>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</si>
  <si>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</si>
  <si>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</si>
  <si>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</si>
  <si>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</si>
  <si>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</si>
  <si>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</si>
  <si>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</si>
  <si>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</si>
  <si>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</si>
  <si>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</si>
  <si>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</si>
  <si>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</si>
  <si>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</si>
  <si>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</si>
  <si>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</si>
  <si>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</si>
  <si>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</si>
  <si>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</si>
  <si>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</si>
  <si>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</si>
  <si>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</si>
  <si>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</si>
  <si>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</si>
  <si>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</si>
  <si>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</si>
  <si>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</si>
  <si>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</si>
  <si>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</si>
  <si>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</si>
  <si>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</si>
  <si>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</si>
  <si>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</si>
  <si>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</si>
  <si>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</si>
  <si>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</si>
  <si>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</si>
  <si>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</si>
  <si>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</si>
  <si>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</si>
  <si>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</si>
  <si>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</si>
  <si>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</si>
  <si>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</si>
  <si>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</si>
  <si>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</si>
  <si>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</si>
  <si>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</si>
  <si>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</si>
  <si>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</si>
  <si>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</si>
  <si>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</si>
  <si>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</si>
  <si>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</si>
  <si>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</si>
  <si>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</si>
  <si>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</si>
  <si>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</si>
  <si>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</si>
  <si>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</si>
  <si>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</si>
  <si>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</si>
  <si>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</si>
  <si>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</si>
  <si>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</si>
  <si>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</si>
  <si>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</si>
  <si>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</si>
  <si>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</si>
  <si>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</si>
  <si>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</si>
  <si>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</si>
  <si>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</si>
  <si>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</si>
  <si>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</si>
  <si>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</si>
  <si>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</si>
  <si>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</si>
  <si>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</si>
  <si>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</si>
  <si>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</si>
  <si>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</si>
  <si>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</si>
  <si>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</si>
  <si>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</si>
  <si>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</si>
  <si>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</si>
  <si>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</si>
  <si>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</si>
  <si>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</si>
  <si>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</si>
  <si>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</si>
  <si>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</si>
  <si>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</si>
  <si>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</si>
  <si>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</si>
  <si>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</si>
  <si>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</si>
  <si>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</si>
  <si>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</si>
  <si>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</si>
  <si>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</si>
  <si>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</si>
  <si>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</si>
  <si>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</si>
  <si>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</si>
  <si>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</si>
  <si>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</si>
  <si>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</si>
  <si>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</si>
  <si>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</si>
  <si>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</si>
  <si>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</si>
  <si>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</si>
  <si>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</si>
  <si>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</si>
  <si>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</si>
  <si>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</si>
  <si>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</si>
  <si>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</si>
  <si>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</si>
  <si>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</si>
  <si>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</si>
  <si>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</si>
  <si>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</si>
  <si>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</si>
  <si>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</si>
  <si>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</si>
  <si>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</si>
  <si>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</si>
  <si>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</si>
  <si>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</si>
  <si>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</si>
  <si>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</si>
  <si>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</si>
  <si>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</si>
  <si>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</si>
  <si>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</si>
  <si>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</si>
  <si>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</si>
  <si>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</si>
  <si>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</si>
  <si>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</si>
  <si>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</si>
  <si>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</si>
  <si>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</si>
  <si>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</si>
  <si>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</si>
  <si>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</si>
  <si>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</si>
  <si>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</si>
  <si>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</si>
  <si>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</si>
  <si>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</si>
  <si>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</si>
  <si>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</si>
  <si>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</si>
  <si>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</si>
  <si>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</si>
  <si>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</si>
  <si>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</si>
  <si>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</si>
  <si>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</si>
  <si>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</si>
  <si>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</si>
  <si>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</si>
  <si>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</si>
  <si>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</si>
  <si>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</si>
  <si>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</si>
  <si>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</si>
  <si>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</si>
  <si>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</si>
  <si>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</si>
  <si>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</si>
  <si>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</si>
  <si>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</si>
  <si>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</si>
  <si>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</si>
  <si>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</si>
  <si>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</si>
  <si>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</si>
  <si>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</si>
  <si>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</si>
  <si>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</si>
  <si>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</si>
  <si>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</si>
  <si>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</si>
  <si>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</si>
  <si>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</si>
  <si>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</si>
  <si>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</si>
  <si>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</si>
  <si>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</si>
  <si>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</si>
  <si>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</si>
  <si>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</si>
  <si>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</si>
  <si>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</si>
  <si>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</si>
  <si>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</si>
  <si>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</si>
  <si>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</si>
  <si>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</si>
  <si>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</si>
  <si>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</si>
  <si>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</si>
  <si>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</si>
  <si>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</si>
  <si>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</si>
  <si>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</si>
  <si>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</si>
  <si>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</si>
  <si>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</si>
  <si>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</si>
  <si>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</si>
  <si>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</si>
  <si>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</si>
  <si>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</si>
  <si>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</si>
  <si>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</si>
  <si>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</si>
  <si>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</si>
  <si>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</si>
  <si>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</si>
  <si>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</si>
  <si>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</si>
  <si>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</si>
  <si>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</si>
  <si>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</si>
  <si>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</si>
  <si>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</si>
  <si>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</si>
  <si>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</si>
  <si>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</si>
  <si>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</si>
  <si>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</si>
  <si>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</si>
  <si>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</si>
  <si>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</si>
  <si>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</si>
  <si>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</si>
  <si>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</si>
  <si>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</si>
  <si>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</si>
  <si>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</si>
  <si>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</si>
  <si>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</si>
  <si>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</si>
  <si>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</si>
  <si>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</si>
  <si>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</si>
  <si>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</si>
  <si>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</si>
  <si>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</si>
  <si>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</si>
  <si>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</si>
  <si>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Colby Cemetery</t>
  </si>
  <si>
    <t>Antique Tax</t>
  </si>
  <si>
    <t>Excise Tax</t>
  </si>
  <si>
    <t>TIF Tax</t>
  </si>
  <si>
    <t>Sale of Lots</t>
  </si>
  <si>
    <t>Donations</t>
  </si>
  <si>
    <t>Insurance Refund</t>
  </si>
  <si>
    <t>Insurance Claim</t>
  </si>
  <si>
    <t>Employee Benefits</t>
  </si>
  <si>
    <t>12-16, 102</t>
  </si>
  <si>
    <t>80-92</t>
  </si>
  <si>
    <t>2:00 p.m.</t>
  </si>
  <si>
    <t>Thomas County Commissioner's Room, Thomas County Courthouse</t>
  </si>
  <si>
    <t>Relda Galli's residence at 2491 County Rd Dd, Gem, KS  67734</t>
  </si>
  <si>
    <t>Operations</t>
  </si>
  <si>
    <t>Contractual Services</t>
  </si>
  <si>
    <t>Commodities/Filing Fees</t>
  </si>
  <si>
    <t>Capital Outlay</t>
  </si>
  <si>
    <t>Equipment</t>
  </si>
  <si>
    <t>August 15, 2011</t>
  </si>
  <si>
    <t>Shelly A. Harms</t>
  </si>
  <si>
    <t>300 N Court Ave.</t>
  </si>
  <si>
    <t>Colby KS  67701</t>
  </si>
  <si>
    <t>Relda Galli, Secretary/Treasurer</t>
  </si>
  <si>
    <t>Thomas County</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</si>
</sst>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1" sqref="A1:IV16384"/>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Colby Cemetery</v>
      </c>
      <c r="B1" s="18"/>
      <c r="C1" s="18"/>
      <c r="D1" s="18"/>
      <c r="E1" s="18"/>
      <c r="F1" s="18"/>
      <c r="G1" s="18"/>
      <c r="H1" s="18"/>
      <c r="I1" s="18"/>
      <c r="J1" s="18"/>
      <c r="K1" s="192">
        <f>inputPrYr!D6</f>
        <v>2012</v>
      </c>
    </row>
    <row r="2" spans="1:11" ht="15.75">
      <c r="A2" s="18" t="str">
        <f>inputPrYr!$D$4</f>
        <v>Thomas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3">
      <selection activeCell="E37" sqref="E3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Colby Cemetery</v>
      </c>
      <c r="C1" s="241"/>
      <c r="D1" s="18"/>
      <c r="E1" s="192"/>
    </row>
    <row r="2" spans="2:5" ht="15.75">
      <c r="B2" s="18" t="str">
        <f>inputPrYr!D4</f>
        <v>Thomas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69830</v>
      </c>
      <c r="D7" s="404">
        <f>C51</f>
        <v>18625</v>
      </c>
      <c r="E7" s="47">
        <f>D51</f>
        <v>8197</v>
      </c>
    </row>
    <row r="8" spans="2:5" ht="15.75">
      <c r="B8" s="246" t="s">
        <v>130</v>
      </c>
      <c r="C8" s="247"/>
      <c r="D8" s="247"/>
      <c r="E8" s="128"/>
    </row>
    <row r="9" spans="2:5" ht="15.75">
      <c r="B9" s="122" t="s">
        <v>33</v>
      </c>
      <c r="C9" s="397">
        <v>16948</v>
      </c>
      <c r="D9" s="404">
        <f>inputPrYr!E19</f>
        <v>91016</v>
      </c>
      <c r="E9" s="135" t="s">
        <v>28</v>
      </c>
    </row>
    <row r="10" spans="2:5" ht="15.75">
      <c r="B10" s="122" t="s">
        <v>34</v>
      </c>
      <c r="C10" s="397"/>
      <c r="D10" s="397">
        <v>1200</v>
      </c>
      <c r="E10" s="209"/>
    </row>
    <row r="11" spans="2:5" ht="15.75">
      <c r="B11" s="122" t="s">
        <v>35</v>
      </c>
      <c r="C11" s="397">
        <v>12839</v>
      </c>
      <c r="D11" s="397">
        <v>1865</v>
      </c>
      <c r="E11" s="47">
        <f>mvalloc!D11</f>
        <v>3085</v>
      </c>
    </row>
    <row r="12" spans="2:5" ht="15.75">
      <c r="B12" s="122" t="s">
        <v>36</v>
      </c>
      <c r="C12" s="397">
        <v>162</v>
      </c>
      <c r="D12" s="397">
        <v>23</v>
      </c>
      <c r="E12" s="47">
        <f>mvalloc!E11</f>
        <v>39</v>
      </c>
    </row>
    <row r="13" spans="2:5" ht="15.75">
      <c r="B13" s="247" t="s">
        <v>112</v>
      </c>
      <c r="C13" s="397">
        <v>731</v>
      </c>
      <c r="D13" s="397">
        <v>673</v>
      </c>
      <c r="E13" s="47">
        <f>mvalloc!F11</f>
        <v>225</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745</v>
      </c>
      <c r="C17" s="397">
        <v>46</v>
      </c>
      <c r="D17" s="397"/>
      <c r="E17" s="209">
        <v>48</v>
      </c>
    </row>
    <row r="18" spans="2:5" ht="15.75">
      <c r="B18" s="248" t="s">
        <v>746</v>
      </c>
      <c r="C18" s="397">
        <v>28</v>
      </c>
      <c r="D18" s="397">
        <v>45</v>
      </c>
      <c r="E18" s="209">
        <v>30</v>
      </c>
    </row>
    <row r="19" spans="2:5" ht="15.75">
      <c r="B19" s="248" t="s">
        <v>747</v>
      </c>
      <c r="C19" s="397">
        <v>128</v>
      </c>
      <c r="D19" s="397"/>
      <c r="E19" s="209">
        <v>130</v>
      </c>
    </row>
    <row r="20" spans="2:5" ht="15.75">
      <c r="B20" s="248" t="s">
        <v>748</v>
      </c>
      <c r="C20" s="397">
        <v>3712</v>
      </c>
      <c r="D20" s="397">
        <v>450</v>
      </c>
      <c r="E20" s="209">
        <v>3800</v>
      </c>
    </row>
    <row r="21" spans="2:5" ht="15.75">
      <c r="B21" s="248" t="s">
        <v>749</v>
      </c>
      <c r="C21" s="397">
        <v>5221</v>
      </c>
      <c r="D21" s="397">
        <v>100</v>
      </c>
      <c r="E21" s="209">
        <v>600</v>
      </c>
    </row>
    <row r="22" spans="2:5" ht="15.75">
      <c r="B22" s="248" t="s">
        <v>750</v>
      </c>
      <c r="C22" s="397">
        <v>352</v>
      </c>
      <c r="D22" s="397"/>
      <c r="E22" s="209"/>
    </row>
    <row r="23" spans="2:5" ht="15.75">
      <c r="B23" s="248" t="s">
        <v>751</v>
      </c>
      <c r="C23" s="397">
        <v>2004</v>
      </c>
      <c r="D23" s="397"/>
      <c r="E23" s="209"/>
    </row>
    <row r="24" spans="2:5" ht="15.75">
      <c r="B24" s="249"/>
      <c r="C24" s="397"/>
      <c r="D24" s="397"/>
      <c r="E24" s="209"/>
    </row>
    <row r="25" spans="2:5" ht="15.75">
      <c r="B25" s="249" t="s">
        <v>38</v>
      </c>
      <c r="C25" s="397">
        <v>102</v>
      </c>
      <c r="D25" s="397">
        <v>200</v>
      </c>
      <c r="E25" s="209">
        <v>150</v>
      </c>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42273</v>
      </c>
      <c r="D28" s="399">
        <f>SUM(D9:D26)</f>
        <v>95572</v>
      </c>
      <c r="E28" s="254">
        <f>SUM(E9:E26)</f>
        <v>8107</v>
      </c>
    </row>
    <row r="29" spans="2:5" ht="15.75">
      <c r="B29" s="253" t="s">
        <v>40</v>
      </c>
      <c r="C29" s="399">
        <f>C7+C28</f>
        <v>112103</v>
      </c>
      <c r="D29" s="399">
        <f>D7+D28</f>
        <v>114197</v>
      </c>
      <c r="E29" s="254">
        <f>E7+E28</f>
        <v>16304</v>
      </c>
    </row>
    <row r="30" spans="2:5" ht="15.75">
      <c r="B30" s="122" t="s">
        <v>41</v>
      </c>
      <c r="C30" s="126"/>
      <c r="D30" s="126"/>
      <c r="E30" s="38"/>
    </row>
    <row r="31" spans="2:5" ht="15.75">
      <c r="B31" s="248" t="s">
        <v>758</v>
      </c>
      <c r="C31" s="397">
        <v>55285</v>
      </c>
      <c r="D31" s="397">
        <v>58000</v>
      </c>
      <c r="E31" s="209">
        <v>67000</v>
      </c>
    </row>
    <row r="32" spans="2:5" ht="15.75">
      <c r="B32" s="248" t="s">
        <v>759</v>
      </c>
      <c r="C32" s="397">
        <v>13062</v>
      </c>
      <c r="D32" s="397">
        <v>5000</v>
      </c>
      <c r="E32" s="209">
        <v>13500</v>
      </c>
    </row>
    <row r="33" spans="2:5" ht="15.75">
      <c r="B33" s="248" t="s">
        <v>760</v>
      </c>
      <c r="C33" s="397">
        <v>8021</v>
      </c>
      <c r="D33" s="397">
        <v>15000</v>
      </c>
      <c r="E33" s="209">
        <v>8200</v>
      </c>
    </row>
    <row r="34" spans="2:5" ht="15.75">
      <c r="B34" s="248" t="s">
        <v>761</v>
      </c>
      <c r="C34" s="397">
        <v>17110</v>
      </c>
      <c r="D34" s="397">
        <v>28000</v>
      </c>
      <c r="E34" s="209">
        <v>18000</v>
      </c>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8197</v>
      </c>
      <c r="H45" s="553" t="str">
        <f>CONCATENATE("",F3-1," Ending Cash Balance (est.)")</f>
        <v>2011 Ending Cash Balance (est.)</v>
      </c>
      <c r="I45" s="543"/>
      <c r="J45" s="544"/>
    </row>
    <row r="46" spans="2:10" ht="15.75">
      <c r="B46" s="248"/>
      <c r="C46" s="397"/>
      <c r="D46" s="397"/>
      <c r="E46" s="209"/>
      <c r="G46" s="554">
        <f>E28</f>
        <v>8107</v>
      </c>
      <c r="H46" s="543" t="str">
        <f>CONCATENATE("",F3," Non-AV Receipts (est.)")</f>
        <v>2012 Non-AV Receipts (est.)</v>
      </c>
      <c r="I46" s="543"/>
      <c r="J46" s="544"/>
    </row>
    <row r="47" spans="2:10" ht="15.75">
      <c r="B47" s="126" t="s">
        <v>229</v>
      </c>
      <c r="C47" s="397"/>
      <c r="D47" s="397"/>
      <c r="E47" s="214">
        <f>Nhood!E7</f>
      </c>
      <c r="G47" s="542">
        <f>E57</f>
        <v>90396</v>
      </c>
      <c r="H47" s="543" t="str">
        <f>CONCATENATE("",F3," Ad Valorem Tax (est.)")</f>
        <v>2012 Ad Valorem Tax (est.)</v>
      </c>
      <c r="I47" s="543"/>
      <c r="J47" s="544"/>
    </row>
    <row r="48" spans="2:10" ht="15.75">
      <c r="B48" s="126" t="s">
        <v>228</v>
      </c>
      <c r="C48" s="397"/>
      <c r="D48" s="397"/>
      <c r="E48" s="37"/>
      <c r="G48" s="554">
        <f>SUM(G45:G47)</f>
        <v>106700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93478</v>
      </c>
      <c r="D50" s="399">
        <f>SUM(D31:D48)</f>
        <v>106000</v>
      </c>
      <c r="E50" s="254">
        <f>SUM(E31:E48)</f>
        <v>106700</v>
      </c>
      <c r="G50" s="542">
        <f>C50*0.05+C50</f>
        <v>98151.9</v>
      </c>
      <c r="H50" s="543" t="str">
        <f>CONCATENATE("Less ",F3-2," Expenditures + 5%")</f>
        <v>Less 2010 Expenditures + 5%</v>
      </c>
      <c r="I50" s="543"/>
      <c r="J50" s="544"/>
    </row>
    <row r="51" spans="2:10" ht="15.75">
      <c r="B51" s="122" t="s">
        <v>129</v>
      </c>
      <c r="C51" s="400">
        <f>C29-C50</f>
        <v>18625</v>
      </c>
      <c r="D51" s="400">
        <f>D29-D50</f>
        <v>8197</v>
      </c>
      <c r="E51" s="135" t="s">
        <v>28</v>
      </c>
      <c r="G51" s="540">
        <f>G48-G50</f>
        <v>8548.100000000006</v>
      </c>
      <c r="H51" s="539" t="str">
        <f>CONCATENATE("Projected ",F3+1," Carryover (est.)")</f>
        <v>Projected 2013 Carryover (est.)</v>
      </c>
      <c r="I51" s="525"/>
      <c r="J51" s="538"/>
    </row>
    <row r="52" spans="2:10" ht="15.75">
      <c r="B52" s="145" t="str">
        <f>CONCATENATE("",F3-2,"/",F3-1," Budget Authority Amount:")</f>
        <v>2010/2011 Budget Authority Amount:</v>
      </c>
      <c r="C52" s="123">
        <f>inputOth!B42</f>
        <v>190000</v>
      </c>
      <c r="D52" s="425">
        <f>inputPrYr!D19</f>
        <v>129000</v>
      </c>
      <c r="E52" s="135" t="s">
        <v>28</v>
      </c>
      <c r="F52" s="255"/>
      <c r="G52" s="16"/>
      <c r="H52" s="16"/>
      <c r="I52" s="16"/>
      <c r="J52" s="16"/>
    </row>
    <row r="53" spans="2:10" ht="15.75">
      <c r="B53" s="145"/>
      <c r="C53" s="637" t="s">
        <v>684</v>
      </c>
      <c r="D53" s="638"/>
      <c r="E53" s="37"/>
      <c r="F53" s="255">
        <f>IF(E50/0.95-E50&lt;E53,"Exceeds 5%","")</f>
      </c>
      <c r="G53" s="537">
        <f>IF(inputOth!E7=0,"",ROUND(gen!E57/inputOth!E7*1000,3))</f>
        <v>1.425</v>
      </c>
      <c r="H53" s="536" t="str">
        <f>CONCATENATE("Projected ",F3-1," Mill Rate (est.)")</f>
        <v>Projected 2011 Mill Rate (est.)</v>
      </c>
      <c r="I53" s="535"/>
      <c r="J53" s="534"/>
    </row>
    <row r="54" spans="2:10" ht="15.75">
      <c r="B54" s="423" t="str">
        <f>CONCATENATE(C70,"     ",D70)</f>
        <v>     </v>
      </c>
      <c r="C54" s="639" t="s">
        <v>685</v>
      </c>
      <c r="D54" s="640"/>
      <c r="E54" s="47">
        <f>E50+E53</f>
        <v>106700</v>
      </c>
      <c r="G54" s="533"/>
      <c r="H54" s="533"/>
      <c r="I54" s="533"/>
      <c r="J54" s="533"/>
    </row>
    <row r="55" spans="2:10" ht="15.75">
      <c r="B55" s="423" t="str">
        <f>CONCATENATE(C71,"     ",D71)</f>
        <v>     </v>
      </c>
      <c r="C55" s="559"/>
      <c r="D55" s="558" t="s">
        <v>686</v>
      </c>
      <c r="E55" s="44">
        <f>IF(E54-E29&gt;0,E54-E29,0)</f>
        <v>90396</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90396</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34">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Colby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64">
      <selection activeCell="C81" sqref="C8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Colby Cemetery</v>
      </c>
      <c r="C1" s="18"/>
      <c r="D1" s="18"/>
      <c r="E1" s="192"/>
    </row>
    <row r="2" spans="2:5" ht="15.75">
      <c r="B2" s="18" t="str">
        <f>inputPrYr!D4</f>
        <v>Thomas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t="str">
        <f>inputPrYr!B22</f>
        <v>Employee Benefits</v>
      </c>
      <c r="C6" s="403" t="str">
        <f>CONCATENATE("Actual ",$F$3-2,"")</f>
        <v>Actual 2010</v>
      </c>
      <c r="D6" s="403" t="str">
        <f>CONCATENATE("Estimate ",F3-1,"")</f>
        <v>Estimate 2011</v>
      </c>
      <c r="E6" s="244" t="str">
        <f>CONCATENATE("Year ",F3,"")</f>
        <v>Year 2012</v>
      </c>
    </row>
    <row r="7" spans="2:5" ht="15.75">
      <c r="B7" s="122" t="s">
        <v>128</v>
      </c>
      <c r="C7" s="397">
        <v>7138</v>
      </c>
      <c r="D7" s="404">
        <f>C34</f>
        <v>7601</v>
      </c>
      <c r="E7" s="47">
        <f>D34</f>
        <v>2289</v>
      </c>
    </row>
    <row r="8" spans="2:5" ht="15.75">
      <c r="B8" s="246" t="s">
        <v>130</v>
      </c>
      <c r="C8" s="247"/>
      <c r="D8" s="247"/>
      <c r="E8" s="128"/>
    </row>
    <row r="9" spans="2:5" ht="15.75">
      <c r="B9" s="122" t="s">
        <v>33</v>
      </c>
      <c r="C9" s="397">
        <v>7835</v>
      </c>
      <c r="D9" s="404">
        <f>inputPrYr!E22</f>
        <v>9000</v>
      </c>
      <c r="E9" s="135" t="s">
        <v>28</v>
      </c>
    </row>
    <row r="10" spans="2:5" ht="15.75">
      <c r="B10" s="122" t="s">
        <v>34</v>
      </c>
      <c r="C10" s="397"/>
      <c r="D10" s="397"/>
      <c r="E10" s="209"/>
    </row>
    <row r="11" spans="2:5" ht="15.75">
      <c r="B11" s="122" t="s">
        <v>35</v>
      </c>
      <c r="C11" s="397">
        <v>2079</v>
      </c>
      <c r="D11" s="397">
        <v>861</v>
      </c>
      <c r="E11" s="47">
        <f>mvalloc!D13</f>
        <v>305</v>
      </c>
    </row>
    <row r="12" spans="2:5" ht="15.75">
      <c r="B12" s="122" t="s">
        <v>36</v>
      </c>
      <c r="C12" s="397">
        <v>26</v>
      </c>
      <c r="D12" s="397">
        <v>11</v>
      </c>
      <c r="E12" s="47">
        <f>mvalloc!E13</f>
        <v>4</v>
      </c>
    </row>
    <row r="13" spans="2:5" ht="15.75">
      <c r="B13" s="247" t="s">
        <v>112</v>
      </c>
      <c r="C13" s="397">
        <v>72</v>
      </c>
      <c r="D13" s="397">
        <v>311</v>
      </c>
      <c r="E13" s="47">
        <f>mvalloc!F13</f>
        <v>22</v>
      </c>
    </row>
    <row r="14" spans="2:5" ht="15.75">
      <c r="B14" s="247" t="s">
        <v>164</v>
      </c>
      <c r="C14" s="397"/>
      <c r="D14" s="397"/>
      <c r="E14" s="47">
        <f>mvalloc!G13</f>
        <v>0</v>
      </c>
    </row>
    <row r="15" spans="2:5" ht="15.75">
      <c r="B15" s="248" t="s">
        <v>745</v>
      </c>
      <c r="C15" s="397">
        <v>7</v>
      </c>
      <c r="D15" s="397"/>
      <c r="E15" s="209">
        <v>9</v>
      </c>
    </row>
    <row r="16" spans="2:5" ht="15.75">
      <c r="B16" s="248" t="s">
        <v>746</v>
      </c>
      <c r="C16" s="397">
        <v>5</v>
      </c>
      <c r="D16" s="397"/>
      <c r="E16" s="209">
        <v>7</v>
      </c>
    </row>
    <row r="17" spans="2:5" ht="15.75">
      <c r="B17" s="248" t="s">
        <v>747</v>
      </c>
      <c r="C17" s="397">
        <v>59</v>
      </c>
      <c r="D17" s="397"/>
      <c r="E17" s="209">
        <v>61</v>
      </c>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10083</v>
      </c>
      <c r="D21" s="399">
        <f>SUM(D9:D19)</f>
        <v>10183</v>
      </c>
      <c r="E21" s="254">
        <f>SUM(E9:E19)</f>
        <v>408</v>
      </c>
    </row>
    <row r="22" spans="2:5" ht="15.75">
      <c r="B22" s="253" t="s">
        <v>40</v>
      </c>
      <c r="C22" s="399">
        <f>C7+C21</f>
        <v>17221</v>
      </c>
      <c r="D22" s="399">
        <f>D7+D21</f>
        <v>17784</v>
      </c>
      <c r="E22" s="254">
        <f>E7+E21</f>
        <v>2697</v>
      </c>
    </row>
    <row r="23" spans="2:5" ht="15.75">
      <c r="B23" s="122" t="s">
        <v>41</v>
      </c>
      <c r="C23" s="126"/>
      <c r="D23" s="126"/>
      <c r="E23" s="38"/>
    </row>
    <row r="24" spans="2:5" ht="15.75">
      <c r="B24" s="248" t="s">
        <v>758</v>
      </c>
      <c r="C24" s="397">
        <v>9620</v>
      </c>
      <c r="D24" s="397">
        <v>12000</v>
      </c>
      <c r="E24" s="209">
        <v>15000</v>
      </c>
    </row>
    <row r="25" spans="2:5" ht="15.75">
      <c r="B25" s="248" t="s">
        <v>762</v>
      </c>
      <c r="C25" s="397"/>
      <c r="D25" s="397">
        <v>3495</v>
      </c>
      <c r="E25" s="209">
        <v>1722</v>
      </c>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9620</v>
      </c>
      <c r="D33" s="399">
        <f>SUM(D24:D31)</f>
        <v>15495</v>
      </c>
      <c r="E33" s="254">
        <f>SUM(E24:E31)</f>
        <v>16722</v>
      </c>
    </row>
    <row r="34" spans="2:5" ht="15.75">
      <c r="B34" s="122" t="s">
        <v>129</v>
      </c>
      <c r="C34" s="400">
        <f>C22-C33</f>
        <v>7601</v>
      </c>
      <c r="D34" s="400">
        <f>D22-D33</f>
        <v>2289</v>
      </c>
      <c r="E34" s="135" t="s">
        <v>28</v>
      </c>
    </row>
    <row r="35" spans="2:6" ht="15.75">
      <c r="B35" s="145" t="str">
        <f>CONCATENATE("",F3-2,"/",F3-1," Budget Authority Amount:")</f>
        <v>2010/2011 Budget Authority Amount:</v>
      </c>
      <c r="C35" s="123">
        <f>inputOth!B44</f>
        <v>18000</v>
      </c>
      <c r="D35" s="425">
        <f>inputPrYr!D22</f>
        <v>23395</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16722</v>
      </c>
    </row>
    <row r="38" spans="2:5" ht="15.75">
      <c r="B38" s="423" t="str">
        <f>CONCATENATE(C88,"     ",D88)</f>
        <v>     </v>
      </c>
      <c r="C38" s="563"/>
      <c r="D38" s="558" t="s">
        <v>686</v>
      </c>
      <c r="E38" s="44">
        <f>IF(E37-E22&gt;0,E37-E22,0)</f>
        <v>14025</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14025</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v>7</v>
      </c>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C7" sqref="C7"/>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Colby Cemetery</v>
      </c>
      <c r="C1" s="241"/>
      <c r="D1" s="18"/>
      <c r="E1" s="192"/>
    </row>
    <row r="2" spans="2:5" ht="15.75">
      <c r="B2" s="18" t="str">
        <f>inputPrYr!D4</f>
        <v>Thomas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Colby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3" sqref="A3:H3"/>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Colby Cemetery</v>
      </c>
      <c r="B4" s="598"/>
      <c r="C4" s="598"/>
      <c r="D4" s="598"/>
      <c r="E4" s="598"/>
      <c r="F4" s="598"/>
      <c r="G4" s="598"/>
      <c r="H4" s="598"/>
    </row>
    <row r="5" spans="1:8" ht="15.75">
      <c r="A5" s="661" t="str">
        <f>inputPrYr!D4</f>
        <v>Thomas County</v>
      </c>
      <c r="B5" s="661"/>
      <c r="C5" s="661"/>
      <c r="D5" s="661"/>
      <c r="E5" s="661"/>
      <c r="F5" s="661"/>
      <c r="G5" s="661"/>
      <c r="H5" s="661"/>
    </row>
    <row r="6" spans="1:8" ht="15.75">
      <c r="A6" s="650" t="str">
        <f>CONCATENATE("will meet on ",inputBudSum!B5," at ",inputBudSum!B7," at ",inputBudSum!B9," for the purpose of hearing and")</f>
        <v>will meet on August 15, 2011 at 2:00 p.m. at Thomas County Commissioner's Room, Thomas County Courthouse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Relda Galli's residence at 2491 County Rd Dd, Gem, KS  67734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692</v>
      </c>
      <c r="K14" s="571"/>
      <c r="L14" s="571"/>
      <c r="M14" s="572">
        <f>ROUND(F27/1000,0)</f>
        <v>63457</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93478</v>
      </c>
      <c r="C16" s="125">
        <f>IF(inputPrYr!D38&gt;0,inputPrYr!D38,"  ")</f>
        <v>0.292</v>
      </c>
      <c r="D16" s="128">
        <f>IF(gen!$D$50&lt;&gt;0,gen!$D$50,"  ")</f>
        <v>106000</v>
      </c>
      <c r="E16" s="125">
        <f>IF(inputOth!D16&gt;0,inputOth!D16,"  ")</f>
        <v>1.47</v>
      </c>
      <c r="F16" s="128">
        <f>IF(gen!$E$50&lt;&gt;0,gen!$E$50,"  ")</f>
        <v>106700</v>
      </c>
      <c r="G16" s="128">
        <f>IF(gen!$E$57&lt;&gt;0,gen!$E$57,"  ")</f>
        <v>90396</v>
      </c>
      <c r="H16" s="125">
        <f>IF(gen!E57&gt;0,ROUND(G16/$F$27*1000,3)," ")</f>
        <v>1.425</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Employee Benefits</v>
      </c>
      <c r="B18" s="128">
        <f>IF('Employee Benefits'!$C$33&lt;&gt;0,'Employee Benefits'!$C$33,"  ")</f>
        <v>9620</v>
      </c>
      <c r="C18" s="125">
        <f>IF(inputPrYr!D40&gt;0,inputPrYr!D40,"  ")</f>
        <v>0.135</v>
      </c>
      <c r="D18" s="128">
        <f>IF('Employee Benefits'!$D$33&lt;&gt;0,'Employee Benefits'!$D$33,"  ")</f>
        <v>15495</v>
      </c>
      <c r="E18" s="125">
        <f>IF(inputOth!D18&gt;0,inputOth!D18,"  ")</f>
        <v>0.145</v>
      </c>
      <c r="F18" s="128">
        <f>IF('Employee Benefits'!$E$33&lt;&gt;0,'Employee Benefits'!$E$33,"  ")</f>
        <v>16722</v>
      </c>
      <c r="G18" s="128">
        <f>IF('Employee Benefits'!$E$40&lt;&gt;0,'Employee Benefits'!$E$40,"  ")</f>
        <v>14025</v>
      </c>
      <c r="H18" s="125">
        <f>IF('Employee Benefits'!E40&gt;0,ROUND(G18/$F$27*1000,3)," ")</f>
        <v>0.221</v>
      </c>
      <c r="J18" s="573" t="str">
        <f>CONCATENATE("",I3-1," Mill Rate Was:")</f>
        <v>2011 Mill Rate Was:</v>
      </c>
      <c r="K18" s="568"/>
      <c r="L18" s="568"/>
      <c r="M18" s="575">
        <f>E23</f>
        <v>1.615</v>
      </c>
    </row>
    <row r="19" spans="1:13" ht="15.75">
      <c r="A19" s="38" t="str">
        <f>IF(inputPrYr!$B23&gt;"  ",inputPrYr!$B23,"  ")</f>
        <v>  </v>
      </c>
      <c r="B19" s="128" t="str">
        <f>IF('Employee Benefits'!$C$71&lt;&gt;0,'Employee Benefits'!$C$71,"  ")</f>
        <v>  </v>
      </c>
      <c r="C19" s="125" t="str">
        <f>IF(inputPrYr!D41&gt;0,inputPrYr!D41,"  ")</f>
        <v>  </v>
      </c>
      <c r="D19" s="128" t="str">
        <f>IF('Employee Benefits'!$D$71&lt;&gt;0,'Employee Benefits'!$D$71,"  ")</f>
        <v>  </v>
      </c>
      <c r="E19" s="125" t="str">
        <f>IF(inputOth!D19&gt;0,inputOth!D19,"  ")</f>
        <v>  </v>
      </c>
      <c r="F19" s="128" t="str">
        <f>IF('Employee Benefits'!$E$71&lt;&gt;0,'Employee Benefits'!$E$71,"  ")</f>
        <v>  </v>
      </c>
      <c r="G19" s="128" t="str">
        <f>IF('Employee Benefits'!$E$78&lt;&gt;0,'Employee Benefits'!$E$78,"  ")</f>
        <v>  </v>
      </c>
      <c r="H19" s="125" t="str">
        <f>IF('Employee Benefits'!E78&gt;0,ROUND(G19/$F$27*1000,3),"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IF(levypage9!$C$31&lt;&gt;0,levypage9!$C$31,"  ")</f>
        <v>  </v>
      </c>
      <c r="C20" s="38"/>
      <c r="D20" s="128" t="str">
        <f>IF(levypage9!$D$31&lt;&gt;0,levypage9!$D$31,"  ")</f>
        <v>  </v>
      </c>
      <c r="E20" s="38"/>
      <c r="F20" s="128" t="str">
        <f>IF(levypage9!$E$31&lt;&gt;0,levypage9!$E$31,"  ")</f>
        <v>  </v>
      </c>
      <c r="G20" s="128"/>
      <c r="H20" s="38"/>
      <c r="J20" s="576">
        <f>IF(M20&gt;0,"Increased By:","")</f>
      </c>
      <c r="K20" s="577"/>
      <c r="L20" s="577"/>
      <c r="M20" s="578">
        <f>IF(M27&lt;0,M27*-1,0)</f>
        <v>0</v>
      </c>
    </row>
    <row r="21" spans="1:13" ht="15.75">
      <c r="A21" s="38" t="str">
        <f>IF(inputPrYr!$B27&gt;"  ",inputPrYr!$B27,"  ")</f>
        <v>  </v>
      </c>
      <c r="B21" s="128" t="str">
        <f>IF(levypage9!$C$64&lt;&gt;0,levypage9!$C$64,"  ")</f>
        <v>  </v>
      </c>
      <c r="C21" s="38"/>
      <c r="D21" s="128" t="str">
        <f>IF(levypage9!$D$64&lt;&gt;0,levypage9!$D$64,"  ")</f>
        <v>  </v>
      </c>
      <c r="E21" s="38"/>
      <c r="F21" s="128" t="str">
        <f>IF(levypage9!$E$64&lt;&gt;0,levypage9!$E$64,"  ")</f>
        <v>  </v>
      </c>
      <c r="G21" s="128"/>
      <c r="H21" s="38"/>
      <c r="J21" s="579">
        <f>IF($N$32&lt;0,"Reduced By:","")</f>
      </c>
      <c r="K21" s="526"/>
      <c r="L21" s="526"/>
      <c r="M21" s="580">
        <f>IF(M27&gt;0,M27*-1,0)</f>
        <v>-1938</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103098</v>
      </c>
      <c r="C23" s="549">
        <f aca="true" t="shared" si="0" ref="C23:H23">SUM(C16:C21)</f>
        <v>0.427</v>
      </c>
      <c r="D23" s="321">
        <f t="shared" si="0"/>
        <v>121495</v>
      </c>
      <c r="E23" s="549">
        <f t="shared" si="0"/>
        <v>1.615</v>
      </c>
      <c r="F23" s="321">
        <f t="shared" si="0"/>
        <v>123422</v>
      </c>
      <c r="G23" s="321">
        <f t="shared" si="0"/>
        <v>104421</v>
      </c>
      <c r="H23" s="549">
        <f t="shared" si="0"/>
        <v>1.6460000000000001</v>
      </c>
      <c r="J23" s="651" t="str">
        <f>CONCATENATE("Impact On Keeping The Same Mill Rate As For ",I3-1,"")</f>
        <v>Impact On Keeping The Same Mill Rate As For 2011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103098</v>
      </c>
      <c r="C25" s="320"/>
      <c r="D25" s="136">
        <f>SUM(D23-D24)</f>
        <v>121495</v>
      </c>
      <c r="E25" s="320"/>
      <c r="F25" s="546">
        <f>SUM(F23-F24)</f>
        <v>123422</v>
      </c>
      <c r="G25" s="260"/>
      <c r="H25" s="319"/>
      <c r="J25" s="573" t="str">
        <f>CONCATENATE("",I3," Ad Valorem Tax Revenue:")</f>
        <v>2012 Ad Valorem Tax Revenue:</v>
      </c>
      <c r="K25" s="568"/>
      <c r="L25" s="568"/>
      <c r="M25" s="569">
        <f>G23</f>
        <v>104421</v>
      </c>
    </row>
    <row r="26" spans="1:13" ht="16.5" thickTop="1">
      <c r="A26" s="35" t="s">
        <v>54</v>
      </c>
      <c r="B26" s="321">
        <f>inputPrYr!E44</f>
        <v>25093</v>
      </c>
      <c r="C26" s="230"/>
      <c r="D26" s="321">
        <f>inputPrYr!E24</f>
        <v>100016</v>
      </c>
      <c r="E26" s="230"/>
      <c r="F26" s="322" t="s">
        <v>179</v>
      </c>
      <c r="G26" s="18"/>
      <c r="H26" s="18"/>
      <c r="J26" s="573" t="str">
        <f>CONCATENATE("",I3-1," Ad Valorem Tax Revenue:")</f>
        <v>2011 Ad Valorem Tax Revenue:</v>
      </c>
      <c r="K26" s="568"/>
      <c r="L26" s="568"/>
      <c r="M26" s="582">
        <f>ROUND(F27*M18/1000,0)</f>
        <v>102483</v>
      </c>
    </row>
    <row r="27" spans="1:13" ht="15.75">
      <c r="A27" s="35" t="s">
        <v>175</v>
      </c>
      <c r="B27" s="214">
        <f>inputPrYr!E45</f>
        <v>58965159</v>
      </c>
      <c r="C27" s="230"/>
      <c r="D27" s="214">
        <f>inputOth!E24</f>
        <v>61910294</v>
      </c>
      <c r="E27" s="230"/>
      <c r="F27" s="214">
        <f>inputOth!E7</f>
        <v>63457236</v>
      </c>
      <c r="G27" s="18"/>
      <c r="H27" s="18"/>
      <c r="J27" s="583" t="s">
        <v>693</v>
      </c>
      <c r="K27" s="584"/>
      <c r="L27" s="584"/>
      <c r="M27" s="572">
        <f>M25-M26</f>
        <v>1938</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1.6460000000000001</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t="s">
        <v>767</v>
      </c>
      <c r="B40" s="626"/>
      <c r="C40" s="102"/>
      <c r="D40" s="18"/>
      <c r="E40" s="18"/>
      <c r="F40" s="18"/>
      <c r="G40" s="18"/>
      <c r="H40" s="54"/>
    </row>
    <row r="41" spans="1:8" ht="15.75">
      <c r="A41" s="311" t="s">
        <v>60</v>
      </c>
      <c r="B41" s="26"/>
      <c r="C41" s="18"/>
      <c r="D41" s="145" t="s">
        <v>44</v>
      </c>
      <c r="E41" s="550">
        <v>8</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237584" r:id="rId1"/>
  </oleObjects>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D3" sqref="D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768</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t="s">
        <v>754</v>
      </c>
      <c r="D19" s="37">
        <v>129000</v>
      </c>
      <c r="E19" s="37">
        <v>91016</v>
      </c>
    </row>
    <row r="20" spans="1:5" ht="15.75">
      <c r="A20" s="18"/>
      <c r="B20" s="35" t="s">
        <v>282</v>
      </c>
      <c r="C20" s="114" t="s">
        <v>160</v>
      </c>
      <c r="D20" s="37"/>
      <c r="E20" s="37"/>
    </row>
    <row r="21" spans="1:5" ht="15.75">
      <c r="A21" s="17" t="s">
        <v>11</v>
      </c>
      <c r="B21" s="18"/>
      <c r="C21" s="18"/>
      <c r="D21" s="39"/>
      <c r="E21" s="40"/>
    </row>
    <row r="22" spans="1:5" ht="15.75">
      <c r="A22" s="18"/>
      <c r="B22" s="36" t="s">
        <v>752</v>
      </c>
      <c r="C22" s="436" t="s">
        <v>753</v>
      </c>
      <c r="D22" s="37">
        <v>23395</v>
      </c>
      <c r="E22" s="37">
        <v>9000</v>
      </c>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100016</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152395</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0.292</v>
      </c>
      <c r="E38" s="39"/>
    </row>
    <row r="39" spans="1:5" ht="15.75">
      <c r="A39" s="18"/>
      <c r="B39" s="38" t="s">
        <v>282</v>
      </c>
      <c r="C39" s="18"/>
      <c r="D39" s="49"/>
      <c r="E39" s="39"/>
    </row>
    <row r="40" spans="1:5" ht="15.75">
      <c r="A40" s="18"/>
      <c r="B40" s="38" t="s">
        <v>752</v>
      </c>
      <c r="C40" s="18"/>
      <c r="D40" s="49">
        <v>0.135</v>
      </c>
      <c r="E40" s="39"/>
    </row>
    <row r="41" spans="1:5" ht="15.75">
      <c r="A41" s="18"/>
      <c r="B41" s="38">
        <f>B23</f>
        <v>0</v>
      </c>
      <c r="C41" s="18"/>
      <c r="D41" s="49"/>
      <c r="E41" s="39"/>
    </row>
    <row r="42" spans="1:5" ht="16.5" thickBot="1">
      <c r="A42" s="17" t="s">
        <v>13</v>
      </c>
      <c r="B42" s="18"/>
      <c r="C42" s="18"/>
      <c r="D42" s="50">
        <f>SUM(D38:D41)</f>
        <v>0.427</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25093</v>
      </c>
    </row>
    <row r="45" spans="1:5" ht="15.75">
      <c r="A45" s="51" t="str">
        <f>CONCATENATE("Assessed Valuation (",D6-2," budget column)")</f>
        <v>Assessed Valuation (2010 budget column)</v>
      </c>
      <c r="B45" s="29"/>
      <c r="C45" s="18"/>
      <c r="D45" s="18"/>
      <c r="E45" s="53">
        <v>58965159</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Colby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Employee Benefits</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63457236</v>
      </c>
      <c r="E16" s="18"/>
      <c r="F16" s="54"/>
    </row>
    <row r="17" spans="1:6" ht="15.75">
      <c r="A17" s="18"/>
      <c r="B17" s="18"/>
      <c r="C17" s="18"/>
      <c r="D17" s="18"/>
      <c r="E17" s="18"/>
      <c r="F17" s="54"/>
    </row>
    <row r="18" spans="1:6" ht="15.75">
      <c r="A18" s="18"/>
      <c r="B18" s="665" t="s">
        <v>329</v>
      </c>
      <c r="C18" s="665"/>
      <c r="D18" s="335">
        <f>IF(D16&gt;0,(D16*0.001),"")</f>
        <v>63457.236000000004</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Colby Cemetery District with respect to financing the 2012 annual budget for Colby Cemetery , Thomas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Colby Cemetery district budget exceed the amount levied to finance the</v>
      </c>
      <c r="C9"/>
      <c r="D9"/>
      <c r="E9"/>
      <c r="F9"/>
      <c r="G9"/>
      <c r="H9"/>
    </row>
    <row r="10" spans="2:8" ht="15.75">
      <c r="B10" s="12" t="str">
        <f>CONCATENATE("",inputPrYr!D6-1," ",inputPrYr!D3," except with regard to revenue produced and attributable to the")</f>
        <v>2011 Colby Cemetery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Colby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Colby Cemetery that is our desire to notify the public of the possibility of increased property taxes to finance the 2012 Colby Cemetery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Colby Cemetery District Board, Thomas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Colby Cemetery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0">
      <selection activeCell="A20" sqref="A19:A20"/>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34">
      <selection activeCell="E36" sqref="E3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Colby Cemetery</v>
      </c>
      <c r="B1" s="62"/>
      <c r="C1" s="62"/>
      <c r="D1" s="62"/>
      <c r="E1" s="62">
        <f>inputPrYr!D6</f>
        <v>2012</v>
      </c>
    </row>
    <row r="2" spans="1:5" ht="15.75">
      <c r="A2" s="62" t="str">
        <f>inputPrYr!D4</f>
        <v>Thomas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63457236</v>
      </c>
    </row>
    <row r="8" spans="1:5" ht="15.75">
      <c r="A8" s="68" t="str">
        <f>CONCATENATE("New Improvements for ",inputPrYr!D6-1,"")</f>
        <v>New Improvements for 2011</v>
      </c>
      <c r="B8" s="69"/>
      <c r="C8" s="69"/>
      <c r="D8" s="69"/>
      <c r="E8" s="70">
        <v>2059061</v>
      </c>
    </row>
    <row r="9" spans="1:5" ht="15.75">
      <c r="A9" s="68" t="str">
        <f>CONCATENATE("Personal Property excluding oil, gas, and mobile homes- ",inputPrYr!D6-1,"")</f>
        <v>Personal Property excluding oil, gas, and mobile homes- 2011</v>
      </c>
      <c r="B9" s="69"/>
      <c r="C9" s="69"/>
      <c r="D9" s="69"/>
      <c r="E9" s="70">
        <v>3310363</v>
      </c>
    </row>
    <row r="10" spans="1:5" ht="15.75">
      <c r="A10" s="68" t="str">
        <f>CONCATENATE("Property that has changed in use for ",inputPrYr!D6-1,"")</f>
        <v>Property that has changed in use for 2011</v>
      </c>
      <c r="B10" s="69"/>
      <c r="C10" s="69"/>
      <c r="D10" s="69"/>
      <c r="E10" s="70">
        <v>617624</v>
      </c>
    </row>
    <row r="11" spans="1:5" ht="15.75">
      <c r="A11" s="67" t="str">
        <f>CONCATENATE("Personal Property excluding oil, gas, and mobile homes- ",inputPrYr!D6-2,"")</f>
        <v>Personal Property excluding oil, gas, and mobile homes- 2010</v>
      </c>
      <c r="B11" s="42"/>
      <c r="C11" s="42"/>
      <c r="D11" s="42"/>
      <c r="E11" s="70">
        <v>3429778</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1.47</v>
      </c>
      <c r="E16" s="74"/>
    </row>
    <row r="17" spans="1:5" ht="15.75">
      <c r="A17" s="68" t="s">
        <v>282</v>
      </c>
      <c r="B17" s="69"/>
      <c r="C17" s="71"/>
      <c r="D17" s="77"/>
      <c r="E17" s="74"/>
    </row>
    <row r="18" spans="1:5" ht="15.75">
      <c r="A18" s="68" t="s">
        <v>752</v>
      </c>
      <c r="B18" s="69"/>
      <c r="C18" s="71"/>
      <c r="D18" s="77">
        <v>0.145</v>
      </c>
      <c r="E18" s="74"/>
    </row>
    <row r="19" spans="1:5" ht="15.75">
      <c r="A19" s="68"/>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1.615</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61910294</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3390</v>
      </c>
    </row>
    <row r="28" spans="1:5" ht="15.75">
      <c r="A28" s="68" t="s">
        <v>15</v>
      </c>
      <c r="B28" s="69"/>
      <c r="C28" s="69"/>
      <c r="D28" s="86"/>
      <c r="E28" s="37">
        <v>43</v>
      </c>
    </row>
    <row r="29" spans="1:5" ht="15.75">
      <c r="A29" s="68" t="s">
        <v>176</v>
      </c>
      <c r="B29" s="69"/>
      <c r="C29" s="69"/>
      <c r="D29" s="86"/>
      <c r="E29" s="37">
        <v>247</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v>1.82</v>
      </c>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190000</v>
      </c>
      <c r="C42" s="95" t="s">
        <v>224</v>
      </c>
      <c r="D42" s="96"/>
      <c r="E42" s="96"/>
    </row>
    <row r="43" spans="1:5" ht="15.75">
      <c r="A43" s="97" t="str">
        <f>inputPrYr!B20</f>
        <v>Debt Service</v>
      </c>
      <c r="B43" s="58"/>
      <c r="C43" s="95"/>
      <c r="D43" s="96"/>
      <c r="E43" s="96"/>
    </row>
    <row r="44" spans="1:5" ht="15.75">
      <c r="A44" s="97" t="s">
        <v>752</v>
      </c>
      <c r="B44" s="58">
        <v>18000</v>
      </c>
      <c r="C44" s="64"/>
      <c r="D44" s="64"/>
      <c r="E44" s="64"/>
    </row>
    <row r="45" spans="1:5" ht="15.75">
      <c r="A45" s="97"/>
      <c r="B45" s="58"/>
      <c r="C45" s="64"/>
      <c r="D45" s="64"/>
      <c r="E45" s="64"/>
    </row>
    <row r="46" spans="1:5" ht="15.75">
      <c r="A46" s="97"/>
      <c r="B46" s="58"/>
      <c r="C46" s="64"/>
      <c r="D46" s="64"/>
      <c r="E46" s="64"/>
    </row>
    <row r="47" spans="1:5" ht="15.75">
      <c r="A47" s="97"/>
      <c r="B47" s="58"/>
      <c r="C47" s="64"/>
      <c r="D47" s="64"/>
      <c r="E47" s="64"/>
    </row>
  </sheetData>
  <sheetProtection/>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6">
      <selection activeCell="D8" sqref="D8"/>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763</v>
      </c>
      <c r="C5" s="370"/>
      <c r="D5" s="368" t="s">
        <v>740</v>
      </c>
      <c r="E5" s="366"/>
      <c r="F5" s="366"/>
    </row>
    <row r="6" spans="1:6" ht="15.75">
      <c r="A6" s="368"/>
      <c r="B6" s="371"/>
      <c r="C6" s="372"/>
      <c r="D6" s="368" t="s">
        <v>739</v>
      </c>
      <c r="E6" s="366"/>
      <c r="F6" s="366"/>
    </row>
    <row r="7" spans="1:6" ht="15.75">
      <c r="A7" s="368" t="s">
        <v>332</v>
      </c>
      <c r="B7" s="369" t="s">
        <v>755</v>
      </c>
      <c r="C7" s="373"/>
      <c r="D7" s="368"/>
      <c r="E7" s="366"/>
      <c r="F7" s="366"/>
    </row>
    <row r="8" spans="1:6" ht="15.75">
      <c r="A8" s="368"/>
      <c r="B8" s="368"/>
      <c r="C8" s="368"/>
      <c r="D8" s="368"/>
      <c r="E8" s="366"/>
      <c r="F8" s="366"/>
    </row>
    <row r="9" spans="1:6" ht="15.75">
      <c r="A9" s="368" t="s">
        <v>333</v>
      </c>
      <c r="B9" s="374" t="s">
        <v>756</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757</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Thomas County, State of Kansas</v>
      </c>
      <c r="B4" s="618"/>
      <c r="C4" s="618"/>
      <c r="D4" s="618"/>
      <c r="E4" s="618"/>
      <c r="F4" s="618"/>
      <c r="G4" s="618"/>
    </row>
    <row r="5" spans="1:7" ht="15.75">
      <c r="A5" s="100" t="s">
        <v>159</v>
      </c>
      <c r="B5" s="26"/>
      <c r="C5" s="26"/>
      <c r="D5" s="26"/>
      <c r="E5" s="26"/>
      <c r="F5" s="26"/>
      <c r="G5" s="26"/>
    </row>
    <row r="6" spans="1:7" ht="15.75">
      <c r="A6" s="598" t="str">
        <f>inputPrYr!D3</f>
        <v>Colby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80-92</v>
      </c>
      <c r="D23" s="123">
        <v>6</v>
      </c>
      <c r="E23" s="124">
        <f>IF(gen!$E$50&lt;&gt;0,gen!$E$50,"  ")</f>
        <v>106700</v>
      </c>
      <c r="F23" s="124">
        <f>IF(gen!$E$57&lt;&gt;0,gen!$E$57,"  ")</f>
        <v>90396</v>
      </c>
      <c r="G23" s="125">
        <f>IF(AND(gen!E57=0,$G$32&gt;=0)," ",IF(AND(F23&gt;0,$G$32=0)," ",IF(AND(F23&gt;0,$G$32&gt;0),ROUND(F23/$G$32*1000,3))))</f>
        <v>1.4</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Employee Benefits</v>
      </c>
      <c r="B25" s="119"/>
      <c r="C25" s="114" t="str">
        <f>IF(inputPrYr!C22&gt;0,inputPrYr!C22,"  ")</f>
        <v>12-16, 102</v>
      </c>
      <c r="D25" s="123">
        <f>IF('Employee Benefits'!C80&gt;0,'Employee Benefits'!C80," ")</f>
        <v>7</v>
      </c>
      <c r="E25" s="47">
        <f>IF('Employee Benefits'!$E$33&lt;&gt;0,'Employee Benefits'!$E$33,"  ")</f>
        <v>16722</v>
      </c>
      <c r="F25" s="47">
        <f>IF('Employee Benefits'!$E$40&lt;&gt;0,'Employee Benefits'!$E$40,"  ")</f>
        <v>14025</v>
      </c>
      <c r="G25" s="125">
        <f>IF(AND('Employee Benefits'!E40=0,$G$32&gt;=0)," ",IF(AND(F25&gt;0,$G$32=0)," ",IF(AND(F25&gt;0,$G$32&gt;0),ROUND(F25/$G$32*1000,3))))</f>
        <v>0.217</v>
      </c>
    </row>
    <row r="26" spans="1:7" ht="15.75">
      <c r="A26" s="126" t="str">
        <f>IF(inputPrYr!$B$23&gt;"  ",inputPrYr!$B$23,"  ")</f>
        <v>  </v>
      </c>
      <c r="B26" s="119"/>
      <c r="C26" s="114" t="str">
        <f>IF(inputPrYr!C23&gt;0,inputPrYr!C23,"  ")</f>
        <v>  </v>
      </c>
      <c r="D26" s="123"/>
      <c r="E26" s="47" t="str">
        <f>IF('Employee Benefits'!$E$71&lt;&gt;0,'Employee Benefits'!$E$71,"  ")</f>
        <v>  </v>
      </c>
      <c r="F26" s="47" t="str">
        <f>IF('Employee Benefits'!$E$78&lt;&gt;0,'Employee Benefits'!$E$78,"  ")</f>
        <v>  </v>
      </c>
      <c r="G26" s="125" t="str">
        <f>IF(AND('Employee Benefits'!E78=0,$G$32&gt;=0)," ",IF(AND(F26&gt;0,$G$32=0)," ",IF(AND(F26&gt;0,$G$32&gt;0),ROUND(F26/$G$32*1000,3))))</f>
        <v> </v>
      </c>
    </row>
    <row r="27" spans="1:7" ht="15.75">
      <c r="A27" s="126" t="str">
        <f>IF(inputPrYr!$B$26&gt;"  ",inputPrYr!$B$26,"  ")</f>
        <v>  </v>
      </c>
      <c r="B27" s="69"/>
      <c r="C27" s="127"/>
      <c r="D27" s="123" t="str">
        <f>IF(levypage9!C70&gt;0,levypage9!C70," ")</f>
        <v> </v>
      </c>
      <c r="E27" s="47" t="str">
        <f>IF(levypage9!$E$31&lt;&gt;0,levypage9!$E$31,"  ")</f>
        <v>  </v>
      </c>
      <c r="F27" s="128"/>
      <c r="G27" s="125"/>
    </row>
    <row r="28" spans="1:7" ht="15.75">
      <c r="A28" s="129" t="str">
        <f>IF(inputPrYr!$B$27&gt;"  ",inputPrYr!$B$27,"  ")</f>
        <v>  </v>
      </c>
      <c r="B28" s="130"/>
      <c r="C28" s="127"/>
      <c r="D28" s="123" t="str">
        <f>IF(levypage9!C70&gt;0,levypage9!C70," ")</f>
        <v> </v>
      </c>
      <c r="E28" s="47" t="str">
        <f>IF(levypage9!$E$64&lt;&gt;0,levypage9!$E$64,"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123422</v>
      </c>
      <c r="F30" s="415">
        <f>SUM(F23:F28)</f>
        <v>104421</v>
      </c>
      <c r="G30" s="419">
        <f>IF(SUM(G23:G28)=0,"",SUM(G23:G28))</f>
        <v>1.617</v>
      </c>
    </row>
    <row r="31" spans="1:7" ht="15.75">
      <c r="A31" s="122" t="s">
        <v>210</v>
      </c>
      <c r="B31" s="69"/>
      <c r="C31" s="119"/>
      <c r="D31" s="138">
        <f>summ!E41</f>
        <v>8</v>
      </c>
      <c r="E31" s="142" t="s">
        <v>205</v>
      </c>
      <c r="F31" s="418" t="str">
        <f>IF(F30&gt;computation!J34,"Yes","No")</f>
        <v>No</v>
      </c>
      <c r="G31" s="420" t="s">
        <v>139</v>
      </c>
    </row>
    <row r="32" spans="1:7" ht="15.75">
      <c r="A32" s="122" t="s">
        <v>229</v>
      </c>
      <c r="B32" s="140"/>
      <c r="C32" s="141"/>
      <c r="D32" s="138">
        <f>IF(Nhood!C35=0,"",Nhood!C35)</f>
      </c>
      <c r="E32" s="416"/>
      <c r="F32" s="71"/>
      <c r="G32" s="147">
        <v>64575710</v>
      </c>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t="s">
        <v>764</v>
      </c>
      <c r="B36" s="429"/>
      <c r="C36" s="71"/>
      <c r="D36" s="71"/>
      <c r="E36" s="146"/>
      <c r="F36" s="71"/>
      <c r="G36" s="18"/>
    </row>
    <row r="37" spans="1:7" ht="15.75">
      <c r="A37" s="430" t="s">
        <v>30</v>
      </c>
      <c r="B37" s="431"/>
      <c r="C37" s="71"/>
      <c r="D37" s="71"/>
      <c r="E37" s="434"/>
      <c r="F37" s="71"/>
      <c r="G37" s="18"/>
    </row>
    <row r="38" spans="1:7" ht="15.75">
      <c r="A38" s="148" t="s">
        <v>584</v>
      </c>
      <c r="B38" s="71"/>
      <c r="C38" s="71"/>
      <c r="D38" s="130"/>
      <c r="E38" s="435"/>
      <c r="F38" s="130"/>
      <c r="G38" s="130"/>
    </row>
    <row r="39" spans="1:7" ht="15.75">
      <c r="A39" s="429" t="s">
        <v>765</v>
      </c>
      <c r="B39" s="429"/>
      <c r="C39" s="71"/>
      <c r="D39" s="42"/>
      <c r="E39" s="422"/>
      <c r="F39" s="422"/>
      <c r="G39" s="42"/>
    </row>
    <row r="40" spans="1:7" ht="15.75">
      <c r="A40" s="431" t="s">
        <v>766</v>
      </c>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233773"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34">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Colby Cemetery</v>
      </c>
      <c r="D1" s="18"/>
      <c r="E1" s="18"/>
      <c r="F1" s="18"/>
      <c r="G1" s="18"/>
      <c r="H1" s="18"/>
      <c r="I1" s="18"/>
      <c r="J1" s="18">
        <f>inputPrYr!D6</f>
        <v>2012</v>
      </c>
    </row>
    <row r="2" spans="1:10" ht="15.75" customHeight="1">
      <c r="A2" s="18"/>
      <c r="B2" s="18"/>
      <c r="C2" s="18" t="str">
        <f>inputPrYr!D4</f>
        <v>Thomas County</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100016</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100016</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2059061</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3310363</v>
      </c>
      <c r="F14" s="156"/>
      <c r="G14" s="39"/>
      <c r="H14" s="39"/>
      <c r="I14" s="159"/>
      <c r="J14" s="39"/>
    </row>
    <row r="15" spans="1:10" ht="15.75">
      <c r="A15" s="155"/>
      <c r="B15" s="18" t="s">
        <v>102</v>
      </c>
      <c r="C15" s="18" t="str">
        <f>CONCATENATE("Personal Property ",J1-2,"")</f>
        <v>Personal Property 2010</v>
      </c>
      <c r="D15" s="155" t="s">
        <v>98</v>
      </c>
      <c r="E15" s="43">
        <f>inputOth!E11</f>
        <v>3429778</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617624</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2676685</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63457236</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60780551</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0.04403851159559248</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4405</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104421</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104421</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4">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Colby Cemetery</v>
      </c>
      <c r="C1" s="18"/>
      <c r="D1" s="18"/>
      <c r="E1" s="18"/>
      <c r="F1" s="18"/>
      <c r="G1" s="18"/>
      <c r="H1" s="18"/>
      <c r="I1" s="165"/>
      <c r="J1" s="18"/>
    </row>
    <row r="2" spans="1:10" ht="15.75">
      <c r="A2" s="18"/>
      <c r="B2" s="18" t="str">
        <f>inputPrYr!D4</f>
        <v>Thomas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91016</v>
      </c>
      <c r="D11" s="128">
        <f>IF(E17=0,0,E17-D12-D13-D14)</f>
        <v>3085</v>
      </c>
      <c r="E11" s="128">
        <f>IF(E19=0,0,E19-E12-E13-E14)</f>
        <v>39</v>
      </c>
      <c r="F11" s="128">
        <f>IF(E21=0,0,E21-F12-F13-F14)</f>
        <v>225</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Employee Benefits</v>
      </c>
      <c r="C13" s="128">
        <f>inputPrYr!E22</f>
        <v>9000</v>
      </c>
      <c r="D13" s="128">
        <f>IF($E$17=0,0,ROUND(C13*$C$25,0))</f>
        <v>305</v>
      </c>
      <c r="E13" s="128">
        <f>IF($E$19=0,0,ROUND(C13*$D$27,0))</f>
        <v>4</v>
      </c>
      <c r="F13" s="128">
        <f>IF($E21=0,0,ROUND(C13*$E$29,0))</f>
        <v>22</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100016</v>
      </c>
      <c r="D15" s="137">
        <f>SUM(D11:D14)</f>
        <v>3390</v>
      </c>
      <c r="E15" s="137">
        <f>SUM(E11:E14)</f>
        <v>43</v>
      </c>
      <c r="F15" s="137">
        <f>SUM(F11:F14)</f>
        <v>247</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3390</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43</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247</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0.03389457686770117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0.000429931211006239</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0.0024696048632218844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Colby Cemetery</v>
      </c>
      <c r="B2" s="175"/>
      <c r="C2" s="18"/>
      <c r="D2" s="18"/>
      <c r="E2" s="165"/>
      <c r="F2" s="18"/>
    </row>
    <row r="3" spans="1:6" ht="15.75">
      <c r="A3" s="175" t="str">
        <f>inputPrYr!D4</f>
        <v>Thomas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2011-07-06T16:10:46Z</cp:lastPrinted>
  <dcterms:created xsi:type="dcterms:W3CDTF">1999-08-06T13:59:57Z</dcterms:created>
  <dcterms:modified xsi:type="dcterms:W3CDTF">2011-10-25T08:02:53Z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