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0">'inputPrYr'!$A$1:$E$44</definedName>
  </definedNames>
  <calcPr fullCalcOnLoad="1"/>
</workbook>
</file>

<file path=xl/sharedStrings.xml><?xml version="1.0" encoding="utf-8"?>
<sst xmlns="http://schemas.openxmlformats.org/spreadsheetml/2006/main" count="246" uniqueCount="206">
  <si>
    <t>the Neighborhood Revitalization Rebate table.</t>
  </si>
  <si>
    <t>Smith County</t>
  </si>
  <si>
    <t>____________</t>
  </si>
  <si>
    <t>_________</t>
  </si>
  <si>
    <t>ADAMS, BROWN, BERAN</t>
  </si>
  <si>
    <t>&amp; BALL, CHTD.</t>
  </si>
  <si>
    <t>PO BOX 1186</t>
  </si>
  <si>
    <t>HAYS, KS 67601</t>
  </si>
  <si>
    <t>Page No. 4</t>
  </si>
  <si>
    <t>Rental income</t>
  </si>
  <si>
    <t>Sale of Lots</t>
  </si>
  <si>
    <t>Donations</t>
  </si>
  <si>
    <t>Labor</t>
  </si>
  <si>
    <t>Mowing Expenses</t>
  </si>
  <si>
    <t>Other Operating Expenses</t>
  </si>
  <si>
    <t>Capital Outlay</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</si>
  <si>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</si>
  <si>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</si>
  <si>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</si>
  <si>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</si>
  <si>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</si>
  <si>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</si>
  <si>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</si>
  <si>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</si>
  <si>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</si>
  <si>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</si>
  <si>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</si>
  <si>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</si>
  <si>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</si>
  <si>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</si>
  <si>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</si>
  <si>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</si>
  <si>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</si>
  <si>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Use Only</t>
  </si>
  <si>
    <t>Fund</t>
  </si>
  <si>
    <t>K.S.A.</t>
  </si>
  <si>
    <t>x</t>
  </si>
  <si>
    <t xml:space="preserve">         </t>
  </si>
  <si>
    <t>State Use Only</t>
  </si>
  <si>
    <t xml:space="preserve">  Assisted by:</t>
  </si>
  <si>
    <t>Follow-up: Yes____No____</t>
  </si>
  <si>
    <t>Governing Body</t>
  </si>
  <si>
    <t>County Clerk</t>
  </si>
  <si>
    <t>Adopted Budget</t>
  </si>
  <si>
    <t>Ad Valorem Tax</t>
  </si>
  <si>
    <t>Delinquent Tax</t>
  </si>
  <si>
    <t>Motor Vehicle Tax</t>
  </si>
  <si>
    <t>Recreational Vehicle Tax</t>
  </si>
  <si>
    <t>Total Receipts</t>
  </si>
  <si>
    <t>Resources Available:</t>
  </si>
  <si>
    <t>Expenditures:</t>
  </si>
  <si>
    <t>Total Expenditures</t>
  </si>
  <si>
    <t>Tax Required</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</si>
  <si>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</si>
  <si>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</si>
  <si>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</si>
  <si>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</si>
  <si>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</si>
  <si>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</si>
  <si>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</si>
  <si>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</si>
  <si>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</si>
  <si>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</si>
  <si>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</si>
  <si>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</si>
  <si>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</si>
  <si>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</si>
  <si>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</si>
  <si>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</si>
  <si>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</si>
  <si>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</si>
  <si>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Rate</t>
  </si>
  <si>
    <t xml:space="preserve">on the budget forms in the appropriate locations.  If any of the numbers are wrong, change  </t>
  </si>
  <si>
    <t>CERTIFICATE</t>
  </si>
  <si>
    <t>FUND PAGE - GENERAL</t>
  </si>
  <si>
    <t>NOTICE OF BUDGET HEARING</t>
  </si>
  <si>
    <t>BUDGET SUMMARY</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</si>
  <si>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</si>
  <si>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</si>
  <si>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</si>
  <si>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</si>
  <si>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</si>
  <si>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</si>
  <si>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</si>
  <si>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</si>
  <si>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</si>
  <si>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</si>
  <si>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</si>
  <si>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</si>
  <si>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</si>
  <si>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</si>
  <si>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</si>
  <si>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</si>
  <si>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</si>
  <si>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</si>
  <si>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</si>
  <si>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</si>
  <si>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</si>
  <si>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</si>
  <si>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</si>
  <si>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</si>
  <si>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</si>
  <si>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</si>
  <si>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</si>
  <si>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</si>
  <si>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</si>
  <si>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</si>
  <si>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</si>
  <si>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</si>
  <si>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</si>
  <si>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</si>
  <si>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</si>
  <si>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</si>
  <si>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</si>
  <si>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</si>
  <si>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</si>
  <si>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</si>
  <si>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Enter Special District Name (Can be Longer than green cell)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</si>
  <si>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</si>
  <si>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</si>
  <si>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</si>
  <si>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</si>
  <si>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</si>
  <si>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</si>
  <si>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</si>
  <si>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</si>
  <si>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</si>
  <si>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</si>
  <si>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Received_______________</t>
  </si>
  <si>
    <t>Reviewed by____________</t>
  </si>
  <si>
    <t xml:space="preserve">  Address:</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</si>
  <si>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</si>
  <si>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</si>
  <si>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</si>
  <si>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</si>
  <si>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</si>
  <si>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</si>
  <si>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</si>
  <si>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</si>
  <si>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</si>
  <si>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</si>
  <si>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</si>
  <si>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</si>
  <si>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</si>
  <si>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</si>
  <si>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</si>
  <si>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</si>
  <si>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</si>
  <si>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</si>
  <si>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</si>
  <si>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</si>
  <si>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</si>
  <si>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Note:  All amounts are to be entered in as whole numbers only.</t>
  </si>
  <si>
    <t>Attest: _________________,</t>
  </si>
  <si>
    <t>Tax Rate*</t>
  </si>
  <si>
    <t>Resolution</t>
  </si>
  <si>
    <t>November 1st Total Assessed Valuation</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</si>
  <si>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</si>
  <si>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</si>
  <si>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</si>
  <si>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</si>
  <si>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</si>
  <si>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</si>
  <si>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</si>
  <si>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</si>
  <si>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</si>
  <si>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</si>
  <si>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</si>
  <si>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</si>
  <si>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</si>
  <si>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</si>
  <si>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</si>
  <si>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Miscellaneous</t>
  </si>
  <si>
    <t>Does miscellaneous exceed 10% of Total Receipts</t>
  </si>
  <si>
    <t>Does miscellaneous exceed 10% of Total Expenditures</t>
  </si>
  <si>
    <t>Neighborhood Revitalization Rebate</t>
  </si>
  <si>
    <t>Enter County Name followed by 'County'</t>
  </si>
  <si>
    <t>ALLOCATION OF MOTOR, RECREATIONAL ,16/20M VEHICLE TAXES &amp; SLIDER</t>
  </si>
  <si>
    <t>Non-budgeted funds:</t>
  </si>
  <si>
    <t xml:space="preserve">Proposed Budget </t>
  </si>
  <si>
    <t xml:space="preserve">Current Year </t>
  </si>
  <si>
    <t>Prior Year</t>
  </si>
  <si>
    <t>Non-Appr Bal</t>
  </si>
  <si>
    <t>Tot Exp/Non-Appr Bal</t>
  </si>
  <si>
    <t>Del Comp Rate: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</si>
  <si>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</si>
  <si>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</si>
  <si>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</si>
  <si>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</si>
  <si>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</si>
  <si>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</si>
  <si>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</si>
  <si>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</si>
  <si>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</si>
  <si>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</si>
  <si>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</si>
  <si>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</si>
  <si>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</si>
  <si>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</si>
  <si>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</si>
  <si>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</si>
  <si>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</si>
  <si>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for Expenditures</t>
  </si>
  <si>
    <t>Interest</t>
  </si>
  <si>
    <t>17-330</t>
  </si>
  <si>
    <t>Cedar Cemetery District #2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</si>
</sst>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_(* #,##0.000_);_(* \(#,##0.000\);_(* &quot;-&quot;??_);_(@_)"/>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sz val="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5">
    <xf numFmtId="0" fontId="0" fillId="0" borderId="0" xfId="0" applyAlignment="1">
      <alignment/>
    </xf>
    <xf numFmtId="0" fontId="0" fillId="0" borderId="0" xfId="0" applyAlignment="1">
      <alignment vertical="top"/>
    </xf>
    <xf numFmtId="0" fontId="10" fillId="0" borderId="0" xfId="242">
      <alignment/>
      <protection/>
    </xf>
    <xf numFmtId="0" fontId="7" fillId="0" borderId="0" xfId="242" applyFont="1">
      <alignment/>
      <protection/>
    </xf>
    <xf numFmtId="0" fontId="7" fillId="0" borderId="0" xfId="242" applyFont="1" applyAlignment="1">
      <alignment horizontal="left" indent="1"/>
      <protection/>
    </xf>
    <xf numFmtId="0" fontId="16" fillId="0" borderId="0" xfId="24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2" applyFont="1" applyAlignment="1">
      <alignment horizontal="center"/>
      <protection/>
    </xf>
    <xf numFmtId="0" fontId="4" fillId="0" borderId="0" xfId="242" applyFont="1" applyAlignment="1">
      <alignment horizontal="right"/>
      <protection/>
    </xf>
    <xf numFmtId="0" fontId="7" fillId="33" borderId="0" xfId="242"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37" fontId="4" fillId="33"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19" fillId="34" borderId="0" xfId="0" applyFont="1" applyFill="1" applyAlignment="1" applyProtection="1">
      <alignment horizontal="center" vertical="center"/>
      <protection/>
    </xf>
    <xf numFmtId="0" fontId="5" fillId="0" borderId="0" xfId="0" applyFont="1" applyAlignment="1">
      <alignment vertical="center"/>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4"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4" fillId="0" borderId="0" xfId="230" applyFont="1" applyAlignment="1">
      <alignment horizontal="left" vertical="center"/>
      <protection/>
    </xf>
    <xf numFmtId="185" fontId="24"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5" fillId="34" borderId="0" xfId="0" applyFont="1" applyFill="1" applyAlignment="1">
      <alignment vertical="center"/>
    </xf>
    <xf numFmtId="9" fontId="4" fillId="34" borderId="0" xfId="0" applyNumberFormat="1" applyFont="1" applyFill="1" applyAlignment="1" applyProtection="1">
      <alignment vertical="center"/>
      <protection/>
    </xf>
    <xf numFmtId="3" fontId="5" fillId="37"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175" fontId="5" fillId="37" borderId="16" xfId="0" applyNumberFormat="1" applyFont="1" applyFill="1" applyBorder="1" applyAlignment="1" applyProtection="1">
      <alignment vertical="center"/>
      <protection/>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5" fillId="34" borderId="12" xfId="0" applyFont="1" applyFill="1" applyBorder="1" applyAlignment="1" applyProtection="1">
      <alignment horizontal="fill" vertical="center"/>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0" fontId="5" fillId="34" borderId="22" xfId="0" applyFont="1" applyFill="1" applyBorder="1" applyAlignment="1" applyProtection="1">
      <alignment horizontal="left" vertical="center"/>
      <protection/>
    </xf>
    <xf numFmtId="37" fontId="5" fillId="34"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locked="0"/>
    </xf>
    <xf numFmtId="165" fontId="5" fillId="34" borderId="0" xfId="0" applyNumberFormat="1"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left" vertical="center"/>
      <protection/>
    </xf>
    <xf numFmtId="0" fontId="5" fillId="34" borderId="19" xfId="0" applyFont="1" applyFill="1" applyBorder="1" applyAlignment="1" applyProtection="1">
      <alignment vertical="center"/>
      <protection/>
    </xf>
    <xf numFmtId="37" fontId="4" fillId="37"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locked="0"/>
    </xf>
    <xf numFmtId="37" fontId="4" fillId="33" borderId="12" xfId="0" applyNumberFormat="1" applyFont="1" applyFill="1" applyBorder="1" applyAlignment="1">
      <alignment horizontal="right" vertical="center"/>
    </xf>
    <xf numFmtId="37" fontId="5" fillId="37" borderId="16"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vertical="center"/>
      <protection locked="0"/>
    </xf>
    <xf numFmtId="187" fontId="4" fillId="34" borderId="12" xfId="42" applyNumberFormat="1" applyFont="1" applyFill="1" applyBorder="1" applyAlignment="1" applyProtection="1">
      <alignment horizontal="right" vertical="center"/>
      <protection/>
    </xf>
    <xf numFmtId="187" fontId="4" fillId="34" borderId="12" xfId="0" applyNumberFormat="1" applyFont="1" applyFill="1" applyBorder="1" applyAlignment="1" applyProtection="1">
      <alignment vertical="center"/>
      <protection/>
    </xf>
    <xf numFmtId="187" fontId="5" fillId="37" borderId="12" xfId="0" applyNumberFormat="1" applyFont="1" applyFill="1" applyBorder="1" applyAlignment="1" applyProtection="1">
      <alignment vertical="center"/>
      <protection/>
    </xf>
    <xf numFmtId="0" fontId="5" fillId="0" borderId="0" xfId="0" applyFont="1" applyAlignment="1" applyProtection="1">
      <alignment vertical="center"/>
      <protection locked="0"/>
    </xf>
    <xf numFmtId="171" fontId="4" fillId="34" borderId="12" xfId="42" applyNumberFormat="1" applyFont="1" applyFill="1" applyBorder="1" applyAlignment="1" applyProtection="1">
      <alignment horizontal="righ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5"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0" fontId="5" fillId="34" borderId="2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 fontId="5" fillId="33" borderId="21"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37" fontId="5" fillId="34" borderId="21" xfId="0" applyNumberFormat="1"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242"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2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Township 07" xfId="242"/>
    <cellStyle name="Note" xfId="243"/>
    <cellStyle name="Output" xfId="244"/>
    <cellStyle name="Percent" xfId="245"/>
    <cellStyle name="Title" xfId="246"/>
    <cellStyle name="Total" xfId="247"/>
    <cellStyle name="Warning Text" xfId="248"/>
  </cellStyles>
  <dxfs count="10">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7641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70</xdr:row>
      <xdr:rowOff>161925</xdr:rowOff>
    </xdr:to>
    <xdr:pic>
      <xdr:nvPicPr>
        <xdr:cNvPr id="1" name="Picture 1"/>
        <xdr:cNvPicPr preferRelativeResize="1">
          <a:picLocks noChangeAspect="1"/>
        </xdr:cNvPicPr>
      </xdr:nvPicPr>
      <xdr:blipFill>
        <a:blip r:embed="rId1"/>
        <a:stretch>
          <a:fillRect/>
        </a:stretch>
      </xdr:blipFill>
      <xdr:spPr>
        <a:xfrm>
          <a:off x="0" y="0"/>
          <a:ext cx="10591800" cy="1349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1">
      <selection activeCell="D4" sqref="D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6.5">
      <c r="A1" s="292" t="s">
        <v>16</v>
      </c>
      <c r="B1" s="293"/>
      <c r="C1" s="293"/>
      <c r="D1" s="293"/>
      <c r="E1" s="293"/>
    </row>
    <row r="2" spans="1:5" ht="15.75">
      <c r="A2" s="17"/>
      <c r="B2" s="18"/>
      <c r="C2" s="18"/>
      <c r="D2" s="18"/>
      <c r="E2" s="18"/>
    </row>
    <row r="3" spans="1:5" ht="15.75">
      <c r="A3" s="19" t="s">
        <v>117</v>
      </c>
      <c r="B3" s="18"/>
      <c r="C3" s="18"/>
      <c r="D3" s="20" t="s">
        <v>205</v>
      </c>
      <c r="E3" s="21"/>
    </row>
    <row r="4" spans="1:5" ht="15.75">
      <c r="A4" s="19" t="s">
        <v>176</v>
      </c>
      <c r="B4" s="18"/>
      <c r="C4" s="18"/>
      <c r="D4" s="22" t="s">
        <v>1</v>
      </c>
      <c r="E4" s="21"/>
    </row>
    <row r="5" spans="1:5" ht="15.75">
      <c r="A5" s="17"/>
      <c r="B5" s="18"/>
      <c r="C5" s="18"/>
      <c r="D5" s="23"/>
      <c r="E5" s="21"/>
    </row>
    <row r="6" spans="1:5" ht="15.75">
      <c r="A6" s="19" t="s">
        <v>133</v>
      </c>
      <c r="B6" s="18"/>
      <c r="C6" s="18"/>
      <c r="D6" s="24">
        <v>2012</v>
      </c>
      <c r="E6" s="21"/>
    </row>
    <row r="7" spans="1:5" ht="15.75">
      <c r="A7" s="18"/>
      <c r="B7" s="18"/>
      <c r="C7" s="18"/>
      <c r="D7" s="18"/>
      <c r="E7" s="18"/>
    </row>
    <row r="8" spans="1:5" ht="15.75">
      <c r="A8" s="294" t="s">
        <v>162</v>
      </c>
      <c r="B8" s="295"/>
      <c r="C8" s="295"/>
      <c r="D8" s="295"/>
      <c r="E8" s="295"/>
    </row>
    <row r="9" spans="1:5" ht="15.75">
      <c r="A9" s="25" t="s">
        <v>72</v>
      </c>
      <c r="B9" s="26"/>
      <c r="C9" s="26"/>
      <c r="D9" s="26"/>
      <c r="E9" s="26"/>
    </row>
    <row r="10" spans="1:5" ht="15.75">
      <c r="A10" s="296" t="s">
        <v>161</v>
      </c>
      <c r="B10" s="297"/>
      <c r="C10" s="297"/>
      <c r="D10" s="297"/>
      <c r="E10" s="297"/>
    </row>
    <row r="11" spans="1:5" ht="15.75">
      <c r="A11" s="27"/>
      <c r="B11" s="18"/>
      <c r="C11" s="18"/>
      <c r="D11" s="18"/>
      <c r="E11" s="18"/>
    </row>
    <row r="12" spans="1:5" ht="16.5">
      <c r="A12" s="290" t="s">
        <v>152</v>
      </c>
      <c r="B12" s="291"/>
      <c r="C12" s="291"/>
      <c r="D12" s="291"/>
      <c r="E12" s="291"/>
    </row>
    <row r="13" spans="1:5" ht="15.75">
      <c r="A13" s="27"/>
      <c r="B13" s="18"/>
      <c r="C13" s="18"/>
      <c r="D13" s="18"/>
      <c r="E13" s="18"/>
    </row>
    <row r="14" spans="1:5" ht="15.75">
      <c r="A14" s="28" t="s">
        <v>138</v>
      </c>
      <c r="B14" s="29"/>
      <c r="C14" s="18"/>
      <c r="D14" s="18"/>
      <c r="E14" s="18"/>
    </row>
    <row r="15" spans="1:5" ht="15.75">
      <c r="A15" s="30" t="str">
        <f>CONCATENATE("the ",D6-1," Budget, Certificate Page:")</f>
        <v>the 2011 Budget, Certificate Page:</v>
      </c>
      <c r="B15" s="31"/>
      <c r="C15" s="18"/>
      <c r="D15" s="18"/>
      <c r="E15" s="18"/>
    </row>
    <row r="16" spans="1:5" ht="15.75">
      <c r="A16" s="30" t="s">
        <v>185</v>
      </c>
      <c r="B16" s="31"/>
      <c r="C16" s="18"/>
      <c r="D16" s="18"/>
      <c r="E16" s="258">
        <v>0.98</v>
      </c>
    </row>
    <row r="17" spans="1:5" ht="15.75">
      <c r="A17" s="18"/>
      <c r="B17" s="18"/>
      <c r="C17" s="32"/>
      <c r="D17" s="33">
        <f>D6-1</f>
        <v>2011</v>
      </c>
      <c r="E17" s="298" t="str">
        <f>CONCATENATE("Amount of ",D6-2,"     Ad Valorem Tax")</f>
        <v>Amount of 2010     Ad Valorem Tax</v>
      </c>
    </row>
    <row r="18" spans="1:5" ht="15.75">
      <c r="A18" s="17" t="s">
        <v>17</v>
      </c>
      <c r="B18" s="18"/>
      <c r="C18" s="32" t="s">
        <v>18</v>
      </c>
      <c r="D18" s="34" t="s">
        <v>186</v>
      </c>
      <c r="E18" s="299"/>
    </row>
    <row r="19" spans="1:5" ht="15.75">
      <c r="A19" s="18"/>
      <c r="B19" s="35" t="s">
        <v>19</v>
      </c>
      <c r="C19" s="36" t="s">
        <v>204</v>
      </c>
      <c r="D19" s="37">
        <v>7962</v>
      </c>
      <c r="E19" s="37">
        <v>2334</v>
      </c>
    </row>
    <row r="20" spans="1:5" ht="15.75">
      <c r="A20" s="17" t="s">
        <v>20</v>
      </c>
      <c r="B20" s="18"/>
      <c r="C20" s="18"/>
      <c r="D20" s="39"/>
      <c r="E20" s="40"/>
    </row>
    <row r="21" spans="1:5" ht="15.75">
      <c r="A21" s="18"/>
      <c r="B21" s="36"/>
      <c r="C21" s="36"/>
      <c r="D21" s="37"/>
      <c r="E21" s="37"/>
    </row>
    <row r="22" spans="1:5" ht="15.75">
      <c r="A22" s="18"/>
      <c r="B22" s="36"/>
      <c r="C22" s="36"/>
      <c r="D22" s="37"/>
      <c r="E22" s="37"/>
    </row>
    <row r="23" spans="1:5" ht="15.75">
      <c r="A23" s="41" t="str">
        <f>CONCATENATE("Total Ad Valorem Tax for ",D6-1," Budgeted Year")</f>
        <v>Total Ad Valorem Tax for 2011 Budgeted Year</v>
      </c>
      <c r="B23" s="42"/>
      <c r="C23" s="42"/>
      <c r="D23" s="43"/>
      <c r="E23" s="44">
        <f>SUM(E19:E19,E21:E22)</f>
        <v>2334</v>
      </c>
    </row>
    <row r="24" spans="1:5" ht="15.75">
      <c r="A24" s="45" t="s">
        <v>21</v>
      </c>
      <c r="B24" s="18"/>
      <c r="C24" s="18"/>
      <c r="D24" s="18"/>
      <c r="E24" s="18"/>
    </row>
    <row r="25" spans="1:5" ht="15.75">
      <c r="A25" s="18"/>
      <c r="B25" s="36"/>
      <c r="C25" s="18"/>
      <c r="D25" s="37"/>
      <c r="E25" s="18"/>
    </row>
    <row r="26" spans="1:5" ht="15.75">
      <c r="A26" s="18"/>
      <c r="B26" s="36"/>
      <c r="C26" s="18"/>
      <c r="D26" s="37"/>
      <c r="E26" s="18"/>
    </row>
    <row r="27" spans="1:5" ht="15.75">
      <c r="A27" s="42" t="str">
        <f>CONCATENATE("Total Expenditures for ",D6-1," Budgeted Year")</f>
        <v>Total Expenditures for 2011 Budgeted Year</v>
      </c>
      <c r="B27" s="42"/>
      <c r="C27" s="46"/>
      <c r="D27" s="47">
        <f>SUM(D19:D19,D21:D22,D25:D26)</f>
        <v>7962</v>
      </c>
      <c r="E27" s="39"/>
    </row>
    <row r="28" spans="1:5" ht="15.75">
      <c r="A28" s="18" t="s">
        <v>178</v>
      </c>
      <c r="B28" s="18"/>
      <c r="C28" s="18"/>
      <c r="D28" s="18"/>
      <c r="E28" s="39"/>
    </row>
    <row r="29" spans="1:5" ht="15.75">
      <c r="A29" s="18">
        <v>1</v>
      </c>
      <c r="B29" s="48"/>
      <c r="C29" s="18"/>
      <c r="D29" s="18"/>
      <c r="E29" s="39"/>
    </row>
    <row r="30" spans="1:5" ht="15.75">
      <c r="A30" s="18">
        <v>2</v>
      </c>
      <c r="B30" s="48"/>
      <c r="C30" s="18"/>
      <c r="D30" s="18"/>
      <c r="E30" s="39"/>
    </row>
    <row r="31" spans="1:5" ht="15.75">
      <c r="A31" s="18">
        <v>3</v>
      </c>
      <c r="B31" s="48"/>
      <c r="C31" s="18"/>
      <c r="D31" s="18"/>
      <c r="E31" s="39"/>
    </row>
    <row r="32" spans="1:5" ht="15.75">
      <c r="A32" s="18">
        <v>4</v>
      </c>
      <c r="B32" s="48"/>
      <c r="C32" s="18"/>
      <c r="D32" s="18"/>
      <c r="E32" s="39"/>
    </row>
    <row r="33" spans="1:5" ht="15.75">
      <c r="A33" s="18">
        <v>5</v>
      </c>
      <c r="B33" s="48"/>
      <c r="C33" s="18"/>
      <c r="D33" s="18"/>
      <c r="E33" s="39"/>
    </row>
    <row r="34" spans="1:5" ht="15.75">
      <c r="A34" s="18"/>
      <c r="B34" s="18"/>
      <c r="C34" s="18"/>
      <c r="D34" s="18"/>
      <c r="E34" s="39"/>
    </row>
    <row r="35" spans="1:5" ht="15.75">
      <c r="A35" s="28" t="s">
        <v>138</v>
      </c>
      <c r="B35" s="29"/>
      <c r="C35" s="18"/>
      <c r="D35" s="288" t="str">
        <f>CONCATENATE("",D6-3," Tax Rate          (",D6-2," Column)")</f>
        <v>2009 Tax Rate          (2010 Column)</v>
      </c>
      <c r="E35" s="39"/>
    </row>
    <row r="36" spans="1:5" ht="15.75">
      <c r="A36" s="30" t="str">
        <f>CONCATENATE("the ",D6-1," Budget, Budget Summary Page:")</f>
        <v>the 2011 Budget, Budget Summary Page:</v>
      </c>
      <c r="B36" s="31"/>
      <c r="C36" s="18"/>
      <c r="D36" s="289"/>
      <c r="E36" s="39"/>
    </row>
    <row r="37" spans="1:5" ht="15.75">
      <c r="A37" s="18"/>
      <c r="B37" s="38" t="str">
        <f>B19</f>
        <v>General</v>
      </c>
      <c r="C37" s="18"/>
      <c r="D37" s="49">
        <v>2.362</v>
      </c>
      <c r="E37" s="39"/>
    </row>
    <row r="38" spans="1:5" ht="15.75">
      <c r="A38" s="18"/>
      <c r="B38" s="38">
        <f>B21</f>
        <v>0</v>
      </c>
      <c r="C38" s="18"/>
      <c r="D38" s="49"/>
      <c r="E38" s="39"/>
    </row>
    <row r="39" spans="1:5" ht="15.75">
      <c r="A39" s="18"/>
      <c r="B39" s="38">
        <f>B22</f>
        <v>0</v>
      </c>
      <c r="C39" s="18"/>
      <c r="D39" s="49"/>
      <c r="E39" s="39"/>
    </row>
    <row r="40" spans="1:5" ht="16.5" thickBot="1">
      <c r="A40" s="17" t="s">
        <v>22</v>
      </c>
      <c r="B40" s="18"/>
      <c r="C40" s="18"/>
      <c r="D40" s="50">
        <f>SUM(D37:D39)</f>
        <v>2.362</v>
      </c>
      <c r="E40" s="39"/>
    </row>
    <row r="41" spans="1:5" ht="16.5" thickTop="1">
      <c r="A41" s="18"/>
      <c r="B41" s="18"/>
      <c r="C41" s="18"/>
      <c r="D41" s="18"/>
      <c r="E41" s="39"/>
    </row>
    <row r="42" spans="1:5" ht="15.75">
      <c r="A42" s="51" t="str">
        <f>CONCATENATE("Total Tax Levied (",D6-2," budget column)")</f>
        <v>Total Tax Levied (2010 budget column)</v>
      </c>
      <c r="B42" s="29"/>
      <c r="C42" s="18"/>
      <c r="D42" s="18"/>
      <c r="E42" s="52">
        <v>2302</v>
      </c>
    </row>
    <row r="43" spans="1:5" ht="15.75">
      <c r="A43" s="51" t="str">
        <f>CONCATENATE("Assessed Valuation (",D6-2," budget column)")</f>
        <v>Assessed Valuation (2010 budget column)</v>
      </c>
      <c r="B43" s="29"/>
      <c r="C43" s="18"/>
      <c r="D43" s="18"/>
      <c r="E43" s="53">
        <v>974808</v>
      </c>
    </row>
    <row r="44" spans="1:5" ht="15.75">
      <c r="A44" s="18"/>
      <c r="B44" s="18"/>
      <c r="C44" s="18"/>
      <c r="D44" s="18"/>
      <c r="E44" s="39"/>
    </row>
    <row r="45" spans="1:5" ht="15.75">
      <c r="A45" s="29" t="s">
        <v>163</v>
      </c>
      <c r="B45" s="29"/>
      <c r="C45" s="54"/>
      <c r="D45" s="55">
        <f>D6-3</f>
        <v>2009</v>
      </c>
      <c r="E45" s="55">
        <f>D6-2</f>
        <v>2010</v>
      </c>
    </row>
    <row r="46" spans="1:5" ht="15.75">
      <c r="A46" s="56" t="s">
        <v>134</v>
      </c>
      <c r="B46" s="56"/>
      <c r="C46" s="57"/>
      <c r="D46" s="58"/>
      <c r="E46" s="58"/>
    </row>
    <row r="47" spans="1:5" ht="15.75">
      <c r="A47" s="59" t="s">
        <v>135</v>
      </c>
      <c r="B47" s="59"/>
      <c r="C47" s="60"/>
      <c r="D47" s="58"/>
      <c r="E47" s="58"/>
    </row>
    <row r="48" spans="1:5" ht="15.75">
      <c r="A48" s="59" t="s">
        <v>137</v>
      </c>
      <c r="B48" s="59"/>
      <c r="C48" s="60"/>
      <c r="D48" s="58"/>
      <c r="E48" s="58"/>
    </row>
    <row r="49" spans="1:5" ht="15.75">
      <c r="A49" s="59" t="s">
        <v>136</v>
      </c>
      <c r="B49" s="59"/>
      <c r="C49" s="60"/>
      <c r="D49" s="58"/>
      <c r="E49" s="58"/>
    </row>
    <row r="50" spans="1:5" ht="15.75">
      <c r="A50" s="59"/>
      <c r="B50" s="59"/>
      <c r="C50" s="61"/>
      <c r="D50" s="58"/>
      <c r="E50" s="58"/>
    </row>
  </sheetData>
  <sheetProtection/>
  <mergeCells count="6">
    <mergeCell ref="D35:D36"/>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364" t="s">
        <v>124</v>
      </c>
      <c r="C1" s="364"/>
      <c r="D1" s="364"/>
      <c r="E1" s="364"/>
      <c r="F1" s="364"/>
      <c r="G1" s="364"/>
      <c r="H1" s="364"/>
    </row>
    <row r="2" spans="2:8" ht="15.75">
      <c r="B2" s="6"/>
      <c r="C2"/>
      <c r="D2"/>
      <c r="E2"/>
      <c r="F2"/>
      <c r="G2"/>
      <c r="H2"/>
    </row>
    <row r="3" spans="2:8" ht="15.75">
      <c r="B3" s="365" t="s">
        <v>121</v>
      </c>
      <c r="C3" s="365"/>
      <c r="D3" s="365"/>
      <c r="E3" s="365"/>
      <c r="F3" s="365"/>
      <c r="G3" s="365"/>
      <c r="H3" s="365"/>
    </row>
    <row r="4" spans="2:8" ht="15.75">
      <c r="B4" s="7"/>
      <c r="C4"/>
      <c r="D4"/>
      <c r="E4"/>
      <c r="F4"/>
      <c r="G4"/>
      <c r="H4"/>
    </row>
    <row r="5" spans="2:8" ht="15.75">
      <c r="B5" s="370" t="str">
        <f>CONCATENATE("A resolution expressing the property taxation policy of the Board of ",(inputPrYr!D3)," District with respect to financing the ",inputPrYr!D6," annual budget for ",(inputPrYr!D3)," , ",(inputPrYr!D4)," , Kansas.")</f>
        <v>A resolution expressing the property taxation policy of the Board of Cedar Cemetery District #2 District with respect to financing the 2012 annual budget for Cedar Cemetery District #2 , Smith County , Kansas.</v>
      </c>
      <c r="C5" s="371"/>
      <c r="D5" s="371"/>
      <c r="E5" s="371"/>
      <c r="F5" s="371"/>
      <c r="G5" s="371"/>
      <c r="H5" s="371"/>
    </row>
    <row r="6" spans="2:10" ht="15.75">
      <c r="B6" s="371"/>
      <c r="C6" s="371"/>
      <c r="D6" s="371"/>
      <c r="E6" s="371"/>
      <c r="F6" s="371"/>
      <c r="G6" s="371"/>
      <c r="H6" s="371"/>
      <c r="J6" s="2">
        <f>CONCATENATE(J7)</f>
      </c>
    </row>
    <row r="7" spans="2:8" ht="15.75">
      <c r="B7" s="11"/>
      <c r="C7"/>
      <c r="D7"/>
      <c r="E7"/>
      <c r="F7"/>
      <c r="G7"/>
      <c r="H7"/>
    </row>
    <row r="8" spans="2:8" ht="15.75">
      <c r="B8" s="12" t="s">
        <v>150</v>
      </c>
      <c r="C8"/>
      <c r="D8"/>
      <c r="E8"/>
      <c r="F8"/>
      <c r="G8"/>
      <c r="H8"/>
    </row>
    <row r="9" spans="2:8" ht="15.75">
      <c r="B9" s="12" t="str">
        <f>CONCATENATE("",inputPrYr!D6," ",(inputPrYr!D3)," district budget exceed the amount levied to finance the")</f>
        <v>2012 Cedar Cemetery District #2 district budget exceed the amount levied to finance the</v>
      </c>
      <c r="C9"/>
      <c r="D9"/>
      <c r="E9"/>
      <c r="F9"/>
      <c r="G9"/>
      <c r="H9"/>
    </row>
    <row r="10" spans="2:8" ht="15.75">
      <c r="B10" s="12" t="str">
        <f>CONCATENATE("",inputPrYr!D6-1," ",inputPrYr!D3," except with regard to revenue produced and attributable to the")</f>
        <v>2011 Cedar Cemetery District #2 except with regard to revenue produced and attributable to the</v>
      </c>
      <c r="C10"/>
      <c r="D10"/>
      <c r="E10"/>
      <c r="F10"/>
      <c r="G10"/>
      <c r="H10"/>
    </row>
    <row r="11" spans="2:8" ht="15.75">
      <c r="B11" s="366" t="s">
        <v>151</v>
      </c>
      <c r="C11" s="367"/>
      <c r="D11" s="367"/>
      <c r="E11" s="367"/>
      <c r="F11" s="367"/>
      <c r="G11" s="367"/>
      <c r="H11" s="367"/>
    </row>
    <row r="12" spans="2:8" ht="15.75">
      <c r="B12" s="367"/>
      <c r="C12" s="367"/>
      <c r="D12" s="367"/>
      <c r="E12" s="367"/>
      <c r="F12" s="367"/>
      <c r="G12" s="367"/>
      <c r="H12" s="367"/>
    </row>
    <row r="13" spans="2:8" ht="15.75">
      <c r="B13" s="367"/>
      <c r="C13" s="367"/>
      <c r="D13" s="367"/>
      <c r="E13" s="367"/>
      <c r="F13" s="367"/>
      <c r="G13" s="367"/>
      <c r="H13" s="367"/>
    </row>
    <row r="14" spans="2:8" ht="15.75">
      <c r="B14" s="367"/>
      <c r="C14" s="367"/>
      <c r="D14" s="367"/>
      <c r="E14" s="367"/>
      <c r="F14" s="367"/>
      <c r="G14" s="367"/>
      <c r="H14" s="367"/>
    </row>
    <row r="15" spans="2:8" ht="15.75">
      <c r="B15" s="1"/>
      <c r="C15" s="1"/>
      <c r="D15" s="1"/>
      <c r="E15" s="1"/>
      <c r="F15" s="1"/>
      <c r="G15" s="1"/>
      <c r="H15" s="1"/>
    </row>
    <row r="16" spans="2:8" ht="15.75">
      <c r="B16" s="372" t="s">
        <v>131</v>
      </c>
      <c r="C16" s="373"/>
      <c r="D16" s="373"/>
      <c r="E16" s="373"/>
      <c r="F16" s="373"/>
      <c r="G16" s="373"/>
      <c r="H16" s="373"/>
    </row>
    <row r="17" spans="2:8" ht="15.75">
      <c r="B17" s="373"/>
      <c r="C17" s="373"/>
      <c r="D17" s="373"/>
      <c r="E17" s="373"/>
      <c r="F17" s="373"/>
      <c r="G17" s="373"/>
      <c r="H17" s="373"/>
    </row>
    <row r="18" spans="2:8" ht="15.75">
      <c r="B18" s="12"/>
      <c r="C18"/>
      <c r="D18"/>
      <c r="E18"/>
      <c r="F18"/>
      <c r="G18"/>
      <c r="H18"/>
    </row>
    <row r="19" spans="2:8" ht="15.75">
      <c r="B19" s="12" t="str">
        <f>CONCATENATE("Whereas, ",(inputPrYr!D3)," provides essential services to district residents; and")</f>
        <v>Whereas, Cedar Cemetery District #2 provides essential services to district residents; and</v>
      </c>
      <c r="C19"/>
      <c r="D19"/>
      <c r="E19"/>
      <c r="F19"/>
      <c r="G19"/>
      <c r="H19"/>
    </row>
    <row r="20" spans="2:8" ht="15.75">
      <c r="B20" s="12"/>
      <c r="C20"/>
      <c r="D20"/>
      <c r="E20"/>
      <c r="F20"/>
      <c r="G20"/>
      <c r="H20"/>
    </row>
    <row r="21" spans="2:8" ht="15.75">
      <c r="B21" s="12" t="s">
        <v>132</v>
      </c>
      <c r="C21"/>
      <c r="D21"/>
      <c r="E21"/>
      <c r="F21"/>
      <c r="G21"/>
      <c r="H21"/>
    </row>
    <row r="22" spans="2:8" ht="15.75">
      <c r="B22" s="12"/>
      <c r="C22"/>
      <c r="D22"/>
      <c r="E22"/>
      <c r="F22"/>
      <c r="G22"/>
      <c r="H22"/>
    </row>
    <row r="23" spans="2:8" ht="15.75">
      <c r="B23" s="36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Cedar Cemetery District #2 that is our desire to notify the public of the possibility of increased property taxes to finance the 2012 Cedar Cemetery District #2  budget as defined above.</v>
      </c>
      <c r="C23" s="374"/>
      <c r="D23" s="374"/>
      <c r="E23" s="374"/>
      <c r="F23" s="374"/>
      <c r="G23" s="374"/>
      <c r="H23" s="374"/>
    </row>
    <row r="24" spans="2:8" ht="15.75">
      <c r="B24" s="374"/>
      <c r="C24" s="374"/>
      <c r="D24" s="374"/>
      <c r="E24" s="374"/>
      <c r="F24" s="374"/>
      <c r="G24" s="374"/>
      <c r="H24" s="374"/>
    </row>
    <row r="25" spans="2:8" ht="15.75">
      <c r="B25" s="374"/>
      <c r="C25" s="374"/>
      <c r="D25" s="374"/>
      <c r="E25" s="374"/>
      <c r="F25" s="374"/>
      <c r="G25" s="374"/>
      <c r="H25" s="374"/>
    </row>
    <row r="26" spans="2:8" ht="15.75">
      <c r="B26" s="12"/>
      <c r="C26"/>
      <c r="D26"/>
      <c r="E26"/>
      <c r="F26"/>
      <c r="G26"/>
      <c r="H26"/>
    </row>
    <row r="27" spans="2:8" ht="15.75">
      <c r="B27" s="372" t="str">
        <f>CONCATENATE("Adopted this _________ day of ___________, ",inputPrYr!D6-1," by the ",(inputPrYr!D3)," District Board, ",(inputPrYr!D4),", Kansas.")</f>
        <v>Adopted this _________ day of ___________, 2011 by the Cedar Cemetery District #2 District Board, Smith County, Kansas.</v>
      </c>
      <c r="C27" s="371"/>
      <c r="D27" s="371"/>
      <c r="E27" s="371"/>
      <c r="F27" s="371"/>
      <c r="G27" s="371"/>
      <c r="H27" s="371"/>
    </row>
    <row r="28" spans="2:8" ht="15.75">
      <c r="B28" s="371"/>
      <c r="C28" s="371"/>
      <c r="D28" s="371"/>
      <c r="E28" s="371"/>
      <c r="F28" s="371"/>
      <c r="G28" s="371"/>
      <c r="H28" s="371"/>
    </row>
    <row r="29" spans="2:8" ht="15.75">
      <c r="B29" s="8"/>
      <c r="C29"/>
      <c r="D29"/>
      <c r="E29"/>
      <c r="F29"/>
      <c r="G29"/>
      <c r="H29"/>
    </row>
    <row r="30" spans="2:8" ht="15.75">
      <c r="B30" s="8"/>
      <c r="C30"/>
      <c r="D30"/>
      <c r="E30"/>
      <c r="F30"/>
      <c r="G30"/>
      <c r="H30"/>
    </row>
    <row r="31" spans="2:8" ht="15.75">
      <c r="B31" s="9" t="str">
        <f>CONCATENATE(" ",(inputPrYr!D3)," District Board")</f>
        <v> Cedar Cemetery District #2 District Board</v>
      </c>
      <c r="C31"/>
      <c r="D31"/>
      <c r="E31"/>
      <c r="F31"/>
      <c r="G31"/>
      <c r="H31"/>
    </row>
    <row r="32" spans="2:8" ht="15.75">
      <c r="B32" s="8"/>
      <c r="C32"/>
      <c r="D32"/>
      <c r="E32"/>
      <c r="F32"/>
      <c r="G32"/>
      <c r="H32"/>
    </row>
    <row r="33" spans="2:8" ht="15.75">
      <c r="B33"/>
      <c r="C33"/>
      <c r="D33"/>
      <c r="E33" s="368" t="s">
        <v>122</v>
      </c>
      <c r="F33" s="368"/>
      <c r="G33" s="368"/>
      <c r="H33" s="368"/>
    </row>
    <row r="34" spans="2:8" ht="15.75">
      <c r="B34"/>
      <c r="C34"/>
      <c r="D34"/>
      <c r="E34" s="368" t="s">
        <v>125</v>
      </c>
      <c r="F34" s="368"/>
      <c r="G34" s="368"/>
      <c r="H34" s="368"/>
    </row>
    <row r="35" spans="2:8" ht="15.75">
      <c r="B35" s="8"/>
      <c r="C35"/>
      <c r="D35"/>
      <c r="E35" s="368"/>
      <c r="F35" s="368"/>
      <c r="G35" s="368"/>
      <c r="H35" s="368"/>
    </row>
    <row r="36" spans="2:8" ht="15.75">
      <c r="B36"/>
      <c r="C36"/>
      <c r="D36"/>
      <c r="E36" s="368" t="s">
        <v>122</v>
      </c>
      <c r="F36" s="368"/>
      <c r="G36" s="368"/>
      <c r="H36" s="368"/>
    </row>
    <row r="37" spans="2:8" ht="15.75">
      <c r="B37"/>
      <c r="C37"/>
      <c r="D37"/>
      <c r="E37" s="368" t="s">
        <v>126</v>
      </c>
      <c r="F37" s="368"/>
      <c r="G37" s="368"/>
      <c r="H37" s="368"/>
    </row>
    <row r="38" spans="2:8" ht="15.75">
      <c r="B38" s="8"/>
      <c r="C38"/>
      <c r="D38"/>
      <c r="E38" s="368"/>
      <c r="F38" s="368"/>
      <c r="G38" s="368"/>
      <c r="H38" s="368"/>
    </row>
    <row r="39" spans="2:8" ht="15.75">
      <c r="B39"/>
      <c r="C39"/>
      <c r="D39"/>
      <c r="E39" s="368" t="s">
        <v>122</v>
      </c>
      <c r="F39" s="368"/>
      <c r="G39" s="368"/>
      <c r="H39" s="368"/>
    </row>
    <row r="40" spans="2:8" ht="15.75">
      <c r="B40"/>
      <c r="C40"/>
      <c r="D40"/>
      <c r="E40" s="368" t="s">
        <v>127</v>
      </c>
      <c r="F40" s="368"/>
      <c r="G40" s="368"/>
      <c r="H40" s="36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53</v>
      </c>
      <c r="E45" s="15"/>
      <c r="F45" s="13"/>
      <c r="G45" s="13"/>
      <c r="H45" s="13"/>
    </row>
    <row r="46" spans="2:8" ht="15.75">
      <c r="B46" s="10" t="s">
        <v>123</v>
      </c>
      <c r="E46" s="369"/>
      <c r="F46" s="369"/>
      <c r="G46" s="369"/>
      <c r="H46" s="369"/>
    </row>
    <row r="47" spans="2:8" ht="15.75">
      <c r="B47" s="3"/>
      <c r="E47" s="369"/>
      <c r="F47" s="369"/>
      <c r="G47" s="369"/>
      <c r="H47" s="369"/>
    </row>
    <row r="48" spans="5:8" ht="15.75">
      <c r="E48" s="369"/>
      <c r="F48" s="369"/>
      <c r="G48" s="369"/>
      <c r="H48" s="369"/>
    </row>
    <row r="49" spans="5:8" ht="15.75">
      <c r="E49" s="369"/>
      <c r="F49" s="369"/>
      <c r="G49" s="369"/>
      <c r="H49" s="369"/>
    </row>
    <row r="50" spans="2:8" ht="15.75">
      <c r="B50" s="3"/>
      <c r="E50" s="369"/>
      <c r="F50" s="369"/>
      <c r="G50" s="369"/>
      <c r="H50" s="36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E11" sqref="E1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257" t="str">
        <f>inputPrYr!D3</f>
        <v>Cedar Cemetery District #2</v>
      </c>
      <c r="B1" s="62"/>
      <c r="C1" s="62"/>
      <c r="D1" s="62"/>
      <c r="E1" s="62">
        <f>inputPrYr!D6</f>
        <v>2012</v>
      </c>
    </row>
    <row r="2" spans="1:5" ht="15.75">
      <c r="A2" s="257" t="str">
        <f>inputPrYr!D4</f>
        <v>Smith County</v>
      </c>
      <c r="B2" s="62"/>
      <c r="C2" s="62"/>
      <c r="D2" s="62"/>
      <c r="E2" s="62"/>
    </row>
    <row r="3" spans="1:5" ht="15">
      <c r="A3" s="64"/>
      <c r="B3" s="64"/>
      <c r="C3" s="64"/>
      <c r="D3" s="64"/>
      <c r="E3" s="64"/>
    </row>
    <row r="4" spans="1:5" ht="16.5">
      <c r="A4" s="290" t="s">
        <v>152</v>
      </c>
      <c r="B4" s="291"/>
      <c r="C4" s="291"/>
      <c r="D4" s="291"/>
      <c r="E4" s="291"/>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950450</v>
      </c>
    </row>
    <row r="8" spans="1:5" ht="15.75">
      <c r="A8" s="68" t="str">
        <f>CONCATENATE("New Improvements for ",inputPrYr!D6-1,"")</f>
        <v>New Improvements for 2011</v>
      </c>
      <c r="B8" s="69"/>
      <c r="C8" s="69"/>
      <c r="D8" s="69"/>
      <c r="E8" s="70">
        <v>7415</v>
      </c>
    </row>
    <row r="9" spans="1:5" ht="15.75">
      <c r="A9" s="68" t="str">
        <f>CONCATENATE("Personal Property excluding oil, gas, and mobile homes- ",inputPrYr!D6-1,"")</f>
        <v>Personal Property excluding oil, gas, and mobile homes- 2011</v>
      </c>
      <c r="B9" s="69"/>
      <c r="C9" s="69"/>
      <c r="D9" s="69"/>
      <c r="E9" s="70">
        <v>35469</v>
      </c>
    </row>
    <row r="10" spans="1:5" ht="15.75">
      <c r="A10" s="68" t="str">
        <f>CONCATENATE("Property that has changed in use for ",inputPrYr!D6-1,"")</f>
        <v>Property that has changed in use for 2011</v>
      </c>
      <c r="B10" s="69"/>
      <c r="C10" s="69"/>
      <c r="D10" s="69"/>
      <c r="E10" s="70">
        <v>17151</v>
      </c>
    </row>
    <row r="11" spans="1:5" ht="15.75">
      <c r="A11" s="67" t="str">
        <f>CONCATENATE("Personal Property excluding oil, gas, and mobile homes- ",inputPrYr!D6-2,"")</f>
        <v>Personal Property excluding oil, gas, and mobile homes- 2010</v>
      </c>
      <c r="B11" s="42"/>
      <c r="C11" s="42"/>
      <c r="D11" s="42"/>
      <c r="E11" s="70">
        <v>26891</v>
      </c>
    </row>
    <row r="12" spans="1:5" ht="15.75">
      <c r="A12" s="68" t="str">
        <f>CONCATENATE("Neighborhood Revitalization - ",E1,"")</f>
        <v>Neighborhood Revitalization - 2012</v>
      </c>
      <c r="B12" s="69"/>
      <c r="C12" s="69"/>
      <c r="D12" s="69"/>
      <c r="E12" s="70">
        <v>8430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300" t="s">
        <v>34</v>
      </c>
      <c r="B15" s="295"/>
      <c r="C15" s="64"/>
      <c r="D15" s="75" t="s">
        <v>71</v>
      </c>
      <c r="E15" s="74"/>
    </row>
    <row r="16" spans="1:5" ht="15.75">
      <c r="A16" s="67" t="s">
        <v>19</v>
      </c>
      <c r="B16" s="42"/>
      <c r="C16" s="71"/>
      <c r="D16" s="76">
        <v>2.469</v>
      </c>
      <c r="E16" s="74"/>
    </row>
    <row r="17" spans="1:5" ht="15.75">
      <c r="A17" s="68">
        <f>inputPrYr!B21</f>
        <v>0</v>
      </c>
      <c r="B17" s="69"/>
      <c r="C17" s="71"/>
      <c r="D17" s="77"/>
      <c r="E17" s="74"/>
    </row>
    <row r="18" spans="1:5" ht="15.75">
      <c r="A18" s="68">
        <f>inputPrYr!B22</f>
        <v>0</v>
      </c>
      <c r="B18" s="69"/>
      <c r="C18" s="71"/>
      <c r="D18" s="77"/>
      <c r="E18" s="74"/>
    </row>
    <row r="19" spans="1:5" ht="15.75">
      <c r="A19" s="68"/>
      <c r="B19" s="69"/>
      <c r="C19" s="71"/>
      <c r="D19" s="77"/>
      <c r="E19" s="74"/>
    </row>
    <row r="20" spans="1:5" ht="15.75">
      <c r="A20" s="68"/>
      <c r="B20" s="69"/>
      <c r="C20" s="71"/>
      <c r="D20" s="78"/>
      <c r="E20" s="74"/>
    </row>
    <row r="21" spans="1:5" ht="15.75">
      <c r="A21" s="79"/>
      <c r="B21" s="42" t="s">
        <v>159</v>
      </c>
      <c r="C21" s="80"/>
      <c r="D21" s="81">
        <f>SUM(D16:D20)</f>
        <v>2.469</v>
      </c>
      <c r="E21" s="79"/>
    </row>
    <row r="22" spans="1:5" ht="15">
      <c r="A22" s="79"/>
      <c r="B22" s="79"/>
      <c r="C22" s="79"/>
      <c r="D22" s="79"/>
      <c r="E22" s="79"/>
    </row>
    <row r="23" spans="1:5" ht="15.75">
      <c r="A23" s="42" t="str">
        <f>CONCATENATE("Final Assessed Valuation from the November 1, ",E1-2," Abstract")</f>
        <v>Final Assessed Valuation from the November 1, 2010 Abstract</v>
      </c>
      <c r="B23" s="82"/>
      <c r="C23" s="82"/>
      <c r="D23" s="82"/>
      <c r="E23" s="58">
        <v>945249</v>
      </c>
    </row>
    <row r="24" spans="1:5" ht="15">
      <c r="A24" s="79"/>
      <c r="B24" s="79"/>
      <c r="C24" s="79"/>
      <c r="D24" s="79"/>
      <c r="E24" s="79"/>
    </row>
    <row r="25" spans="1:5" ht="15.75">
      <c r="A25" s="83" t="str">
        <f>CONCATENATE("From the County Treasurer's Budget Information - ",E1," Budget Year Estimates:")</f>
        <v>From the County Treasurer's Budget Information - 2012 Budget Year Estimates:</v>
      </c>
      <c r="B25" s="29"/>
      <c r="C25" s="29"/>
      <c r="D25" s="84"/>
      <c r="E25" s="39"/>
    </row>
    <row r="26" spans="1:5" ht="15.75">
      <c r="A26" s="67" t="s">
        <v>23</v>
      </c>
      <c r="B26" s="42"/>
      <c r="C26" s="42"/>
      <c r="D26" s="85"/>
      <c r="E26" s="37">
        <v>251</v>
      </c>
    </row>
    <row r="27" spans="1:5" ht="15.75">
      <c r="A27" s="68" t="s">
        <v>24</v>
      </c>
      <c r="B27" s="69"/>
      <c r="C27" s="69"/>
      <c r="D27" s="86"/>
      <c r="E27" s="37">
        <v>9</v>
      </c>
    </row>
    <row r="28" spans="1:5" ht="15.75">
      <c r="A28" s="68" t="s">
        <v>146</v>
      </c>
      <c r="B28" s="69"/>
      <c r="C28" s="69"/>
      <c r="D28" s="86"/>
      <c r="E28" s="37">
        <v>68</v>
      </c>
    </row>
    <row r="29" spans="1:5" ht="15.75">
      <c r="A29" s="68" t="s">
        <v>140</v>
      </c>
      <c r="B29" s="69"/>
      <c r="C29" s="69"/>
      <c r="D29" s="86"/>
      <c r="E29" s="37">
        <v>0</v>
      </c>
    </row>
    <row r="30" spans="1:5" ht="15.75">
      <c r="A30" s="68" t="s">
        <v>141</v>
      </c>
      <c r="B30" s="69"/>
      <c r="C30" s="69"/>
      <c r="D30" s="86"/>
      <c r="E30" s="37">
        <v>0</v>
      </c>
    </row>
    <row r="31" spans="1:5" ht="15.75">
      <c r="A31" s="67"/>
      <c r="B31" s="42"/>
      <c r="C31" s="42"/>
      <c r="D31" s="85"/>
      <c r="E31" s="37">
        <v>0</v>
      </c>
    </row>
    <row r="32" spans="1:5" ht="15.75">
      <c r="A32" s="18" t="s">
        <v>147</v>
      </c>
      <c r="B32" s="18"/>
      <c r="C32" s="18"/>
      <c r="D32" s="18"/>
      <c r="E32" s="18"/>
    </row>
    <row r="33" spans="1:5" ht="15.75">
      <c r="A33" s="87" t="s">
        <v>101</v>
      </c>
      <c r="B33" s="26"/>
      <c r="C33" s="26"/>
      <c r="D33" s="18"/>
      <c r="E33" s="18"/>
    </row>
    <row r="34" spans="1:5" ht="15.75">
      <c r="A34" s="88" t="str">
        <f>CONCATENATE("Actual Delinquency for ",E1-2," Tax (round to three decimal places)")</f>
        <v>Actual Delinquency for 2010 Tax (round to three decimal places)</v>
      </c>
      <c r="B34" s="71"/>
      <c r="C34" s="18"/>
      <c r="D34" s="18"/>
      <c r="E34" s="89"/>
    </row>
    <row r="35" spans="1:5" ht="15.75">
      <c r="A35" s="88" t="s">
        <v>160</v>
      </c>
      <c r="B35" s="88"/>
      <c r="C35" s="71"/>
      <c r="D35" s="71"/>
      <c r="E35" s="90"/>
    </row>
    <row r="36" spans="1:5" ht="15.75">
      <c r="A36" s="91" t="s">
        <v>148</v>
      </c>
      <c r="B36" s="91"/>
      <c r="C36" s="92"/>
      <c r="D36" s="92"/>
      <c r="E36" s="93"/>
    </row>
    <row r="37" spans="1:5" ht="15">
      <c r="A37" s="64"/>
      <c r="B37" s="64"/>
      <c r="C37" s="64"/>
      <c r="D37" s="64"/>
      <c r="E37" s="64"/>
    </row>
    <row r="38" spans="1:5" ht="16.5">
      <c r="A38" s="301" t="str">
        <f>CONCATENATE("From the ",E1-2," Budget Certificate Page")</f>
        <v>From the 2010 Budget Certificate Page</v>
      </c>
      <c r="B38" s="302"/>
      <c r="C38" s="64"/>
      <c r="D38" s="64"/>
      <c r="E38" s="64"/>
    </row>
    <row r="39" spans="1:5" ht="15.75">
      <c r="A39" s="94"/>
      <c r="B39" s="94" t="str">
        <f>CONCATENATE("",E1-2," Expenditure Amounts")</f>
        <v>2010 Expenditure Amounts</v>
      </c>
      <c r="C39" s="303" t="str">
        <f>CONCATENATE("Note: If the ",E1-2," budget was amended, then the")</f>
        <v>Note: If the 2010 budget was amended, then the</v>
      </c>
      <c r="D39" s="304"/>
      <c r="E39" s="304"/>
    </row>
    <row r="40" spans="1:5" ht="15.75">
      <c r="A40" s="95" t="s">
        <v>168</v>
      </c>
      <c r="B40" s="95" t="s">
        <v>169</v>
      </c>
      <c r="C40" s="96" t="s">
        <v>170</v>
      </c>
      <c r="D40" s="97"/>
      <c r="E40" s="97"/>
    </row>
    <row r="41" spans="1:5" ht="15.75">
      <c r="A41" s="98" t="str">
        <f>inputPrYr!B19</f>
        <v>General</v>
      </c>
      <c r="B41" s="58">
        <v>9878</v>
      </c>
      <c r="C41" s="96" t="s">
        <v>171</v>
      </c>
      <c r="D41" s="97"/>
      <c r="E41" s="97"/>
    </row>
    <row r="42" spans="1:5" ht="15.75">
      <c r="A42" s="98">
        <f>inputPrYr!B21</f>
        <v>0</v>
      </c>
      <c r="B42" s="58"/>
      <c r="C42" s="64"/>
      <c r="D42" s="64"/>
      <c r="E42" s="64"/>
    </row>
    <row r="43" spans="1:5" ht="15.75">
      <c r="A43" s="98">
        <f>inputPrYr!B22</f>
        <v>0</v>
      </c>
      <c r="B43" s="58"/>
      <c r="C43" s="64"/>
      <c r="D43" s="64"/>
      <c r="E43" s="64"/>
    </row>
    <row r="44" spans="1:5" ht="15.75">
      <c r="A44" s="98">
        <f>inputPrYr!B25</f>
        <v>0</v>
      </c>
      <c r="B44" s="58"/>
      <c r="C44" s="64"/>
      <c r="D44" s="64"/>
      <c r="E44" s="64"/>
    </row>
    <row r="45" spans="1:5" ht="15.75">
      <c r="A45" s="98">
        <f>inputPrYr!B26</f>
        <v>0</v>
      </c>
      <c r="B45" s="58"/>
      <c r="C45" s="64"/>
      <c r="D45" s="64"/>
      <c r="E45" s="64"/>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305" t="s">
        <v>190</v>
      </c>
      <c r="B2" s="306"/>
      <c r="C2" s="306"/>
      <c r="D2" s="306"/>
      <c r="E2" s="306"/>
      <c r="F2" s="306"/>
    </row>
    <row r="4" spans="1:6" ht="15.75">
      <c r="A4" s="245"/>
      <c r="B4" s="245"/>
      <c r="C4" s="245"/>
      <c r="D4" s="246"/>
      <c r="E4" s="245"/>
      <c r="F4" s="245"/>
    </row>
    <row r="5" spans="1:6" ht="15.75">
      <c r="A5" s="247" t="s">
        <v>191</v>
      </c>
      <c r="B5" s="248" t="s">
        <v>2</v>
      </c>
      <c r="C5" s="249"/>
      <c r="D5" s="247" t="s">
        <v>192</v>
      </c>
      <c r="E5" s="245"/>
      <c r="F5" s="245"/>
    </row>
    <row r="6" spans="1:6" ht="15.75">
      <c r="A6" s="247"/>
      <c r="B6" s="250"/>
      <c r="C6" s="251"/>
      <c r="D6" s="247"/>
      <c r="E6" s="245"/>
      <c r="F6" s="245"/>
    </row>
    <row r="7" spans="1:6" ht="15.75">
      <c r="A7" s="247" t="s">
        <v>193</v>
      </c>
      <c r="B7" s="248" t="s">
        <v>3</v>
      </c>
      <c r="C7" s="252"/>
      <c r="D7" s="247"/>
      <c r="E7" s="245"/>
      <c r="F7" s="245"/>
    </row>
    <row r="8" spans="1:6" ht="15.75">
      <c r="A8" s="247"/>
      <c r="B8" s="247"/>
      <c r="C8" s="247"/>
      <c r="D8" s="247"/>
      <c r="E8" s="245"/>
      <c r="F8" s="245"/>
    </row>
    <row r="9" spans="1:6" ht="15.75">
      <c r="A9" s="247" t="s">
        <v>194</v>
      </c>
      <c r="B9" s="253" t="s">
        <v>2</v>
      </c>
      <c r="C9" s="253"/>
      <c r="D9" s="253"/>
      <c r="E9" s="254"/>
      <c r="F9" s="245"/>
    </row>
    <row r="10" spans="1:6" ht="15.75">
      <c r="A10" s="247"/>
      <c r="B10" s="247"/>
      <c r="C10" s="247"/>
      <c r="D10" s="247"/>
      <c r="E10" s="245"/>
      <c r="F10" s="245"/>
    </row>
    <row r="11" spans="1:6" ht="15.75">
      <c r="A11" s="247"/>
      <c r="B11" s="247"/>
      <c r="C11" s="247"/>
      <c r="D11" s="247"/>
      <c r="E11" s="245"/>
      <c r="F11" s="245"/>
    </row>
    <row r="12" spans="1:6" ht="15.75">
      <c r="A12" s="247" t="s">
        <v>195</v>
      </c>
      <c r="B12" s="253"/>
      <c r="C12" s="253"/>
      <c r="D12" s="253"/>
      <c r="E12" s="254"/>
      <c r="F12" s="245"/>
    </row>
    <row r="15" spans="1:6" ht="15.75">
      <c r="A15" s="307" t="s">
        <v>196</v>
      </c>
      <c r="B15" s="307"/>
      <c r="C15" s="247"/>
      <c r="D15" s="247"/>
      <c r="E15" s="247"/>
      <c r="F15" s="245"/>
    </row>
    <row r="16" spans="1:6" ht="15.75">
      <c r="A16" s="247"/>
      <c r="B16" s="247"/>
      <c r="C16" s="247"/>
      <c r="D16" s="247"/>
      <c r="E16" s="247"/>
      <c r="F16" s="245"/>
    </row>
    <row r="17" spans="1:5" ht="15.75">
      <c r="A17" s="247" t="s">
        <v>191</v>
      </c>
      <c r="B17" s="250" t="s">
        <v>197</v>
      </c>
      <c r="C17" s="247"/>
      <c r="D17" s="247"/>
      <c r="E17" s="247"/>
    </row>
    <row r="18" spans="1:5" ht="15.75">
      <c r="A18" s="247"/>
      <c r="B18" s="247"/>
      <c r="C18" s="247"/>
      <c r="D18" s="247"/>
      <c r="E18" s="247"/>
    </row>
    <row r="19" spans="1:5" ht="15.75">
      <c r="A19" s="247" t="s">
        <v>193</v>
      </c>
      <c r="B19" s="247" t="s">
        <v>198</v>
      </c>
      <c r="C19" s="247"/>
      <c r="D19" s="247"/>
      <c r="E19" s="247"/>
    </row>
    <row r="20" spans="1:5" ht="15.75">
      <c r="A20" s="247"/>
      <c r="B20" s="247"/>
      <c r="C20" s="247"/>
      <c r="D20" s="247"/>
      <c r="E20" s="247"/>
    </row>
    <row r="21" spans="1:5" ht="15.75">
      <c r="A21" s="247" t="s">
        <v>194</v>
      </c>
      <c r="B21" s="247" t="s">
        <v>200</v>
      </c>
      <c r="C21" s="247"/>
      <c r="D21" s="247"/>
      <c r="E21" s="247"/>
    </row>
    <row r="22" spans="1:5" ht="15.75">
      <c r="A22" s="247"/>
      <c r="B22" s="247"/>
      <c r="C22" s="247"/>
      <c r="D22" s="247"/>
      <c r="E22" s="247"/>
    </row>
    <row r="23" spans="1:5" ht="15.75">
      <c r="A23" s="247" t="s">
        <v>195</v>
      </c>
      <c r="B23" s="247" t="s">
        <v>199</v>
      </c>
      <c r="C23" s="247"/>
      <c r="D23" s="247"/>
      <c r="E23" s="247"/>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E16" sqref="E16"/>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309" t="s">
        <v>73</v>
      </c>
      <c r="B2" s="309"/>
      <c r="C2" s="309"/>
      <c r="D2" s="309"/>
      <c r="E2" s="309"/>
      <c r="F2" s="309"/>
      <c r="G2" s="309"/>
    </row>
    <row r="3" spans="1:7" ht="15.75">
      <c r="A3" s="18"/>
      <c r="B3" s="18"/>
      <c r="C3" s="18"/>
      <c r="D3" s="18"/>
      <c r="E3" s="18"/>
      <c r="F3" s="18"/>
      <c r="G3" s="62">
        <f>inputPrYr!D6</f>
        <v>2012</v>
      </c>
    </row>
    <row r="4" spans="1:7" ht="15.75">
      <c r="A4" s="310" t="str">
        <f>CONCATENATE("To the Clerk of ",inputPrYr!D4,", State of Kansas")</f>
        <v>To the Clerk of Smith County, State of Kansas</v>
      </c>
      <c r="B4" s="310"/>
      <c r="C4" s="310"/>
      <c r="D4" s="310"/>
      <c r="E4" s="310"/>
      <c r="F4" s="310"/>
      <c r="G4" s="310"/>
    </row>
    <row r="5" spans="1:7" ht="15.75">
      <c r="A5" s="102" t="s">
        <v>139</v>
      </c>
      <c r="B5" s="26"/>
      <c r="C5" s="26"/>
      <c r="D5" s="26"/>
      <c r="E5" s="26"/>
      <c r="F5" s="26"/>
      <c r="G5" s="26"/>
    </row>
    <row r="6" spans="1:7" ht="15.75">
      <c r="A6" s="292" t="str">
        <f>inputPrYr!D3</f>
        <v>Cedar Cemetery District #2</v>
      </c>
      <c r="B6" s="292"/>
      <c r="C6" s="292"/>
      <c r="D6" s="292"/>
      <c r="E6" s="292"/>
      <c r="F6" s="292"/>
      <c r="G6" s="292"/>
    </row>
    <row r="7" spans="1:7" ht="15.75">
      <c r="A7" s="102" t="s">
        <v>25</v>
      </c>
      <c r="B7" s="26"/>
      <c r="C7" s="26"/>
      <c r="D7" s="26"/>
      <c r="E7" s="26"/>
      <c r="F7" s="26"/>
      <c r="G7" s="26"/>
    </row>
    <row r="8" spans="1:7" ht="15.75">
      <c r="A8" s="102" t="s">
        <v>26</v>
      </c>
      <c r="B8" s="26"/>
      <c r="C8" s="26"/>
      <c r="D8" s="26"/>
      <c r="E8" s="26"/>
      <c r="F8" s="26"/>
      <c r="G8" s="26"/>
    </row>
    <row r="9" spans="1:7" ht="15.75">
      <c r="A9" s="102" t="str">
        <f>CONCATENATE("maximum expenditures for the various funds for the year ",G3,"; and (3) the")</f>
        <v>maximum expenditures for the various funds for the year 2012; and (3) the</v>
      </c>
      <c r="B9" s="26"/>
      <c r="C9" s="26"/>
      <c r="D9" s="26"/>
      <c r="E9" s="26"/>
      <c r="F9" s="26"/>
      <c r="G9" s="26"/>
    </row>
    <row r="10" spans="1:7" ht="15.75">
      <c r="A10" s="102" t="str">
        <f>CONCATENATE("Amount(s) of ",G3-1," Ad Valorem Tax are within statutory  limitations for the ",G3," Budget.")</f>
        <v>Amount(s) of 2011 Ad Valorem Tax are within statutory  limitations for the 2012 Budget.</v>
      </c>
      <c r="B10" s="26"/>
      <c r="C10" s="26"/>
      <c r="D10" s="26"/>
      <c r="E10" s="26"/>
      <c r="F10" s="26"/>
      <c r="G10" s="26"/>
    </row>
    <row r="11" spans="1:7" ht="15.75">
      <c r="A11" s="17"/>
      <c r="B11" s="18"/>
      <c r="C11" s="18"/>
      <c r="D11" s="104"/>
      <c r="E11" s="105"/>
      <c r="F11" s="105"/>
      <c r="G11" s="105"/>
    </row>
    <row r="12" spans="1:7" ht="15.75">
      <c r="A12" s="18"/>
      <c r="B12" s="18"/>
      <c r="C12" s="18"/>
      <c r="D12" s="18"/>
      <c r="E12" s="311" t="str">
        <f>CONCATENATE("",G3," Adopted Budget")</f>
        <v>2012 Adopted Budget</v>
      </c>
      <c r="F12" s="312"/>
      <c r="G12" s="313"/>
    </row>
    <row r="13" spans="1:8" ht="15.75">
      <c r="A13" s="17"/>
      <c r="B13" s="18"/>
      <c r="C13" s="18"/>
      <c r="D13" s="42"/>
      <c r="E13" s="106" t="s">
        <v>27</v>
      </c>
      <c r="F13" s="107"/>
      <c r="G13" s="108" t="s">
        <v>28</v>
      </c>
      <c r="H13" s="109"/>
    </row>
    <row r="14" spans="1:7" ht="15.75">
      <c r="A14" s="18"/>
      <c r="B14" s="18"/>
      <c r="C14" s="18"/>
      <c r="D14" s="107" t="s">
        <v>29</v>
      </c>
      <c r="E14" s="110" t="s">
        <v>169</v>
      </c>
      <c r="F14" s="314" t="str">
        <f>CONCATENATE("Amount of ",G3-1," Ad Valorem Tax")</f>
        <v>Amount of 2011 Ad Valorem Tax</v>
      </c>
      <c r="G14" s="108" t="s">
        <v>30</v>
      </c>
    </row>
    <row r="15" spans="1:7" ht="15.75">
      <c r="A15" s="17" t="s">
        <v>31</v>
      </c>
      <c r="B15" s="18"/>
      <c r="C15" s="18"/>
      <c r="D15" s="110" t="s">
        <v>32</v>
      </c>
      <c r="E15" s="110" t="s">
        <v>202</v>
      </c>
      <c r="F15" s="314"/>
      <c r="G15" s="108" t="s">
        <v>33</v>
      </c>
    </row>
    <row r="16" spans="1:7" ht="4.5" customHeight="1">
      <c r="A16" s="111"/>
      <c r="B16" s="111"/>
      <c r="C16" s="111"/>
      <c r="D16" s="112"/>
      <c r="E16" s="112"/>
      <c r="F16" s="113"/>
      <c r="G16" s="114"/>
    </row>
    <row r="17" spans="1:7" ht="15.75">
      <c r="A17" s="115" t="str">
        <f>CONCATENATE("Computation to Determine Limit for ",G3,"")</f>
        <v>Computation to Determine Limit for 2012</v>
      </c>
      <c r="B17" s="111"/>
      <c r="C17" s="111"/>
      <c r="D17" s="116">
        <v>2</v>
      </c>
      <c r="E17" s="105"/>
      <c r="F17" s="105"/>
      <c r="G17" s="117"/>
    </row>
    <row r="18" spans="1:7" ht="15.75">
      <c r="A18" s="118" t="s">
        <v>165</v>
      </c>
      <c r="B18" s="111"/>
      <c r="C18" s="111"/>
      <c r="D18" s="116">
        <v>3</v>
      </c>
      <c r="E18" s="105"/>
      <c r="F18" s="105"/>
      <c r="G18" s="117"/>
    </row>
    <row r="19" spans="1:7" ht="15.75">
      <c r="A19" s="120" t="s">
        <v>34</v>
      </c>
      <c r="B19" s="121"/>
      <c r="C19" s="122" t="s">
        <v>35</v>
      </c>
      <c r="D19" s="116"/>
      <c r="E19" s="123"/>
      <c r="F19" s="42"/>
      <c r="G19" s="46"/>
    </row>
    <row r="20" spans="1:7" ht="15.75">
      <c r="A20" s="124" t="s">
        <v>19</v>
      </c>
      <c r="B20" s="121"/>
      <c r="C20" s="116" t="str">
        <f>inputPrYr!C19</f>
        <v>17-330</v>
      </c>
      <c r="D20" s="125">
        <v>4</v>
      </c>
      <c r="E20" s="126">
        <f>IF(gen!$G$36&lt;&gt;0,gen!$G$36,"  ")</f>
        <v>12753</v>
      </c>
      <c r="F20" s="126">
        <f>IF(gen!$G$42&lt;&gt;0,gen!$G$42,"  ")</f>
        <v>2347</v>
      </c>
      <c r="G20" s="127" t="str">
        <f>IF(AND(gen!G42=0,$F$32&gt;=0)," ",IF(AND(F20&gt;0,$F$32=0)," ",IF(AND(F20&gt;0,$F$32&gt;0),ROUND(F20/$F$32*1000,3))))</f>
        <v> </v>
      </c>
    </row>
    <row r="21" spans="1:7" ht="15.75">
      <c r="A21" s="128" t="str">
        <f>IF(inputPrYr!$B$21&gt;"  ",inputPrYr!$B$21,"  ")</f>
        <v>  </v>
      </c>
      <c r="B21" s="121"/>
      <c r="C21" s="116" t="str">
        <f>IF(inputPrYr!C21&gt;0,inputPrYr!C21,"  ")</f>
        <v>  </v>
      </c>
      <c r="D21" s="125"/>
      <c r="E21" s="47"/>
      <c r="F21" s="47"/>
      <c r="G21" s="127"/>
    </row>
    <row r="22" spans="1:7" ht="15.75">
      <c r="A22" s="128" t="str">
        <f>IF(inputPrYr!$B$22&gt;"  ",inputPrYr!$B$22,"  ")</f>
        <v>  </v>
      </c>
      <c r="B22" s="121"/>
      <c r="C22" s="116" t="str">
        <f>IF(inputPrYr!C22&gt;0,inputPrYr!C22,"  ")</f>
        <v>  </v>
      </c>
      <c r="D22" s="125"/>
      <c r="E22" s="47"/>
      <c r="F22" s="47"/>
      <c r="G22" s="127"/>
    </row>
    <row r="23" spans="1:7" ht="15.75">
      <c r="A23" s="128" t="str">
        <f>IF(inputPrYr!$B$25&gt;"  ",inputPrYr!$B$25,"  ")</f>
        <v>  </v>
      </c>
      <c r="B23" s="69"/>
      <c r="C23" s="129"/>
      <c r="D23" s="125"/>
      <c r="E23" s="47"/>
      <c r="F23" s="130"/>
      <c r="G23" s="127"/>
    </row>
    <row r="24" spans="1:7" ht="15.75">
      <c r="A24" s="131" t="str">
        <f>IF(inputPrYr!$B$26&gt;"  ",inputPrYr!$B$26,"  ")</f>
        <v>  </v>
      </c>
      <c r="B24" s="132"/>
      <c r="C24" s="129"/>
      <c r="D24" s="125"/>
      <c r="E24" s="47"/>
      <c r="F24" s="130"/>
      <c r="G24" s="127"/>
    </row>
    <row r="25" spans="1:7" ht="15.75">
      <c r="A25" s="131">
        <f>IF((inputPrYr!$B$29&gt;" "),(#REF!),"")</f>
      </c>
      <c r="B25" s="132"/>
      <c r="C25" s="108"/>
      <c r="D25" s="125"/>
      <c r="E25" s="133"/>
      <c r="F25" s="134"/>
      <c r="G25" s="135"/>
    </row>
    <row r="26" spans="1:7" ht="16.5" thickBot="1">
      <c r="A26" s="136" t="s">
        <v>118</v>
      </c>
      <c r="B26" s="69"/>
      <c r="C26" s="121"/>
      <c r="D26" s="137" t="s">
        <v>36</v>
      </c>
      <c r="E26" s="259">
        <f>SUM(E20:E24)</f>
        <v>12753</v>
      </c>
      <c r="F26" s="260">
        <f>SUM(F20:F24)</f>
        <v>2347</v>
      </c>
      <c r="G26" s="261">
        <f>IF(SUM(G20:G24)=0,"",SUM(G20:G24))</f>
      </c>
    </row>
    <row r="27" spans="1:7" ht="16.5" thickTop="1">
      <c r="A27" s="124" t="s">
        <v>158</v>
      </c>
      <c r="B27" s="69"/>
      <c r="C27" s="121"/>
      <c r="D27" s="139">
        <f>summ!E42</f>
        <v>5</v>
      </c>
      <c r="E27" s="140"/>
      <c r="F27" s="18"/>
      <c r="G27" s="17" t="s">
        <v>37</v>
      </c>
    </row>
    <row r="28" spans="1:7" ht="15.75">
      <c r="A28" s="124" t="s">
        <v>175</v>
      </c>
      <c r="B28" s="141"/>
      <c r="C28" s="142"/>
      <c r="D28" s="139">
        <f>IF(Nhood!C34=0,"",Nhood!C34)</f>
        <v>6</v>
      </c>
      <c r="E28" s="143" t="s">
        <v>157</v>
      </c>
      <c r="F28" s="144" t="str">
        <f>IF(F26&gt;computation!J34,"Yes","No")</f>
        <v>No</v>
      </c>
      <c r="G28" s="17"/>
    </row>
    <row r="29" spans="1:7" ht="15.75">
      <c r="A29" s="145" t="s">
        <v>155</v>
      </c>
      <c r="B29" s="69"/>
      <c r="C29" s="121"/>
      <c r="D29" s="139">
        <f>IF(Resolution!E45=0,"",Resolution!E45)</f>
      </c>
      <c r="E29" s="62"/>
      <c r="F29" s="146"/>
      <c r="G29" s="17"/>
    </row>
    <row r="30" spans="1:7" ht="15.75">
      <c r="A30" s="21"/>
      <c r="B30" s="71"/>
      <c r="C30" s="18"/>
      <c r="D30" s="147"/>
      <c r="E30" s="62"/>
      <c r="F30" s="146"/>
      <c r="G30" s="17"/>
    </row>
    <row r="31" spans="1:7" ht="15.75">
      <c r="A31" s="148" t="s">
        <v>39</v>
      </c>
      <c r="B31" s="262" t="s">
        <v>4</v>
      </c>
      <c r="C31" s="149"/>
      <c r="D31" s="149"/>
      <c r="E31" s="140"/>
      <c r="F31" s="150" t="s">
        <v>120</v>
      </c>
      <c r="G31" s="18"/>
    </row>
    <row r="32" spans="1:7" ht="15.75">
      <c r="A32" s="71"/>
      <c r="B32" s="263" t="s">
        <v>5</v>
      </c>
      <c r="C32" s="151"/>
      <c r="D32" s="151"/>
      <c r="E32" s="152"/>
      <c r="F32" s="153"/>
      <c r="G32" s="18"/>
    </row>
    <row r="33" spans="1:7" ht="15.75">
      <c r="A33" s="154" t="s">
        <v>130</v>
      </c>
      <c r="B33" s="264" t="s">
        <v>6</v>
      </c>
      <c r="C33" s="155"/>
      <c r="D33" s="156"/>
      <c r="E33" s="315"/>
      <c r="F33" s="317" t="s">
        <v>156</v>
      </c>
      <c r="G33" s="18"/>
    </row>
    <row r="34" spans="1:7" ht="15.75">
      <c r="A34" s="71"/>
      <c r="B34" s="264" t="s">
        <v>7</v>
      </c>
      <c r="C34" s="156"/>
      <c r="D34" s="156"/>
      <c r="E34" s="316"/>
      <c r="F34" s="318"/>
      <c r="G34" s="18"/>
    </row>
    <row r="35" spans="1:7" ht="15.75">
      <c r="A35" s="71"/>
      <c r="B35" s="155"/>
      <c r="C35" s="156"/>
      <c r="D35" s="156"/>
      <c r="E35" s="157"/>
      <c r="F35" s="157"/>
      <c r="G35" s="18"/>
    </row>
    <row r="36" spans="1:7" ht="15.75">
      <c r="A36" s="71"/>
      <c r="B36" s="158"/>
      <c r="C36" s="54"/>
      <c r="D36" s="18"/>
      <c r="E36" s="157"/>
      <c r="F36" s="157"/>
      <c r="G36" s="18"/>
    </row>
    <row r="37" spans="1:7" ht="15.75">
      <c r="A37" s="18"/>
      <c r="B37" s="18"/>
      <c r="C37" s="18"/>
      <c r="D37" s="18"/>
      <c r="E37" s="62"/>
      <c r="F37" s="18"/>
      <c r="G37" s="18"/>
    </row>
    <row r="38" spans="1:7" ht="15.75">
      <c r="A38" s="159" t="s">
        <v>38</v>
      </c>
      <c r="B38" s="160"/>
      <c r="C38" s="17"/>
      <c r="D38" s="23"/>
      <c r="E38" s="158"/>
      <c r="F38" s="18"/>
      <c r="G38" s="18"/>
    </row>
    <row r="39" spans="1:7" ht="15.75">
      <c r="A39" s="161" t="s">
        <v>128</v>
      </c>
      <c r="B39" s="162"/>
      <c r="C39" s="71"/>
      <c r="D39" s="158"/>
      <c r="E39" s="158"/>
      <c r="F39" s="163"/>
      <c r="G39" s="163"/>
    </row>
    <row r="40" spans="1:7" ht="15.75">
      <c r="A40" s="161" t="s">
        <v>129</v>
      </c>
      <c r="B40" s="117"/>
      <c r="C40" s="71"/>
      <c r="D40" s="158"/>
      <c r="E40" s="158"/>
      <c r="F40" s="54"/>
      <c r="G40" s="54"/>
    </row>
    <row r="41" spans="1:7" ht="15.75">
      <c r="A41" s="161" t="s">
        <v>40</v>
      </c>
      <c r="B41" s="162"/>
      <c r="C41" s="71"/>
      <c r="D41" s="158"/>
      <c r="E41" s="54"/>
      <c r="F41" s="163"/>
      <c r="G41" s="163"/>
    </row>
    <row r="42" spans="1:7" ht="15.75">
      <c r="A42" s="123"/>
      <c r="B42" s="46"/>
      <c r="C42" s="71"/>
      <c r="D42" s="54"/>
      <c r="E42" s="54"/>
      <c r="F42" s="54"/>
      <c r="G42" s="54"/>
    </row>
    <row r="43" spans="1:7" ht="15.75">
      <c r="A43" s="18"/>
      <c r="B43" s="18"/>
      <c r="C43" s="18"/>
      <c r="D43" s="18"/>
      <c r="E43" s="18"/>
      <c r="F43" s="163"/>
      <c r="G43" s="163"/>
    </row>
    <row r="44" spans="1:7" ht="15.75">
      <c r="A44" s="17" t="s">
        <v>153</v>
      </c>
      <c r="B44" s="71"/>
      <c r="C44" s="17">
        <f>G3-1</f>
        <v>2011</v>
      </c>
      <c r="D44" s="18"/>
      <c r="E44" s="18"/>
      <c r="F44" s="26"/>
      <c r="G44" s="26"/>
    </row>
    <row r="45" spans="1:7" ht="15.75">
      <c r="A45" s="42"/>
      <c r="B45" s="111"/>
      <c r="C45" s="18"/>
      <c r="D45" s="18"/>
      <c r="E45" s="18"/>
      <c r="F45" s="42"/>
      <c r="G45" s="42"/>
    </row>
    <row r="46" spans="1:7" ht="15.75">
      <c r="A46" s="26" t="s">
        <v>42</v>
      </c>
      <c r="B46" s="26"/>
      <c r="C46" s="18"/>
      <c r="D46" s="18"/>
      <c r="E46" s="18"/>
      <c r="F46" s="26" t="s">
        <v>41</v>
      </c>
      <c r="G46" s="18"/>
    </row>
    <row r="47" spans="1:7" ht="15.75">
      <c r="A47" s="16"/>
      <c r="B47" s="16"/>
      <c r="C47" s="16"/>
      <c r="D47" s="16"/>
      <c r="E47" s="16"/>
      <c r="F47" s="16"/>
      <c r="G47" s="16"/>
    </row>
    <row r="48" spans="1:7" ht="15.75">
      <c r="A48" s="16"/>
      <c r="B48" s="16"/>
      <c r="C48" s="16"/>
      <c r="D48" s="16"/>
      <c r="E48" s="16"/>
      <c r="F48" s="16"/>
      <c r="G48" s="16"/>
    </row>
    <row r="49" spans="1:7" ht="15.75">
      <c r="A49" s="16"/>
      <c r="B49" s="16"/>
      <c r="C49" s="16"/>
      <c r="D49" s="16"/>
      <c r="E49" s="16"/>
      <c r="F49" s="16"/>
      <c r="G49" s="308"/>
    </row>
    <row r="50" spans="1:7" ht="15.75">
      <c r="A50" s="16"/>
      <c r="B50" s="16"/>
      <c r="C50" s="16"/>
      <c r="D50" s="16"/>
      <c r="E50" s="16"/>
      <c r="F50" s="16"/>
      <c r="G50" s="308"/>
    </row>
    <row r="51" spans="1:7" ht="15.75">
      <c r="A51" s="16"/>
      <c r="B51" s="16"/>
      <c r="C51" s="16"/>
      <c r="D51" s="16"/>
      <c r="E51" s="16"/>
      <c r="F51" s="16"/>
      <c r="G51" s="308"/>
    </row>
    <row r="52" spans="1:7" ht="15.75">
      <c r="A52" s="16"/>
      <c r="B52" s="16"/>
      <c r="C52" s="16"/>
      <c r="D52" s="16"/>
      <c r="E52" s="16"/>
      <c r="F52" s="16"/>
      <c r="G52" s="308"/>
    </row>
    <row r="53" spans="1:7" ht="15.75">
      <c r="A53" s="16"/>
      <c r="B53" s="16"/>
      <c r="C53" s="16"/>
      <c r="D53" s="164"/>
      <c r="E53" s="16"/>
      <c r="F53" s="16"/>
      <c r="G53" s="308"/>
    </row>
    <row r="54" ht="15.75">
      <c r="G54" s="308"/>
    </row>
    <row r="55" ht="15.75">
      <c r="G55" s="308"/>
    </row>
    <row r="56" ht="15.75">
      <c r="G56" s="308"/>
    </row>
    <row r="57" ht="15.75">
      <c r="G57" s="308"/>
    </row>
    <row r="58" ht="15.75">
      <c r="G58" s="308"/>
    </row>
    <row r="59" ht="15.75">
      <c r="G59" s="308"/>
    </row>
    <row r="60" ht="15.75">
      <c r="G60" s="308"/>
    </row>
    <row r="61" ht="15.75">
      <c r="G61" s="308"/>
    </row>
  </sheetData>
  <sheetProtection/>
  <mergeCells count="8">
    <mergeCell ref="G49:G61"/>
    <mergeCell ref="A2:G2"/>
    <mergeCell ref="A4:G4"/>
    <mergeCell ref="A6:G6"/>
    <mergeCell ref="E12:G12"/>
    <mergeCell ref="F14:F15"/>
    <mergeCell ref="E33:E34"/>
    <mergeCell ref="F33:F34"/>
  </mergeCells>
  <printOptions/>
  <pageMargins left="0.5" right="0.5" top="0" bottom="0.5" header="0" footer="0.5"/>
  <pageSetup blackAndWhite="1" fitToHeight="1" fitToWidth="1" horizontalDpi="120" verticalDpi="120" orientation="portrait" scale="89"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16" sqref="E16"/>
    </sheetView>
  </sheetViews>
  <sheetFormatPr defaultColWidth="8.796875" defaultRowHeight="15.75" customHeight="1"/>
  <cols>
    <col min="1" max="2" width="3.296875" style="165" customWidth="1"/>
    <col min="3" max="3" width="31.296875" style="165" customWidth="1"/>
    <col min="4" max="4" width="2.296875" style="165" customWidth="1"/>
    <col min="5" max="5" width="15.796875" style="165" customWidth="1"/>
    <col min="6" max="6" width="2" style="165" customWidth="1"/>
    <col min="7" max="7" width="15.796875" style="165" customWidth="1"/>
    <col min="8" max="8" width="1.8984375" style="165" customWidth="1"/>
    <col min="9" max="9" width="1.796875" style="165" customWidth="1"/>
    <col min="10" max="10" width="15.796875" style="165" customWidth="1"/>
    <col min="11" max="16384" width="8.8984375" style="165" customWidth="1"/>
  </cols>
  <sheetData>
    <row r="1" spans="1:10" ht="15.75" customHeight="1">
      <c r="A1" s="18"/>
      <c r="B1" s="18"/>
      <c r="C1" s="27" t="str">
        <f>inputPrYr!D3</f>
        <v>Cedar Cemetery District #2</v>
      </c>
      <c r="D1" s="18"/>
      <c r="E1" s="18"/>
      <c r="F1" s="18"/>
      <c r="G1" s="18"/>
      <c r="H1" s="18"/>
      <c r="I1" s="18"/>
      <c r="J1" s="18">
        <f>inputPrYr!D6</f>
        <v>2012</v>
      </c>
    </row>
    <row r="2" spans="1:10" ht="15.75" customHeight="1">
      <c r="A2" s="18"/>
      <c r="B2" s="18"/>
      <c r="C2" s="27" t="str">
        <f>inputPrYr!D4</f>
        <v>Smith County</v>
      </c>
      <c r="D2" s="18"/>
      <c r="E2" s="18"/>
      <c r="F2" s="18"/>
      <c r="G2" s="18"/>
      <c r="H2" s="18"/>
      <c r="I2" s="18"/>
      <c r="J2" s="18"/>
    </row>
    <row r="3" spans="1:10" ht="15.75">
      <c r="A3" s="294" t="str">
        <f>CONCATENATE("Computation to Determine Limit for ",J1,"")</f>
        <v>Computation to Determine Limit for 2012</v>
      </c>
      <c r="B3" s="309"/>
      <c r="C3" s="309"/>
      <c r="D3" s="309"/>
      <c r="E3" s="309"/>
      <c r="F3" s="309"/>
      <c r="G3" s="309"/>
      <c r="H3" s="309"/>
      <c r="I3" s="309"/>
      <c r="J3" s="309"/>
    </row>
    <row r="4" spans="1:10" ht="15.75">
      <c r="A4" s="18"/>
      <c r="B4" s="18"/>
      <c r="C4" s="18"/>
      <c r="D4" s="18"/>
      <c r="E4" s="309"/>
      <c r="F4" s="309"/>
      <c r="G4" s="309"/>
      <c r="H4" s="100"/>
      <c r="I4" s="18"/>
      <c r="J4" s="166" t="s">
        <v>80</v>
      </c>
    </row>
    <row r="5" spans="1:10" ht="15.75">
      <c r="A5" s="167" t="s">
        <v>81</v>
      </c>
      <c r="B5" s="18" t="str">
        <f>CONCATENATE("Total Tax Levy Amount in ",J1-1," Budget")</f>
        <v>Total Tax Levy Amount in 2011 Budget</v>
      </c>
      <c r="C5" s="18"/>
      <c r="D5" s="18"/>
      <c r="E5" s="39"/>
      <c r="F5" s="39"/>
      <c r="G5" s="39"/>
      <c r="H5" s="168" t="s">
        <v>82</v>
      </c>
      <c r="I5" s="39" t="s">
        <v>83</v>
      </c>
      <c r="J5" s="255">
        <f>inputPrYr!E23</f>
        <v>2334</v>
      </c>
    </row>
    <row r="6" spans="1:10" ht="15.75">
      <c r="A6" s="167" t="s">
        <v>84</v>
      </c>
      <c r="B6" s="18" t="str">
        <f>CONCATENATE("Debt Service Levy in ",J1-1," Budget")</f>
        <v>Debt Service Levy in 2011 Budget</v>
      </c>
      <c r="C6" s="18"/>
      <c r="D6" s="18"/>
      <c r="E6" s="39"/>
      <c r="F6" s="39"/>
      <c r="G6" s="39"/>
      <c r="H6" s="168" t="s">
        <v>85</v>
      </c>
      <c r="I6" s="39" t="s">
        <v>83</v>
      </c>
      <c r="J6" s="169">
        <v>0</v>
      </c>
    </row>
    <row r="7" spans="1:10" ht="15.75">
      <c r="A7" s="167" t="s">
        <v>108</v>
      </c>
      <c r="B7" s="27" t="s">
        <v>102</v>
      </c>
      <c r="C7" s="18"/>
      <c r="D7" s="18"/>
      <c r="E7" s="39"/>
      <c r="F7" s="39"/>
      <c r="G7" s="39"/>
      <c r="H7" s="39"/>
      <c r="I7" s="39" t="s">
        <v>83</v>
      </c>
      <c r="J7" s="43">
        <f>J5-J6</f>
        <v>2334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7" t="s">
        <v>86</v>
      </c>
      <c r="B11" s="27" t="str">
        <f>CONCATENATE("New Improvements for ",J1-1,":")</f>
        <v>New Improvements for 2011:</v>
      </c>
      <c r="C11" s="18"/>
      <c r="D11" s="18"/>
      <c r="E11" s="168"/>
      <c r="F11" s="168" t="s">
        <v>82</v>
      </c>
      <c r="G11" s="170">
        <f>inputOth!E8</f>
        <v>7415</v>
      </c>
      <c r="H11" s="171"/>
      <c r="I11" s="39"/>
      <c r="J11" s="39"/>
    </row>
    <row r="12" spans="1:10" ht="15.75">
      <c r="A12" s="167"/>
      <c r="B12" s="167"/>
      <c r="C12" s="18"/>
      <c r="D12" s="18"/>
      <c r="E12" s="168"/>
      <c r="F12" s="168"/>
      <c r="G12" s="171"/>
      <c r="H12" s="171"/>
      <c r="I12" s="39"/>
      <c r="J12" s="39"/>
    </row>
    <row r="13" spans="1:10" ht="15.75">
      <c r="A13" s="167" t="s">
        <v>87</v>
      </c>
      <c r="B13" s="27" t="str">
        <f>CONCATENATE("Increase in Personal Property for ",J1-1,":")</f>
        <v>Increase in Personal Property for 2011:</v>
      </c>
      <c r="C13" s="18"/>
      <c r="D13" s="18"/>
      <c r="E13" s="168"/>
      <c r="F13" s="168"/>
      <c r="G13" s="171"/>
      <c r="H13" s="171"/>
      <c r="I13" s="39"/>
      <c r="J13" s="39"/>
    </row>
    <row r="14" spans="1:10" ht="15.75">
      <c r="A14" s="18"/>
      <c r="B14" s="18" t="s">
        <v>88</v>
      </c>
      <c r="C14" s="18" t="str">
        <f>CONCATENATE("Personal Property ",J1-1,"")</f>
        <v>Personal Property 2011</v>
      </c>
      <c r="D14" s="167" t="s">
        <v>82</v>
      </c>
      <c r="E14" s="170">
        <f>inputOth!E9</f>
        <v>35469</v>
      </c>
      <c r="F14" s="168"/>
      <c r="G14" s="39"/>
      <c r="H14" s="39"/>
      <c r="I14" s="171"/>
      <c r="J14" s="39"/>
    </row>
    <row r="15" spans="1:10" ht="15.75">
      <c r="A15" s="167"/>
      <c r="B15" s="18" t="s">
        <v>89</v>
      </c>
      <c r="C15" s="18" t="str">
        <f>CONCATENATE("Personal Property ",J1-2,"")</f>
        <v>Personal Property 2010</v>
      </c>
      <c r="D15" s="167" t="s">
        <v>85</v>
      </c>
      <c r="E15" s="43">
        <f>inputOth!E11</f>
        <v>26891</v>
      </c>
      <c r="F15" s="168"/>
      <c r="G15" s="171"/>
      <c r="H15" s="171"/>
      <c r="I15" s="39"/>
      <c r="J15" s="39"/>
    </row>
    <row r="16" spans="1:10" ht="15.75">
      <c r="A16" s="167"/>
      <c r="B16" s="18" t="s">
        <v>90</v>
      </c>
      <c r="C16" s="18" t="s">
        <v>103</v>
      </c>
      <c r="D16" s="18"/>
      <c r="E16" s="39"/>
      <c r="F16" s="39" t="s">
        <v>82</v>
      </c>
      <c r="G16" s="170">
        <f>IF(E14&gt;E15,E14-E15,0)</f>
        <v>8578</v>
      </c>
      <c r="H16" s="171"/>
      <c r="I16" s="39"/>
      <c r="J16" s="39"/>
    </row>
    <row r="17" spans="1:10" ht="15.75">
      <c r="A17" s="167"/>
      <c r="B17" s="167"/>
      <c r="C17" s="18"/>
      <c r="D17" s="18"/>
      <c r="E17" s="39"/>
      <c r="F17" s="39"/>
      <c r="G17" s="171" t="s">
        <v>98</v>
      </c>
      <c r="H17" s="171"/>
      <c r="I17" s="39"/>
      <c r="J17" s="39"/>
    </row>
    <row r="18" spans="1:10" ht="15.75">
      <c r="A18" s="167" t="s">
        <v>91</v>
      </c>
      <c r="B18" s="27" t="str">
        <f>CONCATENATE("Valuation of Property that has Changed in Use during ",J1-1,":")</f>
        <v>Valuation of Property that has Changed in Use during 2011:</v>
      </c>
      <c r="C18" s="18"/>
      <c r="D18" s="167"/>
      <c r="E18" s="39"/>
      <c r="F18" s="39"/>
      <c r="G18" s="39">
        <f>inputOth!E10</f>
        <v>17151</v>
      </c>
      <c r="H18" s="39"/>
      <c r="I18" s="39"/>
      <c r="J18" s="39"/>
    </row>
    <row r="19" spans="1:10" ht="15.75">
      <c r="A19" s="18" t="s">
        <v>27</v>
      </c>
      <c r="B19" s="18"/>
      <c r="C19" s="18"/>
      <c r="D19" s="18"/>
      <c r="E19" s="171"/>
      <c r="F19" s="39"/>
      <c r="G19" s="172"/>
      <c r="H19" s="171"/>
      <c r="I19" s="39"/>
      <c r="J19" s="39"/>
    </row>
    <row r="20" spans="1:10" ht="15.75">
      <c r="A20" s="167" t="s">
        <v>92</v>
      </c>
      <c r="B20" s="27" t="s">
        <v>104</v>
      </c>
      <c r="C20" s="18"/>
      <c r="D20" s="167"/>
      <c r="E20" s="39"/>
      <c r="F20" s="39"/>
      <c r="G20" s="170">
        <f>G11+G16+G18</f>
        <v>33144</v>
      </c>
      <c r="H20" s="171"/>
      <c r="I20" s="39"/>
      <c r="J20" s="39"/>
    </row>
    <row r="21" spans="1:10" ht="15.75">
      <c r="A21" s="167"/>
      <c r="B21" s="167"/>
      <c r="C21" s="27"/>
      <c r="D21" s="18"/>
      <c r="E21" s="39"/>
      <c r="F21" s="39"/>
      <c r="G21" s="171"/>
      <c r="H21" s="171"/>
      <c r="I21" s="39"/>
      <c r="J21" s="39"/>
    </row>
    <row r="22" spans="1:10" ht="15.75">
      <c r="A22" s="167" t="s">
        <v>93</v>
      </c>
      <c r="B22" s="18" t="str">
        <f>CONCATENATE("Total Estimated Valuation July, 1,",J1-1,"")</f>
        <v>Total Estimated Valuation July, 1,2011</v>
      </c>
      <c r="C22" s="18"/>
      <c r="D22" s="18"/>
      <c r="E22" s="170">
        <f>inputOth!E7</f>
        <v>950450</v>
      </c>
      <c r="F22" s="39"/>
      <c r="G22" s="39"/>
      <c r="H22" s="39"/>
      <c r="I22" s="168"/>
      <c r="J22" s="39"/>
    </row>
    <row r="23" spans="1:10" ht="15.75">
      <c r="A23" s="167"/>
      <c r="B23" s="167"/>
      <c r="C23" s="18"/>
      <c r="D23" s="18"/>
      <c r="E23" s="171"/>
      <c r="F23" s="39"/>
      <c r="G23" s="39"/>
      <c r="H23" s="39"/>
      <c r="I23" s="168"/>
      <c r="J23" s="39"/>
    </row>
    <row r="24" spans="1:10" ht="15.75">
      <c r="A24" s="167" t="s">
        <v>94</v>
      </c>
      <c r="B24" s="27" t="s">
        <v>105</v>
      </c>
      <c r="C24" s="18"/>
      <c r="D24" s="18"/>
      <c r="E24" s="39"/>
      <c r="F24" s="39"/>
      <c r="G24" s="170">
        <f>E22-G20</f>
        <v>917306</v>
      </c>
      <c r="H24" s="171"/>
      <c r="I24" s="168"/>
      <c r="J24" s="39"/>
    </row>
    <row r="25" spans="1:10" ht="15.75">
      <c r="A25" s="167"/>
      <c r="B25" s="167"/>
      <c r="C25" s="27"/>
      <c r="D25" s="18"/>
      <c r="E25" s="39"/>
      <c r="F25" s="39"/>
      <c r="G25" s="172"/>
      <c r="H25" s="171"/>
      <c r="I25" s="168"/>
      <c r="J25" s="39"/>
    </row>
    <row r="26" spans="1:10" ht="15.75">
      <c r="A26" s="167" t="s">
        <v>95</v>
      </c>
      <c r="B26" s="18" t="s">
        <v>106</v>
      </c>
      <c r="C26" s="18"/>
      <c r="D26" s="18"/>
      <c r="E26" s="18"/>
      <c r="F26" s="18"/>
      <c r="G26" s="173">
        <f>IF(G20&gt;0,G20/G24,0)</f>
        <v>0.03613189055778551</v>
      </c>
      <c r="H26" s="71"/>
      <c r="I26" s="18"/>
      <c r="J26" s="18"/>
    </row>
    <row r="27" spans="1:10" ht="15.75">
      <c r="A27" s="167"/>
      <c r="B27" s="167"/>
      <c r="C27" s="18"/>
      <c r="D27" s="18"/>
      <c r="E27" s="18"/>
      <c r="F27" s="18"/>
      <c r="G27" s="71"/>
      <c r="H27" s="71"/>
      <c r="I27" s="18"/>
      <c r="J27" s="18"/>
    </row>
    <row r="28" spans="1:10" ht="15.75">
      <c r="A28" s="167" t="s">
        <v>96</v>
      </c>
      <c r="B28" s="18" t="s">
        <v>107</v>
      </c>
      <c r="C28" s="18"/>
      <c r="D28" s="18"/>
      <c r="E28" s="18"/>
      <c r="F28" s="18"/>
      <c r="G28" s="71"/>
      <c r="H28" s="174" t="s">
        <v>82</v>
      </c>
      <c r="I28" s="18" t="s">
        <v>83</v>
      </c>
      <c r="J28" s="170">
        <f>ROUND(G26*J7,0)</f>
        <v>84</v>
      </c>
    </row>
    <row r="29" spans="1:10" ht="15.75">
      <c r="A29" s="167"/>
      <c r="B29" s="167"/>
      <c r="C29" s="18"/>
      <c r="D29" s="18"/>
      <c r="E29" s="18"/>
      <c r="F29" s="18"/>
      <c r="G29" s="71"/>
      <c r="H29" s="174"/>
      <c r="I29" s="18"/>
      <c r="J29" s="171"/>
    </row>
    <row r="30" spans="1:10" ht="16.5" thickBot="1">
      <c r="A30" s="167" t="s">
        <v>97</v>
      </c>
      <c r="B30" s="27" t="s">
        <v>112</v>
      </c>
      <c r="C30" s="18"/>
      <c r="D30" s="18"/>
      <c r="E30" s="18"/>
      <c r="F30" s="18"/>
      <c r="G30" s="18"/>
      <c r="H30" s="18"/>
      <c r="I30" s="18" t="s">
        <v>83</v>
      </c>
      <c r="J30" s="175">
        <f>J7+J28</f>
        <v>2418</v>
      </c>
    </row>
    <row r="31" spans="1:10" ht="16.5" thickTop="1">
      <c r="A31" s="167"/>
      <c r="B31" s="27"/>
      <c r="C31" s="18"/>
      <c r="D31" s="18"/>
      <c r="E31" s="18"/>
      <c r="F31" s="18"/>
      <c r="G31" s="18"/>
      <c r="H31" s="18"/>
      <c r="I31" s="18"/>
      <c r="J31" s="18"/>
    </row>
    <row r="32" spans="1:10" ht="15.75">
      <c r="A32" s="167" t="s">
        <v>110</v>
      </c>
      <c r="B32" s="27" t="str">
        <f>CONCATENATE("Debt Service Levy in this ",J1," Budget")</f>
        <v>Debt Service Levy in this 2012 Budget</v>
      </c>
      <c r="C32" s="18"/>
      <c r="D32" s="18"/>
      <c r="E32" s="18"/>
      <c r="F32" s="18"/>
      <c r="G32" s="18"/>
      <c r="H32" s="18"/>
      <c r="I32" s="18"/>
      <c r="J32" s="176">
        <v>0</v>
      </c>
    </row>
    <row r="33" spans="1:10" ht="15.75">
      <c r="A33" s="167"/>
      <c r="B33" s="27"/>
      <c r="C33" s="18"/>
      <c r="D33" s="18"/>
      <c r="E33" s="18"/>
      <c r="F33" s="18"/>
      <c r="G33" s="18"/>
      <c r="H33" s="18"/>
      <c r="I33" s="18"/>
      <c r="J33" s="71"/>
    </row>
    <row r="34" spans="1:10" ht="16.5" thickBot="1">
      <c r="A34" s="167" t="s">
        <v>111</v>
      </c>
      <c r="B34" s="27" t="s">
        <v>113</v>
      </c>
      <c r="C34" s="18"/>
      <c r="D34" s="18"/>
      <c r="E34" s="18"/>
      <c r="F34" s="18"/>
      <c r="G34" s="18"/>
      <c r="H34" s="18"/>
      <c r="I34" s="18"/>
      <c r="J34" s="175">
        <f>J30+J32</f>
        <v>2418</v>
      </c>
    </row>
    <row r="35" spans="1:10" ht="16.5" thickTop="1">
      <c r="A35" s="18"/>
      <c r="B35" s="18"/>
      <c r="C35" s="18"/>
      <c r="D35" s="18"/>
      <c r="E35" s="18"/>
      <c r="F35" s="18"/>
      <c r="G35" s="18"/>
      <c r="H35" s="18"/>
      <c r="I35" s="18"/>
      <c r="J35" s="18"/>
    </row>
    <row r="36" spans="1:10" ht="15.75">
      <c r="A36" s="319" t="str">
        <f>CONCATENATE("If the ",J1," budget includes tax levies exceeding the total on line 14, you must")</f>
        <v>If the 2012 budget includes tax levies exceeding the total on line 14, you must</v>
      </c>
      <c r="B36" s="319"/>
      <c r="C36" s="319"/>
      <c r="D36" s="319"/>
      <c r="E36" s="319"/>
      <c r="F36" s="319"/>
      <c r="G36" s="319"/>
      <c r="H36" s="319"/>
      <c r="I36" s="319"/>
      <c r="J36" s="319"/>
    </row>
    <row r="37" spans="1:10" ht="15.75">
      <c r="A37" s="319" t="s">
        <v>109</v>
      </c>
      <c r="B37" s="319"/>
      <c r="C37" s="319"/>
      <c r="D37" s="319"/>
      <c r="E37" s="319"/>
      <c r="F37" s="319"/>
      <c r="G37" s="319"/>
      <c r="H37" s="319"/>
      <c r="I37" s="319"/>
      <c r="J37" s="31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C18" sqref="C18"/>
    </sheetView>
  </sheetViews>
  <sheetFormatPr defaultColWidth="8.796875" defaultRowHeight="15"/>
  <cols>
    <col min="1" max="1" width="8.8984375" style="186" customWidth="1"/>
    <col min="2" max="2" width="17.796875" style="16" customWidth="1"/>
    <col min="3" max="3" width="15.796875" style="16" customWidth="1"/>
    <col min="4" max="4" width="11.796875" style="16" customWidth="1"/>
    <col min="5" max="5" width="12.296875" style="16" customWidth="1"/>
    <col min="6" max="6" width="11.796875" style="16" customWidth="1"/>
    <col min="7" max="7" width="10.796875" style="16" customWidth="1"/>
    <col min="8" max="16384" width="8.8984375" style="16" customWidth="1"/>
  </cols>
  <sheetData>
    <row r="1" spans="1:7" ht="15.75">
      <c r="A1" s="18"/>
      <c r="B1" s="27" t="str">
        <f>inputPrYr!D3</f>
        <v>Cedar Cemetery District #2</v>
      </c>
      <c r="C1" s="18"/>
      <c r="D1" s="18"/>
      <c r="E1" s="18"/>
      <c r="F1" s="18"/>
      <c r="G1" s="18"/>
    </row>
    <row r="2" spans="1:7" ht="15.75">
      <c r="A2" s="18"/>
      <c r="B2" s="27" t="str">
        <f>inputPrYr!D4</f>
        <v>Smith County</v>
      </c>
      <c r="C2" s="18"/>
      <c r="D2" s="18"/>
      <c r="E2" s="18"/>
      <c r="F2" s="18"/>
      <c r="G2" s="18">
        <f>inputPrYr!D6</f>
        <v>2012</v>
      </c>
    </row>
    <row r="3" spans="1:7" ht="15.75">
      <c r="A3" s="18"/>
      <c r="B3" s="18"/>
      <c r="C3" s="178"/>
      <c r="D3" s="178"/>
      <c r="E3" s="178"/>
      <c r="F3" s="178"/>
      <c r="G3" s="178"/>
    </row>
    <row r="4" spans="1:7" ht="15.75">
      <c r="A4" s="54"/>
      <c r="B4" s="18"/>
      <c r="C4" s="18"/>
      <c r="D4" s="18"/>
      <c r="E4" s="18"/>
      <c r="F4" s="18"/>
      <c r="G4" s="18"/>
    </row>
    <row r="5" spans="1:7" ht="15.75">
      <c r="A5" s="54"/>
      <c r="B5" s="18"/>
      <c r="C5" s="26"/>
      <c r="D5" s="26"/>
      <c r="E5" s="26"/>
      <c r="F5" s="18"/>
      <c r="G5" s="18"/>
    </row>
    <row r="6" spans="1:7" ht="15.75">
      <c r="A6" s="54"/>
      <c r="B6" s="320" t="s">
        <v>177</v>
      </c>
      <c r="C6" s="320"/>
      <c r="D6" s="320"/>
      <c r="E6" s="320"/>
      <c r="F6" s="320"/>
      <c r="G6" s="18"/>
    </row>
    <row r="7" spans="1:7" ht="15.75">
      <c r="A7" s="54"/>
      <c r="B7" s="179"/>
      <c r="C7" s="179"/>
      <c r="D7" s="179"/>
      <c r="E7" s="179"/>
      <c r="F7" s="179"/>
      <c r="G7" s="18"/>
    </row>
    <row r="8" spans="1:7" ht="15.75">
      <c r="A8" s="18"/>
      <c r="B8" s="18"/>
      <c r="C8" s="18"/>
      <c r="D8" s="18"/>
      <c r="E8" s="18"/>
      <c r="F8" s="18"/>
      <c r="G8" s="18"/>
    </row>
    <row r="9" spans="1:7" ht="15.75">
      <c r="A9" s="18"/>
      <c r="B9" s="323" t="str">
        <f>CONCATENATE("",G2-1,"                    Budgeted Funds")</f>
        <v>2011                    Budgeted Funds</v>
      </c>
      <c r="C9" s="321" t="str">
        <f>CONCATENATE("Tax Levy Amount in ",G2-2," Budget")</f>
        <v>Tax Levy Amount in 2010 Budget</v>
      </c>
      <c r="D9" s="311" t="str">
        <f>CONCATENATE("Allocation for Year ",G2,"")</f>
        <v>Allocation for Year 2012</v>
      </c>
      <c r="E9" s="324"/>
      <c r="F9" s="324"/>
      <c r="G9" s="313"/>
    </row>
    <row r="10" spans="1:7" ht="15.75">
      <c r="A10" s="18"/>
      <c r="B10" s="322"/>
      <c r="C10" s="322"/>
      <c r="D10" s="119" t="s">
        <v>54</v>
      </c>
      <c r="E10" s="119" t="s">
        <v>55</v>
      </c>
      <c r="F10" s="119" t="s">
        <v>77</v>
      </c>
      <c r="G10" s="116" t="s">
        <v>141</v>
      </c>
    </row>
    <row r="11" spans="1:7" ht="15.75">
      <c r="A11" s="18"/>
      <c r="B11" s="38" t="str">
        <f>inputPrYr!B19</f>
        <v>General</v>
      </c>
      <c r="C11" s="130">
        <f>inputPrYr!E19</f>
        <v>2334</v>
      </c>
      <c r="D11" s="130">
        <f>IF(E16=0,0,E16-D12-D13)</f>
        <v>251</v>
      </c>
      <c r="E11" s="130">
        <f>IF(E18=0,0,E18-E12-E13)</f>
        <v>9</v>
      </c>
      <c r="F11" s="130">
        <f>IF(E20=0,0,E20-F12-F13)</f>
        <v>68</v>
      </c>
      <c r="G11" s="130">
        <f>IF(E22=0,0,E22-G12-G13)</f>
        <v>0</v>
      </c>
    </row>
    <row r="12" spans="1:7" ht="15.75">
      <c r="A12" s="18"/>
      <c r="B12" s="38" t="str">
        <f>IF(inputPrYr!$B$21&gt;"  ",inputPrYr!$B$21,"  ")</f>
        <v>  </v>
      </c>
      <c r="C12" s="130"/>
      <c r="D12" s="130"/>
      <c r="E12" s="130"/>
      <c r="F12" s="130"/>
      <c r="G12" s="130"/>
    </row>
    <row r="13" spans="1:7" ht="15.75">
      <c r="A13" s="18"/>
      <c r="B13" s="38" t="str">
        <f>IF(inputPrYr!$B$22&gt;"  ",inputPrYr!$B$22,"  ")</f>
        <v>  </v>
      </c>
      <c r="C13" s="130"/>
      <c r="D13" s="130"/>
      <c r="E13" s="130"/>
      <c r="F13" s="130"/>
      <c r="G13" s="130"/>
    </row>
    <row r="14" spans="1:7" s="286" customFormat="1" ht="16.5" thickBot="1">
      <c r="A14" s="27"/>
      <c r="B14" s="275" t="s">
        <v>22</v>
      </c>
      <c r="C14" s="260">
        <f>SUM(C11:C13)</f>
        <v>2334</v>
      </c>
      <c r="D14" s="260">
        <f>SUM(D11:D13)</f>
        <v>251</v>
      </c>
      <c r="E14" s="260">
        <f>SUM(E11:E13)</f>
        <v>9</v>
      </c>
      <c r="F14" s="260">
        <f>SUM(F11:F13)</f>
        <v>68</v>
      </c>
      <c r="G14" s="259">
        <f>SUM(G11:G13)</f>
        <v>0</v>
      </c>
    </row>
    <row r="15" spans="1:7" ht="16.5" thickTop="1">
      <c r="A15" s="18"/>
      <c r="B15" s="18"/>
      <c r="C15" s="18"/>
      <c r="D15" s="18"/>
      <c r="E15" s="18"/>
      <c r="F15" s="18"/>
      <c r="G15" s="18"/>
    </row>
    <row r="16" spans="1:7" ht="15.75">
      <c r="A16" s="18"/>
      <c r="B16" s="17" t="s">
        <v>56</v>
      </c>
      <c r="C16" s="18"/>
      <c r="D16" s="18"/>
      <c r="E16" s="181">
        <f>inputOth!E26</f>
        <v>251</v>
      </c>
      <c r="F16" s="18"/>
      <c r="G16" s="18"/>
    </row>
    <row r="17" spans="1:7" ht="15.75">
      <c r="A17" s="18"/>
      <c r="B17" s="18"/>
      <c r="C17" s="18"/>
      <c r="D17" s="178"/>
      <c r="E17" s="178"/>
      <c r="F17" s="18"/>
      <c r="G17" s="18"/>
    </row>
    <row r="18" spans="1:7" ht="15.75">
      <c r="A18" s="18"/>
      <c r="B18" s="17" t="s">
        <v>57</v>
      </c>
      <c r="C18" s="18"/>
      <c r="D18" s="178"/>
      <c r="E18" s="181">
        <f>inputOth!E27</f>
        <v>9</v>
      </c>
      <c r="F18" s="18"/>
      <c r="G18" s="18"/>
    </row>
    <row r="19" spans="1:7" ht="15.75">
      <c r="A19" s="18"/>
      <c r="B19" s="18"/>
      <c r="C19" s="18"/>
      <c r="D19" s="18"/>
      <c r="E19" s="18"/>
      <c r="F19" s="18"/>
      <c r="G19" s="18"/>
    </row>
    <row r="20" spans="1:7" ht="15.75">
      <c r="A20" s="18"/>
      <c r="B20" s="17" t="s">
        <v>78</v>
      </c>
      <c r="C20" s="18"/>
      <c r="D20" s="18"/>
      <c r="E20" s="181">
        <f>inputOth!E28</f>
        <v>68</v>
      </c>
      <c r="F20" s="18"/>
      <c r="G20" s="18"/>
    </row>
    <row r="21" spans="1:7" ht="15.75">
      <c r="A21" s="18"/>
      <c r="B21" s="18"/>
      <c r="C21" s="18"/>
      <c r="D21" s="18"/>
      <c r="E21" s="18"/>
      <c r="F21" s="18"/>
      <c r="G21" s="18"/>
    </row>
    <row r="22" spans="1:7" ht="15.75">
      <c r="A22" s="18"/>
      <c r="B22" s="18" t="s">
        <v>166</v>
      </c>
      <c r="C22" s="18"/>
      <c r="D22" s="18"/>
      <c r="E22" s="170">
        <f>inputOth!E30</f>
        <v>0</v>
      </c>
      <c r="F22" s="18"/>
      <c r="G22" s="18"/>
    </row>
    <row r="23" spans="1:7" ht="15.75">
      <c r="A23" s="18"/>
      <c r="B23" s="18"/>
      <c r="C23" s="18"/>
      <c r="D23" s="18"/>
      <c r="E23" s="18"/>
      <c r="F23" s="18"/>
      <c r="G23" s="18"/>
    </row>
    <row r="24" spans="1:7" ht="15.75">
      <c r="A24" s="18"/>
      <c r="B24" s="18"/>
      <c r="C24" s="148" t="s">
        <v>58</v>
      </c>
      <c r="D24" s="182">
        <f>IF(C14=0,0,E16/C14)</f>
        <v>0.1075407026563839</v>
      </c>
      <c r="E24" s="18"/>
      <c r="F24" s="18"/>
      <c r="G24" s="18"/>
    </row>
    <row r="25" spans="1:7" ht="15.75">
      <c r="A25" s="18"/>
      <c r="B25" s="18"/>
      <c r="C25" s="17"/>
      <c r="D25" s="183"/>
      <c r="E25" s="18"/>
      <c r="F25" s="18"/>
      <c r="G25" s="18"/>
    </row>
    <row r="26" spans="1:7" ht="15.75">
      <c r="A26" s="18"/>
      <c r="B26" s="18"/>
      <c r="C26" s="18"/>
      <c r="D26" s="148" t="s">
        <v>59</v>
      </c>
      <c r="E26" s="184">
        <f>IF(C14=0,0,E18/C14)</f>
        <v>0.0038560411311053984</v>
      </c>
      <c r="F26" s="18"/>
      <c r="G26" s="18"/>
    </row>
    <row r="27" spans="1:7" ht="15.75">
      <c r="A27" s="18"/>
      <c r="B27" s="18"/>
      <c r="C27" s="18"/>
      <c r="D27" s="17"/>
      <c r="E27" s="185"/>
      <c r="F27" s="18"/>
      <c r="G27" s="18"/>
    </row>
    <row r="28" spans="1:7" ht="15.75">
      <c r="A28" s="18"/>
      <c r="B28" s="18"/>
      <c r="C28" s="18"/>
      <c r="D28" s="18"/>
      <c r="E28" s="148" t="s">
        <v>79</v>
      </c>
      <c r="F28" s="184">
        <f>IF(C14=0,0,E20/C14)</f>
        <v>0.02913453299057412</v>
      </c>
      <c r="G28" s="18"/>
    </row>
    <row r="29" spans="1:7" ht="15.75">
      <c r="A29" s="18"/>
      <c r="B29" s="18"/>
      <c r="C29" s="18"/>
      <c r="D29" s="18"/>
      <c r="E29" s="18"/>
      <c r="F29" s="18"/>
      <c r="G29" s="18"/>
    </row>
    <row r="30" spans="1:7" ht="15.75">
      <c r="A30" s="18"/>
      <c r="B30" s="18"/>
      <c r="C30" s="18"/>
      <c r="D30" s="54"/>
      <c r="E30" s="54"/>
      <c r="F30" s="54" t="s">
        <v>167</v>
      </c>
      <c r="G30" s="184">
        <f>IF(C14=0,0,E22/C14)</f>
        <v>0</v>
      </c>
    </row>
    <row r="31" spans="1:7" ht="15.75">
      <c r="A31" s="18"/>
      <c r="B31" s="18"/>
      <c r="C31" s="54"/>
      <c r="D31" s="54"/>
      <c r="E31" s="54"/>
      <c r="F31" s="54"/>
      <c r="G31" s="54"/>
    </row>
    <row r="32" spans="1:7" ht="15.75">
      <c r="A32" s="18"/>
      <c r="B32" s="18"/>
      <c r="C32" s="54"/>
      <c r="D32" s="54"/>
      <c r="E32" s="54"/>
      <c r="F32" s="54"/>
      <c r="G32" s="54"/>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portrait" scale="83" r:id="rId1"/>
  <headerFooter alignWithMargins="0">
    <oddHeader>&amp;RState of Kansas
Special District
</oddHeader>
    <oddFooter>&amp;Lrevised 9/22/09&amp;CPage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E16" sqref="E16"/>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27" t="str">
        <f>inputPrYr!D3</f>
        <v>Cedar Cemetery District #2</v>
      </c>
      <c r="B1" s="18"/>
      <c r="C1" s="191"/>
      <c r="D1" s="191"/>
      <c r="E1" s="18"/>
      <c r="F1" s="18"/>
      <c r="G1" s="187"/>
    </row>
    <row r="2" spans="1:7" ht="15.75">
      <c r="A2" s="27" t="str">
        <f>inputPrYr!D4</f>
        <v>Smith County</v>
      </c>
      <c r="B2" s="18"/>
      <c r="C2" s="191"/>
      <c r="D2" s="191"/>
      <c r="E2" s="18"/>
      <c r="F2" s="18"/>
      <c r="G2" s="148"/>
    </row>
    <row r="3" spans="1:8" ht="15.75">
      <c r="A3" s="27" t="s">
        <v>74</v>
      </c>
      <c r="B3" s="27"/>
      <c r="C3" s="191"/>
      <c r="D3" s="191"/>
      <c r="E3" s="18"/>
      <c r="F3" s="18"/>
      <c r="G3" s="192"/>
      <c r="H3" s="187">
        <f>inputPrYr!$D$6</f>
        <v>2012</v>
      </c>
    </row>
    <row r="4" spans="1:7" ht="15.75">
      <c r="A4" s="18"/>
      <c r="B4" s="18"/>
      <c r="C4" s="105"/>
      <c r="D4" s="105"/>
      <c r="E4" s="105"/>
      <c r="F4" s="105"/>
      <c r="G4" s="105"/>
    </row>
    <row r="5" spans="1:7" ht="15.75">
      <c r="A5" s="17" t="s">
        <v>43</v>
      </c>
      <c r="B5" s="17"/>
      <c r="C5" s="343" t="s">
        <v>181</v>
      </c>
      <c r="D5" s="344"/>
      <c r="E5" s="345" t="s">
        <v>180</v>
      </c>
      <c r="F5" s="346"/>
      <c r="G5" s="193" t="s">
        <v>179</v>
      </c>
    </row>
    <row r="6" spans="1:7" ht="15.75">
      <c r="A6" s="268" t="str">
        <f>inputPrYr!B19</f>
        <v>General</v>
      </c>
      <c r="B6" s="71"/>
      <c r="C6" s="347" t="str">
        <f>CONCATENATE("Actual ",H3-2,"")</f>
        <v>Actual 2010</v>
      </c>
      <c r="D6" s="348"/>
      <c r="E6" s="347" t="str">
        <f>CONCATENATE("Estimate ",H3-1,"")</f>
        <v>Estimate 2011</v>
      </c>
      <c r="F6" s="348"/>
      <c r="G6" s="194" t="str">
        <f>CONCATENATE("Year ",H3,"")</f>
        <v>Year 2012</v>
      </c>
    </row>
    <row r="7" spans="1:7" s="244" customFormat="1" ht="15.75">
      <c r="A7" s="136" t="s">
        <v>114</v>
      </c>
      <c r="B7" s="265"/>
      <c r="C7" s="349">
        <v>5025</v>
      </c>
      <c r="D7" s="350"/>
      <c r="E7" s="353">
        <f>C37</f>
        <v>7044</v>
      </c>
      <c r="F7" s="354"/>
      <c r="G7" s="269">
        <f>E37</f>
        <v>10078</v>
      </c>
    </row>
    <row r="8" spans="1:7" s="244" customFormat="1" ht="15.75">
      <c r="A8" s="270" t="s">
        <v>116</v>
      </c>
      <c r="B8" s="265"/>
      <c r="C8" s="351"/>
      <c r="D8" s="352"/>
      <c r="E8" s="351"/>
      <c r="F8" s="352"/>
      <c r="G8" s="271"/>
    </row>
    <row r="9" spans="1:7" ht="15.75">
      <c r="A9" s="124" t="s">
        <v>44</v>
      </c>
      <c r="B9" s="195"/>
      <c r="C9" s="331">
        <v>2302</v>
      </c>
      <c r="D9" s="332"/>
      <c r="E9" s="355">
        <f>ROUND(inputPrYr!E16*inputPrYr!E19,0)</f>
        <v>2287</v>
      </c>
      <c r="F9" s="356"/>
      <c r="G9" s="137" t="s">
        <v>36</v>
      </c>
    </row>
    <row r="10" spans="1:7" ht="15.75">
      <c r="A10" s="124" t="s">
        <v>45</v>
      </c>
      <c r="B10" s="195"/>
      <c r="C10" s="331">
        <v>9</v>
      </c>
      <c r="D10" s="332"/>
      <c r="E10" s="331">
        <v>0</v>
      </c>
      <c r="F10" s="332"/>
      <c r="G10" s="188">
        <v>0</v>
      </c>
    </row>
    <row r="11" spans="1:7" ht="15.75">
      <c r="A11" s="124" t="s">
        <v>46</v>
      </c>
      <c r="B11" s="195"/>
      <c r="C11" s="331">
        <v>215</v>
      </c>
      <c r="D11" s="332"/>
      <c r="E11" s="331">
        <v>2999</v>
      </c>
      <c r="F11" s="332"/>
      <c r="G11" s="130">
        <f>mvalloc!D11</f>
        <v>251</v>
      </c>
    </row>
    <row r="12" spans="1:7" ht="15.75">
      <c r="A12" s="124" t="s">
        <v>47</v>
      </c>
      <c r="B12" s="195"/>
      <c r="C12" s="331">
        <v>6</v>
      </c>
      <c r="D12" s="332"/>
      <c r="E12" s="331">
        <v>11</v>
      </c>
      <c r="F12" s="332"/>
      <c r="G12" s="130">
        <f>mvalloc!E11</f>
        <v>9</v>
      </c>
    </row>
    <row r="13" spans="1:7" ht="15.75">
      <c r="A13" s="197" t="s">
        <v>99</v>
      </c>
      <c r="B13" s="195"/>
      <c r="C13" s="331">
        <v>42</v>
      </c>
      <c r="D13" s="332"/>
      <c r="E13" s="331">
        <v>62</v>
      </c>
      <c r="F13" s="332"/>
      <c r="G13" s="130">
        <f>mvalloc!F11</f>
        <v>68</v>
      </c>
    </row>
    <row r="14" spans="1:7" ht="15.75">
      <c r="A14" s="197" t="s">
        <v>141</v>
      </c>
      <c r="B14" s="195"/>
      <c r="C14" s="331">
        <v>0</v>
      </c>
      <c r="D14" s="332"/>
      <c r="E14" s="331">
        <v>0</v>
      </c>
      <c r="F14" s="332"/>
      <c r="G14" s="130">
        <f>mvalloc!G11</f>
        <v>0</v>
      </c>
    </row>
    <row r="15" spans="1:7" ht="15.75">
      <c r="A15" s="198" t="s">
        <v>9</v>
      </c>
      <c r="B15" s="199"/>
      <c r="C15" s="331">
        <v>0</v>
      </c>
      <c r="D15" s="332"/>
      <c r="E15" s="331">
        <v>0</v>
      </c>
      <c r="F15" s="332"/>
      <c r="G15" s="188">
        <v>0</v>
      </c>
    </row>
    <row r="16" spans="1:7" ht="15.75">
      <c r="A16" s="198" t="s">
        <v>10</v>
      </c>
      <c r="B16" s="199"/>
      <c r="C16" s="331">
        <v>0</v>
      </c>
      <c r="D16" s="332"/>
      <c r="E16" s="331">
        <v>0</v>
      </c>
      <c r="F16" s="332"/>
      <c r="G16" s="188">
        <v>0</v>
      </c>
    </row>
    <row r="17" spans="1:7" ht="15.75">
      <c r="A17" s="198" t="s">
        <v>11</v>
      </c>
      <c r="B17" s="199"/>
      <c r="C17" s="331">
        <v>1575</v>
      </c>
      <c r="D17" s="332"/>
      <c r="E17" s="331">
        <v>0</v>
      </c>
      <c r="F17" s="332"/>
      <c r="G17" s="188">
        <v>0</v>
      </c>
    </row>
    <row r="18" spans="1:7" ht="15.75">
      <c r="A18" s="198" t="s">
        <v>203</v>
      </c>
      <c r="B18" s="199"/>
      <c r="C18" s="331">
        <v>97</v>
      </c>
      <c r="D18" s="332"/>
      <c r="E18" s="331">
        <v>0</v>
      </c>
      <c r="F18" s="332"/>
      <c r="G18" s="188">
        <v>0</v>
      </c>
    </row>
    <row r="19" spans="1:7" ht="15.75">
      <c r="A19" s="200" t="s">
        <v>172</v>
      </c>
      <c r="B19" s="201"/>
      <c r="C19" s="331">
        <v>0</v>
      </c>
      <c r="D19" s="332"/>
      <c r="E19" s="331">
        <v>0</v>
      </c>
      <c r="F19" s="332"/>
      <c r="G19" s="202">
        <v>0</v>
      </c>
    </row>
    <row r="20" spans="1:7" ht="15.75">
      <c r="A20" s="200" t="s">
        <v>173</v>
      </c>
      <c r="B20" s="201"/>
      <c r="C20" s="333">
        <f>IF(C21*0.1&lt;C19,"Exceed 10% Rule","")</f>
      </c>
      <c r="D20" s="334"/>
      <c r="E20" s="333">
        <f>IF(E21*0.1&lt;E19,"Exceed 10% Rule","")</f>
      </c>
      <c r="F20" s="334"/>
      <c r="G20" s="203">
        <f>IF(G21*0.1+G42&lt;G19,"Exceed 10% Rule","")</f>
      </c>
    </row>
    <row r="21" spans="1:7" ht="15.75">
      <c r="A21" s="204" t="s">
        <v>48</v>
      </c>
      <c r="B21" s="195"/>
      <c r="C21" s="329">
        <f>SUM(C9:C19)</f>
        <v>4246</v>
      </c>
      <c r="D21" s="330"/>
      <c r="E21" s="329">
        <f>SUM(E9:E19)</f>
        <v>5359</v>
      </c>
      <c r="F21" s="330"/>
      <c r="G21" s="205">
        <f>SUM(G9:G19)</f>
        <v>328</v>
      </c>
    </row>
    <row r="22" spans="1:7" ht="15.75">
      <c r="A22" s="204" t="s">
        <v>49</v>
      </c>
      <c r="B22" s="195"/>
      <c r="C22" s="329">
        <f>C7+C21</f>
        <v>9271</v>
      </c>
      <c r="D22" s="330"/>
      <c r="E22" s="329">
        <f>E7+E21</f>
        <v>12403</v>
      </c>
      <c r="F22" s="330"/>
      <c r="G22" s="206">
        <f>G7+G21</f>
        <v>10406</v>
      </c>
    </row>
    <row r="23" spans="1:7" s="244" customFormat="1" ht="15.75">
      <c r="A23" s="136" t="s">
        <v>50</v>
      </c>
      <c r="B23" s="265"/>
      <c r="C23" s="341"/>
      <c r="D23" s="342"/>
      <c r="E23" s="341"/>
      <c r="F23" s="342"/>
      <c r="G23" s="267"/>
    </row>
    <row r="24" spans="1:7" ht="15.75">
      <c r="A24" s="198" t="s">
        <v>12</v>
      </c>
      <c r="B24" s="199"/>
      <c r="C24" s="331">
        <v>420</v>
      </c>
      <c r="D24" s="332"/>
      <c r="E24" s="331">
        <v>950</v>
      </c>
      <c r="F24" s="332"/>
      <c r="G24" s="188">
        <v>950</v>
      </c>
    </row>
    <row r="25" spans="1:7" ht="15.75">
      <c r="A25" s="198" t="s">
        <v>13</v>
      </c>
      <c r="B25" s="199"/>
      <c r="C25" s="331">
        <v>1784</v>
      </c>
      <c r="D25" s="332"/>
      <c r="E25" s="331">
        <v>550</v>
      </c>
      <c r="F25" s="332"/>
      <c r="G25" s="188">
        <v>550</v>
      </c>
    </row>
    <row r="26" spans="1:7" ht="15.75">
      <c r="A26" s="198" t="s">
        <v>14</v>
      </c>
      <c r="B26" s="199"/>
      <c r="C26" s="331">
        <v>0</v>
      </c>
      <c r="D26" s="332"/>
      <c r="E26" s="331">
        <v>800</v>
      </c>
      <c r="F26" s="332"/>
      <c r="G26" s="188">
        <v>800</v>
      </c>
    </row>
    <row r="27" spans="1:7" ht="15.75">
      <c r="A27" s="198" t="s">
        <v>15</v>
      </c>
      <c r="B27" s="199"/>
      <c r="C27" s="331">
        <v>0</v>
      </c>
      <c r="D27" s="332"/>
      <c r="E27" s="331">
        <v>0</v>
      </c>
      <c r="F27" s="332"/>
      <c r="G27" s="188">
        <v>10432</v>
      </c>
    </row>
    <row r="28" spans="1:7" ht="15.75">
      <c r="A28" s="198"/>
      <c r="B28" s="199"/>
      <c r="C28" s="331"/>
      <c r="D28" s="332"/>
      <c r="E28" s="331"/>
      <c r="F28" s="332"/>
      <c r="G28" s="188"/>
    </row>
    <row r="29" spans="1:7" ht="15.75">
      <c r="A29" s="198"/>
      <c r="B29" s="199"/>
      <c r="C29" s="331"/>
      <c r="D29" s="332"/>
      <c r="E29" s="331"/>
      <c r="F29" s="332"/>
      <c r="G29" s="188"/>
    </row>
    <row r="30" spans="1:7" ht="15.75">
      <c r="A30" s="198"/>
      <c r="B30" s="199"/>
      <c r="C30" s="331"/>
      <c r="D30" s="332"/>
      <c r="E30" s="331"/>
      <c r="F30" s="332"/>
      <c r="G30" s="188"/>
    </row>
    <row r="31" spans="1:7" ht="15.75">
      <c r="A31" s="198"/>
      <c r="B31" s="199"/>
      <c r="C31" s="331"/>
      <c r="D31" s="332"/>
      <c r="E31" s="331"/>
      <c r="F31" s="332"/>
      <c r="G31" s="188"/>
    </row>
    <row r="32" spans="1:7" ht="15.75">
      <c r="A32" s="198"/>
      <c r="B32" s="199"/>
      <c r="C32" s="331"/>
      <c r="D32" s="332"/>
      <c r="E32" s="331"/>
      <c r="F32" s="332"/>
      <c r="G32" s="188"/>
    </row>
    <row r="33" spans="1:7" ht="15.75">
      <c r="A33" s="128" t="s">
        <v>175</v>
      </c>
      <c r="B33" s="201"/>
      <c r="C33" s="331">
        <v>23</v>
      </c>
      <c r="D33" s="332"/>
      <c r="E33" s="331">
        <v>25</v>
      </c>
      <c r="F33" s="332"/>
      <c r="G33" s="130">
        <f>Nhood!E7</f>
        <v>21</v>
      </c>
    </row>
    <row r="34" spans="1:7" ht="15.75">
      <c r="A34" s="128" t="s">
        <v>172</v>
      </c>
      <c r="B34" s="201"/>
      <c r="C34" s="331">
        <v>0</v>
      </c>
      <c r="D34" s="332"/>
      <c r="E34" s="331">
        <v>0</v>
      </c>
      <c r="F34" s="332"/>
      <c r="G34" s="196">
        <v>0</v>
      </c>
    </row>
    <row r="35" spans="1:7" ht="15.75">
      <c r="A35" s="128" t="s">
        <v>174</v>
      </c>
      <c r="B35" s="201"/>
      <c r="C35" s="333">
        <f>IF(C36*0.1&lt;C34,"Exceed 10% Rule","")</f>
      </c>
      <c r="D35" s="334"/>
      <c r="E35" s="333">
        <f>IF(E36*0.1&lt;E34,"Exceed 10% Rule","")</f>
      </c>
      <c r="F35" s="334"/>
      <c r="G35" s="203">
        <f>IF(G36*0.1&lt;G34,"Exceed 10% Rule","")</f>
      </c>
    </row>
    <row r="36" spans="1:7" ht="15.75">
      <c r="A36" s="204" t="s">
        <v>51</v>
      </c>
      <c r="B36" s="195"/>
      <c r="C36" s="329">
        <f>SUM(C24:C34)</f>
        <v>2227</v>
      </c>
      <c r="D36" s="330"/>
      <c r="E36" s="329">
        <f>SUM(E24:E34)</f>
        <v>2325</v>
      </c>
      <c r="F36" s="330"/>
      <c r="G36" s="206">
        <f>SUM(G24:G34)</f>
        <v>12753</v>
      </c>
    </row>
    <row r="37" spans="1:7" s="244" customFormat="1" ht="15.75">
      <c r="A37" s="136" t="s">
        <v>115</v>
      </c>
      <c r="B37" s="265"/>
      <c r="C37" s="329">
        <f>C22-C36</f>
        <v>7044</v>
      </c>
      <c r="D37" s="330"/>
      <c r="E37" s="329">
        <f>E22-E36</f>
        <v>10078</v>
      </c>
      <c r="F37" s="330"/>
      <c r="G37" s="266" t="s">
        <v>36</v>
      </c>
    </row>
    <row r="38" spans="1:8" ht="15.75">
      <c r="A38" s="148" t="str">
        <f>CONCATENATE("",H3-2,"/",H3-1," Budget Authority Amount:")</f>
        <v>2010/2011 Budget Authority Amount:</v>
      </c>
      <c r="B38" s="207">
        <f>inputOth!B41</f>
        <v>9878</v>
      </c>
      <c r="C38" s="101">
        <f>inputPrYr!D19</f>
        <v>7962</v>
      </c>
      <c r="D38" s="338" t="s">
        <v>182</v>
      </c>
      <c r="E38" s="339"/>
      <c r="F38" s="340"/>
      <c r="G38" s="188"/>
      <c r="H38" s="208">
        <f>IF(G36/0.95-G36&lt;G38,"Exceeds 5%","")</f>
      </c>
    </row>
    <row r="39" spans="1:7" ht="15.75">
      <c r="A39" s="148"/>
      <c r="B39" s="209">
        <f>IF(C36&gt;B38,"See Tab A","")</f>
      </c>
      <c r="C39" s="209">
        <f>IF(E36&gt;C38,"See Tab C","")</f>
      </c>
      <c r="D39" s="18"/>
      <c r="E39" s="325" t="s">
        <v>183</v>
      </c>
      <c r="F39" s="326"/>
      <c r="G39" s="130">
        <f>G36+G38</f>
        <v>12753</v>
      </c>
    </row>
    <row r="40" spans="1:7" ht="15.75">
      <c r="A40" s="148"/>
      <c r="B40" s="209">
        <f>IF(C37&lt;0,"See Tab B","")</f>
      </c>
      <c r="C40" s="243">
        <f>IF(E37&lt;0,"See Tab D","")</f>
      </c>
      <c r="D40" s="18"/>
      <c r="E40" s="325" t="s">
        <v>52</v>
      </c>
      <c r="F40" s="326"/>
      <c r="G40" s="189">
        <f>IF(G39-G22&gt;0,G39-G22,0)</f>
        <v>2347</v>
      </c>
    </row>
    <row r="41" spans="1:7" ht="15.75">
      <c r="A41" s="177"/>
      <c r="B41" s="177"/>
      <c r="C41" s="177"/>
      <c r="D41" s="327" t="s">
        <v>184</v>
      </c>
      <c r="E41" s="328"/>
      <c r="F41" s="210">
        <f>inputOth!$E$35</f>
        <v>0</v>
      </c>
      <c r="G41" s="130">
        <f>ROUND(IF(F41&gt;0,(G40*F41),0),0)</f>
        <v>0</v>
      </c>
    </row>
    <row r="42" spans="1:7" ht="15.75">
      <c r="A42" s="18"/>
      <c r="B42" s="18"/>
      <c r="C42" s="335" t="str">
        <f>CONCATENATE("Amount of  ",$H$3-1," Ad Valorem Tax")</f>
        <v>Amount of  2011 Ad Valorem Tax</v>
      </c>
      <c r="D42" s="336"/>
      <c r="E42" s="336"/>
      <c r="F42" s="337"/>
      <c r="G42" s="205">
        <f>G40+G41</f>
        <v>2347</v>
      </c>
    </row>
    <row r="43" spans="1:7" ht="15.75">
      <c r="A43" s="18"/>
      <c r="B43" s="18"/>
      <c r="C43" s="18"/>
      <c r="D43" s="18"/>
      <c r="E43" s="18"/>
      <c r="F43" s="18"/>
      <c r="G43" s="18"/>
    </row>
    <row r="44" spans="1:7" ht="15.75">
      <c r="A44" s="18"/>
      <c r="B44" s="18"/>
      <c r="C44" s="18"/>
      <c r="D44" s="18"/>
      <c r="E44" s="18"/>
      <c r="F44" s="18"/>
      <c r="G44" s="18"/>
    </row>
    <row r="45" spans="1:7" ht="15.75">
      <c r="A45" s="18"/>
      <c r="B45" s="18"/>
      <c r="C45" s="18"/>
      <c r="D45" s="18"/>
      <c r="E45" s="18"/>
      <c r="F45" s="18"/>
      <c r="G45" s="18"/>
    </row>
    <row r="46" spans="1:7" ht="15.75">
      <c r="A46" s="18"/>
      <c r="B46" s="18"/>
      <c r="C46" s="18"/>
      <c r="D46" s="18"/>
      <c r="E46" s="18"/>
      <c r="F46" s="18"/>
      <c r="G46" s="18"/>
    </row>
    <row r="47" spans="1:7" ht="15.75">
      <c r="A47" s="18"/>
      <c r="B47" s="18"/>
      <c r="C47" s="191"/>
      <c r="D47" s="191"/>
      <c r="E47" s="191"/>
      <c r="F47" s="191"/>
      <c r="G47" s="191"/>
    </row>
    <row r="48" spans="1:7" ht="15.75">
      <c r="A48" s="148"/>
      <c r="B48" s="148"/>
      <c r="C48" s="18" t="s">
        <v>8</v>
      </c>
      <c r="D48" s="18"/>
      <c r="E48" s="18"/>
      <c r="F48" s="18"/>
      <c r="G48" s="18"/>
    </row>
    <row r="50" spans="1:2" ht="15.75">
      <c r="A50" s="63"/>
      <c r="B50" s="63"/>
    </row>
  </sheetData>
  <sheetProtection/>
  <mergeCells count="71">
    <mergeCell ref="C5:D5"/>
    <mergeCell ref="E5:F5"/>
    <mergeCell ref="C6:D6"/>
    <mergeCell ref="E6:F6"/>
    <mergeCell ref="C14:D14"/>
    <mergeCell ref="C7:D7"/>
    <mergeCell ref="C8:D8"/>
    <mergeCell ref="E7:F7"/>
    <mergeCell ref="E8:F8"/>
    <mergeCell ref="E9:F9"/>
    <mergeCell ref="C9:D9"/>
    <mergeCell ref="C10:D10"/>
    <mergeCell ref="C11:D11"/>
    <mergeCell ref="C12:D12"/>
    <mergeCell ref="C13:D13"/>
    <mergeCell ref="C19:D19"/>
    <mergeCell ref="C15:D15"/>
    <mergeCell ref="E16:F16"/>
    <mergeCell ref="E17:F17"/>
    <mergeCell ref="C26:D26"/>
    <mergeCell ref="C27:D27"/>
    <mergeCell ref="C28:D28"/>
    <mergeCell ref="C29:D29"/>
    <mergeCell ref="E19:F19"/>
    <mergeCell ref="C20:D20"/>
    <mergeCell ref="E20:F20"/>
    <mergeCell ref="E21:F21"/>
    <mergeCell ref="E22:F22"/>
    <mergeCell ref="C30:D30"/>
    <mergeCell ref="C31:D31"/>
    <mergeCell ref="E10:F10"/>
    <mergeCell ref="E11:F11"/>
    <mergeCell ref="E12:F12"/>
    <mergeCell ref="E13:F13"/>
    <mergeCell ref="E14:F14"/>
    <mergeCell ref="E15:F15"/>
    <mergeCell ref="C24:D24"/>
    <mergeCell ref="C25:D25"/>
    <mergeCell ref="C23:D23"/>
    <mergeCell ref="E23:F23"/>
    <mergeCell ref="C16:D16"/>
    <mergeCell ref="C17:D17"/>
    <mergeCell ref="C18:D18"/>
    <mergeCell ref="E18:F18"/>
    <mergeCell ref="C21:D21"/>
    <mergeCell ref="C22:D22"/>
    <mergeCell ref="E30:F30"/>
    <mergeCell ref="E31:F31"/>
    <mergeCell ref="E24:F24"/>
    <mergeCell ref="E25:F25"/>
    <mergeCell ref="E26:F26"/>
    <mergeCell ref="E27:F27"/>
    <mergeCell ref="E28:F28"/>
    <mergeCell ref="E29:F29"/>
    <mergeCell ref="C42:F42"/>
    <mergeCell ref="E32:F32"/>
    <mergeCell ref="E33:F33"/>
    <mergeCell ref="D38:F38"/>
    <mergeCell ref="E39:F39"/>
    <mergeCell ref="C32:D32"/>
    <mergeCell ref="C36:D36"/>
    <mergeCell ref="C37:D37"/>
    <mergeCell ref="E40:F40"/>
    <mergeCell ref="D41:E41"/>
    <mergeCell ref="E37:F37"/>
    <mergeCell ref="C34:D34"/>
    <mergeCell ref="E34:F34"/>
    <mergeCell ref="C33:D33"/>
    <mergeCell ref="C35:D35"/>
    <mergeCell ref="E35:F35"/>
    <mergeCell ref="E36:F36"/>
  </mergeCells>
  <conditionalFormatting sqref="G38">
    <cfRule type="cellIs" priority="2" dxfId="9" operator="greaterThan" stopIfTrue="1">
      <formula>$G$36/0.95-$G$36</formula>
    </cfRule>
  </conditionalFormatting>
  <conditionalFormatting sqref="C34:D34">
    <cfRule type="cellIs" priority="3" dxfId="9" operator="greaterThan" stopIfTrue="1">
      <formula>$C$36*0.1</formula>
    </cfRule>
  </conditionalFormatting>
  <conditionalFormatting sqref="E34:F34">
    <cfRule type="cellIs" priority="4" dxfId="9" operator="greaterThan" stopIfTrue="1">
      <formula>$E$36*0.1</formula>
    </cfRule>
  </conditionalFormatting>
  <conditionalFormatting sqref="G34">
    <cfRule type="cellIs" priority="5" dxfId="9" operator="greaterThan" stopIfTrue="1">
      <formula>$G$36*0.1</formula>
    </cfRule>
  </conditionalFormatting>
  <conditionalFormatting sqref="C37:D37">
    <cfRule type="cellIs" priority="8" dxfId="9" operator="lessThan" stopIfTrue="1">
      <formula>0</formula>
    </cfRule>
  </conditionalFormatting>
  <conditionalFormatting sqref="C36:D36">
    <cfRule type="cellIs" priority="9" dxfId="9" operator="greaterThan" stopIfTrue="1">
      <formula>$B$38</formula>
    </cfRule>
  </conditionalFormatting>
  <conditionalFormatting sqref="E36:F36">
    <cfRule type="cellIs" priority="10" dxfId="1" operator="greaterThan" stopIfTrue="1">
      <formula>$C$38</formula>
    </cfRule>
  </conditionalFormatting>
  <conditionalFormatting sqref="G19">
    <cfRule type="cellIs" priority="11" dxfId="9" operator="greaterThan" stopIfTrue="1">
      <formula>$G$21*0.1+$G$42</formula>
    </cfRule>
  </conditionalFormatting>
  <conditionalFormatting sqref="E37:F3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E16" sqref="E16"/>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9" width="9.19921875" style="99" customWidth="1"/>
    <col min="10" max="16384" width="8.8984375" style="99" customWidth="1"/>
  </cols>
  <sheetData>
    <row r="1" spans="1:8" ht="15.75">
      <c r="A1" s="294" t="s">
        <v>75</v>
      </c>
      <c r="B1" s="294"/>
      <c r="C1" s="294"/>
      <c r="D1" s="294"/>
      <c r="E1" s="294"/>
      <c r="F1" s="294"/>
      <c r="G1" s="294"/>
      <c r="H1" s="357"/>
    </row>
    <row r="2" spans="1:8" ht="15.75">
      <c r="A2" s="18"/>
      <c r="B2" s="18"/>
      <c r="C2" s="18"/>
      <c r="D2" s="18"/>
      <c r="E2" s="18"/>
      <c r="F2" s="18"/>
      <c r="G2" s="18"/>
      <c r="H2" s="18"/>
    </row>
    <row r="3" spans="1:9" ht="15.75">
      <c r="A3" s="319" t="s">
        <v>100</v>
      </c>
      <c r="B3" s="319"/>
      <c r="C3" s="319"/>
      <c r="D3" s="319"/>
      <c r="E3" s="319"/>
      <c r="F3" s="319"/>
      <c r="G3" s="319"/>
      <c r="H3" s="319"/>
      <c r="I3" s="54">
        <f>inputPrYr!D6</f>
        <v>2012</v>
      </c>
    </row>
    <row r="4" spans="1:8" ht="15.75">
      <c r="A4" s="292" t="str">
        <f>inputPrYr!D3</f>
        <v>Cedar Cemetery District #2</v>
      </c>
      <c r="B4" s="292"/>
      <c r="C4" s="292"/>
      <c r="D4" s="292"/>
      <c r="E4" s="292"/>
      <c r="F4" s="292"/>
      <c r="G4" s="292"/>
      <c r="H4" s="292"/>
    </row>
    <row r="5" spans="1:8" ht="15.75">
      <c r="A5" s="292" t="str">
        <f>inputPrYr!D4</f>
        <v>Smith County</v>
      </c>
      <c r="B5" s="292"/>
      <c r="C5" s="292"/>
      <c r="D5" s="292"/>
      <c r="E5" s="292"/>
      <c r="F5" s="292"/>
      <c r="G5" s="292"/>
      <c r="H5" s="292"/>
    </row>
    <row r="6" spans="1:8" ht="15.75">
      <c r="A6" s="310" t="str">
        <f>CONCATENATE("will meet on ",inputBudSum!B5," at ",inputBudSum!B7," at ",inputBudSum!B9," for the purpose of hearing and")</f>
        <v>will meet on ____________ at _________ at ____________ for the purpose of hearing and</v>
      </c>
      <c r="B6" s="310"/>
      <c r="C6" s="310"/>
      <c r="D6" s="310"/>
      <c r="E6" s="310"/>
      <c r="F6" s="310"/>
      <c r="G6" s="310"/>
      <c r="H6" s="310"/>
    </row>
    <row r="7" spans="1:8" ht="15.75">
      <c r="A7" s="102" t="s">
        <v>201</v>
      </c>
      <c r="B7" s="26"/>
      <c r="C7" s="26"/>
      <c r="D7" s="26"/>
      <c r="E7" s="26"/>
      <c r="F7" s="26"/>
      <c r="G7" s="26"/>
      <c r="H7" s="26"/>
    </row>
    <row r="8" spans="1:8" ht="15.75">
      <c r="A8" s="102" t="str">
        <f>CONCATENATE("Detailed budget information is available at ",inputBudSum!B12," and will be available at this hearing.")</f>
        <v>Detailed budget information is available at  and will be available at this hearing.</v>
      </c>
      <c r="B8" s="26"/>
      <c r="C8" s="26"/>
      <c r="D8" s="26"/>
      <c r="E8" s="26"/>
      <c r="F8" s="26"/>
      <c r="G8" s="26"/>
      <c r="H8" s="26"/>
    </row>
    <row r="9" spans="1:8" ht="15.75">
      <c r="A9" s="25" t="s">
        <v>76</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216" t="str">
        <f>CONCATENATE("Prior Year Actual ",I3-2,"")</f>
        <v>Prior Year Actual 2010</v>
      </c>
      <c r="C13" s="217"/>
      <c r="D13" s="218" t="str">
        <f>CONCATENATE("Current Year Estimate for ",I3-1,"")</f>
        <v>Current Year Estimate for 2011</v>
      </c>
      <c r="E13" s="217"/>
      <c r="F13" s="216" t="str">
        <f>CONCATENATE("Proposed Budget Year for ",I3,"")</f>
        <v>Proposed Budget Year for 2012</v>
      </c>
      <c r="G13" s="219"/>
      <c r="H13" s="217"/>
    </row>
    <row r="14" spans="1:8" ht="15.75">
      <c r="A14" s="18"/>
      <c r="B14" s="110"/>
      <c r="C14" s="220" t="s">
        <v>60</v>
      </c>
      <c r="D14" s="110"/>
      <c r="E14" s="220" t="s">
        <v>60</v>
      </c>
      <c r="F14" s="190" t="s">
        <v>169</v>
      </c>
      <c r="G14" s="358" t="str">
        <f>CONCATENATE("Amount of ",I3-1," Ad Valorem Tax")</f>
        <v>Amount of 2011 Ad Valorem Tax</v>
      </c>
      <c r="H14" s="220" t="s">
        <v>60</v>
      </c>
    </row>
    <row r="15" spans="1:8" ht="15.75">
      <c r="A15" s="41" t="s">
        <v>61</v>
      </c>
      <c r="B15" s="119" t="s">
        <v>62</v>
      </c>
      <c r="C15" s="221" t="s">
        <v>154</v>
      </c>
      <c r="D15" s="119" t="s">
        <v>62</v>
      </c>
      <c r="E15" s="221" t="s">
        <v>154</v>
      </c>
      <c r="F15" s="119" t="s">
        <v>202</v>
      </c>
      <c r="G15" s="359"/>
      <c r="H15" s="221" t="s">
        <v>154</v>
      </c>
    </row>
    <row r="16" spans="1:8" ht="15.75">
      <c r="A16" s="38" t="str">
        <f>inputPrYr!B19</f>
        <v>General</v>
      </c>
      <c r="B16" s="130">
        <f>IF(gen!$C$36&lt;&gt;0,gen!$C$36,"  ")</f>
        <v>2227</v>
      </c>
      <c r="C16" s="283">
        <f>IF(inputPrYr!D37&gt;0,inputPrYr!D37,"0.000")</f>
        <v>2.362</v>
      </c>
      <c r="D16" s="130">
        <f>IF(gen!$E$36&lt;&gt;0,gen!$E$36,"  ")</f>
        <v>2325</v>
      </c>
      <c r="E16" s="283">
        <f>IF(inputOth!D16&gt;0,inputOth!D16,"0.000")</f>
        <v>2.469</v>
      </c>
      <c r="F16" s="130">
        <f>IF(gen!$G$36&lt;&gt;0,gen!$G$36,"  ")</f>
        <v>12753</v>
      </c>
      <c r="G16" s="287">
        <f>IF(gen!$G$42&lt;&gt;0,gen!$G$42,"0")</f>
        <v>2347</v>
      </c>
      <c r="H16" s="283">
        <f>IF(gen!G42&gt;0,ROUND(G16/$F$27*1000,3),"0.000")</f>
        <v>2.469</v>
      </c>
    </row>
    <row r="17" spans="1:8" ht="15.75">
      <c r="A17" s="38"/>
      <c r="B17" s="130"/>
      <c r="C17" s="284"/>
      <c r="D17" s="130"/>
      <c r="E17" s="284"/>
      <c r="F17" s="130"/>
      <c r="G17" s="130"/>
      <c r="H17" s="284"/>
    </row>
    <row r="18" spans="1:8" ht="15.75">
      <c r="A18" s="38"/>
      <c r="B18" s="130"/>
      <c r="C18" s="284"/>
      <c r="D18" s="130"/>
      <c r="E18" s="284"/>
      <c r="F18" s="130"/>
      <c r="G18" s="130"/>
      <c r="H18" s="284"/>
    </row>
    <row r="19" spans="1:8" ht="15.75">
      <c r="A19" s="38"/>
      <c r="B19" s="130"/>
      <c r="C19" s="284"/>
      <c r="D19" s="130"/>
      <c r="E19" s="284"/>
      <c r="F19" s="130"/>
      <c r="G19" s="130"/>
      <c r="H19" s="284"/>
    </row>
    <row r="20" spans="1:8" ht="15.75">
      <c r="A20" s="38"/>
      <c r="B20" s="130"/>
      <c r="C20" s="284"/>
      <c r="D20" s="130"/>
      <c r="E20" s="284"/>
      <c r="F20" s="130"/>
      <c r="G20" s="130"/>
      <c r="H20" s="284"/>
    </row>
    <row r="21" spans="1:8" ht="15.75">
      <c r="A21" s="38"/>
      <c r="B21" s="130"/>
      <c r="C21" s="284"/>
      <c r="D21" s="130"/>
      <c r="E21" s="284"/>
      <c r="F21" s="130"/>
      <c r="G21" s="130"/>
      <c r="H21" s="284"/>
    </row>
    <row r="22" spans="1:8" ht="15.75">
      <c r="A22" s="131">
        <f>IF((inputPrYr!$B$29&gt;" "),(#REF!),"")</f>
      </c>
      <c r="B22" s="130"/>
      <c r="C22" s="284"/>
      <c r="D22" s="130"/>
      <c r="E22" s="284"/>
      <c r="F22" s="130"/>
      <c r="G22" s="130"/>
      <c r="H22" s="284"/>
    </row>
    <row r="23" spans="1:8" s="244" customFormat="1" ht="15.75">
      <c r="A23" s="275" t="s">
        <v>118</v>
      </c>
      <c r="B23" s="205">
        <f aca="true" t="shared" si="0" ref="B23:H23">SUM(B16:B21)</f>
        <v>2227</v>
      </c>
      <c r="C23" s="285">
        <f t="shared" si="0"/>
        <v>2.362</v>
      </c>
      <c r="D23" s="205">
        <f t="shared" si="0"/>
        <v>2325</v>
      </c>
      <c r="E23" s="285">
        <f t="shared" si="0"/>
        <v>2.469</v>
      </c>
      <c r="F23" s="205">
        <f t="shared" si="0"/>
        <v>12753</v>
      </c>
      <c r="G23" s="205">
        <f t="shared" si="0"/>
        <v>2347</v>
      </c>
      <c r="H23" s="285">
        <f t="shared" si="0"/>
        <v>2.469</v>
      </c>
    </row>
    <row r="24" spans="1:8" ht="15.75">
      <c r="A24" s="35" t="s">
        <v>143</v>
      </c>
      <c r="B24" s="189">
        <v>0</v>
      </c>
      <c r="C24" s="135"/>
      <c r="D24" s="189">
        <v>0</v>
      </c>
      <c r="E24" s="135"/>
      <c r="F24" s="222">
        <v>0</v>
      </c>
      <c r="G24" s="211"/>
      <c r="H24" s="223"/>
    </row>
    <row r="25" spans="1:8" ht="16.5" thickBot="1">
      <c r="A25" s="35" t="s">
        <v>144</v>
      </c>
      <c r="B25" s="138">
        <f>SUM(B23-B24)</f>
        <v>2227</v>
      </c>
      <c r="C25" s="224"/>
      <c r="D25" s="138">
        <f>SUM(D23-D24)</f>
        <v>2325</v>
      </c>
      <c r="E25" s="224"/>
      <c r="F25" s="225">
        <f>SUM(F23-F24)</f>
        <v>12753</v>
      </c>
      <c r="G25" s="211"/>
      <c r="H25" s="223"/>
    </row>
    <row r="26" spans="1:8" ht="16.5" thickTop="1">
      <c r="A26" s="35" t="s">
        <v>63</v>
      </c>
      <c r="B26" s="226">
        <f>inputPrYr!E42</f>
        <v>2302</v>
      </c>
      <c r="C26" s="190"/>
      <c r="D26" s="226">
        <f>inputPrYr!E23</f>
        <v>2334</v>
      </c>
      <c r="E26" s="190"/>
      <c r="F26" s="227" t="s">
        <v>149</v>
      </c>
      <c r="G26" s="18"/>
      <c r="H26" s="18"/>
    </row>
    <row r="27" spans="1:8" s="244" customFormat="1" ht="15.75">
      <c r="A27" s="275" t="s">
        <v>145</v>
      </c>
      <c r="B27" s="205">
        <f>inputPrYr!E43</f>
        <v>974808</v>
      </c>
      <c r="C27" s="276"/>
      <c r="D27" s="205">
        <f>inputOth!E23</f>
        <v>945249</v>
      </c>
      <c r="E27" s="276"/>
      <c r="F27" s="205">
        <f>inputOth!E7</f>
        <v>950450</v>
      </c>
      <c r="G27" s="27"/>
      <c r="H27" s="27"/>
    </row>
    <row r="28" spans="1:8" ht="15.75">
      <c r="A28" s="21"/>
      <c r="B28" s="211"/>
      <c r="C28" s="71"/>
      <c r="D28" s="211"/>
      <c r="E28" s="71"/>
      <c r="F28" s="211"/>
      <c r="G28" s="18"/>
      <c r="H28" s="18"/>
    </row>
    <row r="29" spans="1:8" ht="15.75">
      <c r="A29" s="17" t="s">
        <v>64</v>
      </c>
      <c r="B29" s="18"/>
      <c r="C29" s="18"/>
      <c r="D29" s="18"/>
      <c r="E29" s="18"/>
      <c r="F29" s="18"/>
      <c r="G29" s="18"/>
      <c r="H29" s="18"/>
    </row>
    <row r="30" spans="1:8" ht="15.75">
      <c r="A30" s="17" t="s">
        <v>142</v>
      </c>
      <c r="B30" s="103">
        <f>I3-3</f>
        <v>2009</v>
      </c>
      <c r="C30" s="18"/>
      <c r="D30" s="103">
        <f>I3-2</f>
        <v>2010</v>
      </c>
      <c r="E30" s="18"/>
      <c r="F30" s="103">
        <f>I3-1</f>
        <v>2011</v>
      </c>
      <c r="G30" s="18"/>
      <c r="H30" s="18"/>
    </row>
    <row r="31" spans="1:8" ht="15.75">
      <c r="A31" s="17" t="s">
        <v>65</v>
      </c>
      <c r="B31" s="277">
        <f>inputPrYr!D46</f>
        <v>0</v>
      </c>
      <c r="C31" s="177"/>
      <c r="D31" s="277">
        <f>inputPrYr!E46</f>
        <v>0</v>
      </c>
      <c r="E31" s="148"/>
      <c r="F31" s="277">
        <v>0</v>
      </c>
      <c r="G31" s="18"/>
      <c r="H31" s="54"/>
    </row>
    <row r="32" spans="1:8" ht="15.75">
      <c r="A32" s="18" t="s">
        <v>66</v>
      </c>
      <c r="B32" s="277">
        <f>inputPrYr!D47</f>
        <v>0</v>
      </c>
      <c r="C32" s="148"/>
      <c r="D32" s="277">
        <f>inputPrYr!E47</f>
        <v>0</v>
      </c>
      <c r="E32" s="148"/>
      <c r="F32" s="277">
        <v>0</v>
      </c>
      <c r="G32" s="18"/>
      <c r="H32" s="54"/>
    </row>
    <row r="33" spans="1:8" ht="15.75">
      <c r="A33" s="17" t="s">
        <v>67</v>
      </c>
      <c r="B33" s="277">
        <f>inputPrYr!D48</f>
        <v>0</v>
      </c>
      <c r="C33" s="177"/>
      <c r="D33" s="277">
        <f>inputPrYr!E48</f>
        <v>0</v>
      </c>
      <c r="E33" s="148"/>
      <c r="F33" s="277">
        <v>0</v>
      </c>
      <c r="G33" s="18"/>
      <c r="H33" s="54"/>
    </row>
    <row r="34" spans="1:8" ht="15.75">
      <c r="A34" s="17" t="s">
        <v>119</v>
      </c>
      <c r="B34" s="277">
        <f>inputPrYr!D49</f>
        <v>0</v>
      </c>
      <c r="C34" s="148"/>
      <c r="D34" s="277">
        <f>inputPrYr!E49</f>
        <v>0</v>
      </c>
      <c r="E34" s="148"/>
      <c r="F34" s="277">
        <v>0</v>
      </c>
      <c r="G34" s="18"/>
      <c r="H34" s="54"/>
    </row>
    <row r="35" spans="1:8" ht="15.75">
      <c r="A35" s="54"/>
      <c r="B35" s="278"/>
      <c r="C35" s="177"/>
      <c r="D35" s="278"/>
      <c r="E35" s="148"/>
      <c r="F35" s="279"/>
      <c r="G35" s="54"/>
      <c r="H35" s="54"/>
    </row>
    <row r="36" spans="1:8" s="244" customFormat="1" ht="16.5" thickBot="1">
      <c r="A36" s="272" t="s">
        <v>68</v>
      </c>
      <c r="B36" s="280">
        <f>SUM(B31:B35)</f>
        <v>0</v>
      </c>
      <c r="C36" s="281"/>
      <c r="D36" s="280">
        <f>SUM(D31:D35)</f>
        <v>0</v>
      </c>
      <c r="E36" s="281"/>
      <c r="F36" s="280">
        <f>SUM(F31:F35)</f>
        <v>0</v>
      </c>
      <c r="G36" s="273"/>
      <c r="H36" s="274"/>
    </row>
    <row r="37" spans="1:8" ht="16.5" thickTop="1">
      <c r="A37" s="54"/>
      <c r="B37" s="18"/>
      <c r="C37" s="18"/>
      <c r="D37" s="18"/>
      <c r="E37" s="18"/>
      <c r="F37" s="18"/>
      <c r="G37" s="18"/>
      <c r="H37" s="54"/>
    </row>
    <row r="38" spans="1:8" ht="15.75">
      <c r="A38" s="213" t="s">
        <v>69</v>
      </c>
      <c r="B38" s="18"/>
      <c r="C38" s="18"/>
      <c r="D38" s="18"/>
      <c r="E38" s="191"/>
      <c r="F38" s="191"/>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3"/>
      <c r="B41" s="111"/>
      <c r="C41" s="104"/>
      <c r="D41" s="18"/>
      <c r="E41" s="18"/>
      <c r="F41" s="18"/>
      <c r="G41" s="18"/>
      <c r="H41" s="54"/>
    </row>
    <row r="42" spans="1:8" ht="15.75">
      <c r="A42" s="215" t="s">
        <v>70</v>
      </c>
      <c r="B42" s="26"/>
      <c r="C42" s="18"/>
      <c r="D42" s="148" t="s">
        <v>53</v>
      </c>
      <c r="E42" s="228">
        <v>5</v>
      </c>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mergeCells count="6">
    <mergeCell ref="A1:H1"/>
    <mergeCell ref="G14:G15"/>
    <mergeCell ref="A3:H3"/>
    <mergeCell ref="A4:H4"/>
    <mergeCell ref="A5:H5"/>
    <mergeCell ref="A6:H6"/>
  </mergeCells>
  <printOptions/>
  <pageMargins left="0.56" right="0.56" top="0.5" bottom="0.5" header="0.5" footer="0.5"/>
  <pageSetup blackAndWhite="1" fitToHeight="1" fitToWidth="1" horizontalDpi="120" verticalDpi="120" orientation="portrait" scale="73" r:id="rId1"/>
  <headerFooter alignWithMargins="0">
    <oddHeader>&amp;RState of Kansas
Special District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E16" sqref="E1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282" t="str">
        <f>inputPrYr!D3</f>
        <v>Cedar Cemetery District #2</v>
      </c>
      <c r="B1" s="54"/>
      <c r="C1" s="54"/>
      <c r="D1" s="54"/>
      <c r="E1" s="54"/>
      <c r="F1" s="54">
        <f>inputPrYr!D6</f>
        <v>2012</v>
      </c>
    </row>
    <row r="2" spans="1:6" ht="15.75">
      <c r="A2" s="229"/>
      <c r="B2" s="54"/>
      <c r="C2" s="54"/>
      <c r="D2" s="54"/>
      <c r="E2" s="54"/>
      <c r="F2" s="54"/>
    </row>
    <row r="3" spans="1:6" ht="15.75">
      <c r="A3" s="54"/>
      <c r="B3" s="54"/>
      <c r="C3" s="54"/>
      <c r="D3" s="54"/>
      <c r="E3" s="54"/>
      <c r="F3" s="54"/>
    </row>
    <row r="4" spans="1:6" ht="15.75">
      <c r="A4" s="18"/>
      <c r="B4" s="309" t="str">
        <f>CONCATENATE("",F1," Neighborhood Revitalization Rebate")</f>
        <v>2012 Neighborhood Revitalization Rebate</v>
      </c>
      <c r="C4" s="362"/>
      <c r="D4" s="362"/>
      <c r="E4" s="357"/>
      <c r="F4" s="54"/>
    </row>
    <row r="5" spans="1:6" ht="15.75">
      <c r="A5" s="18"/>
      <c r="B5" s="18"/>
      <c r="C5" s="18"/>
      <c r="D5" s="18"/>
      <c r="E5" s="18"/>
      <c r="F5" s="54"/>
    </row>
    <row r="6" spans="1:6" ht="51.75" customHeight="1">
      <c r="A6" s="18"/>
      <c r="B6" s="180" t="str">
        <f>CONCATENATE("Budgeted Funds                                 for ",F1,"")</f>
        <v>Budgeted Funds                                 for 2012</v>
      </c>
      <c r="C6" s="180" t="str">
        <f>CONCATENATE("",F1-1," Ad Valorem before Rebate**")</f>
        <v>2011 Ad Valorem before Rebate**</v>
      </c>
      <c r="D6" s="230" t="str">
        <f>CONCATENATE("",F1-1," Mil Rate before Rebate")</f>
        <v>2011 Mil Rate before Rebate</v>
      </c>
      <c r="E6" s="231" t="str">
        <f>CONCATENATE("Estimate ",F1," NR Rebate")</f>
        <v>Estimate 2012 NR Rebate</v>
      </c>
      <c r="F6" s="54"/>
    </row>
    <row r="7" spans="1:6" ht="15.75">
      <c r="A7" s="18"/>
      <c r="B7" s="232" t="str">
        <f>inputPrYr!B19</f>
        <v>General</v>
      </c>
      <c r="C7" s="233">
        <v>2326</v>
      </c>
      <c r="D7" s="234">
        <f>IF(C7&gt;0,C7/$D$17,"")</f>
        <v>2.4472618233468357</v>
      </c>
      <c r="E7" s="125">
        <f>IF(C7&gt;0,ROUND(D7*$D$21,0),"")</f>
        <v>21</v>
      </c>
      <c r="F7" s="54"/>
    </row>
    <row r="8" spans="1:6" ht="15.75">
      <c r="A8" s="18"/>
      <c r="B8" s="130" t="str">
        <f>IF(inputPrYr!$B21&gt;"  ",(inputPrYr!$B21),"  ")</f>
        <v>  </v>
      </c>
      <c r="C8" s="233"/>
      <c r="D8" s="234">
        <f>IF(C8&gt;0,C8/$D$17,"")</f>
      </c>
      <c r="E8" s="125">
        <f>IF(C8&gt;0,D8*$D$21,"")</f>
      </c>
      <c r="F8" s="54"/>
    </row>
    <row r="9" spans="1:6" ht="15.75">
      <c r="A9" s="18"/>
      <c r="B9" s="130" t="str">
        <f>IF(inputPrYr!$B22&gt;"  ",(inputPrYr!$B22),"  ")</f>
        <v>  </v>
      </c>
      <c r="C9" s="233"/>
      <c r="D9" s="234">
        <f>IF(C9&gt;0,C9/$D$17,"")</f>
      </c>
      <c r="E9" s="125">
        <f>IF(C9&gt;0,D9*$D$21,"")</f>
      </c>
      <c r="F9" s="54"/>
    </row>
    <row r="10" spans="1:6" ht="15.75">
      <c r="A10" s="18"/>
      <c r="B10" s="130"/>
      <c r="C10" s="233"/>
      <c r="D10" s="234">
        <f>IF(C10&gt;0,C10/$D$17,"")</f>
      </c>
      <c r="E10" s="125">
        <f>IF(C10&gt;0,D10*$D$21,"")</f>
      </c>
      <c r="F10" s="54"/>
    </row>
    <row r="11" spans="1:6" ht="15.75">
      <c r="A11" s="18"/>
      <c r="B11" s="130"/>
      <c r="C11" s="233"/>
      <c r="D11" s="234">
        <f>IF(C11&gt;0,C11/$D$17,"")</f>
      </c>
      <c r="E11" s="125">
        <f>IF(C11&gt;0,D11*$D$21,"")</f>
      </c>
      <c r="F11" s="54"/>
    </row>
    <row r="12" spans="1:6" ht="16.5" thickBot="1">
      <c r="A12" s="18"/>
      <c r="B12" s="38" t="s">
        <v>164</v>
      </c>
      <c r="C12" s="235">
        <f>SUM(C7:C11)</f>
        <v>2326</v>
      </c>
      <c r="D12" s="236">
        <f>SUM(D7:D11)</f>
        <v>2.4472618233468357</v>
      </c>
      <c r="E12" s="235">
        <f>SUM(E7:E11)</f>
        <v>21</v>
      </c>
      <c r="F12" s="54"/>
    </row>
    <row r="13" spans="1:6" ht="16.5" thickTop="1">
      <c r="A13" s="18"/>
      <c r="B13" s="18"/>
      <c r="C13" s="18"/>
      <c r="D13" s="18"/>
      <c r="E13" s="18"/>
      <c r="F13" s="54"/>
    </row>
    <row r="14" spans="1:6" ht="15.75">
      <c r="A14" s="18"/>
      <c r="B14" s="18"/>
      <c r="C14" s="18"/>
      <c r="D14" s="18"/>
      <c r="E14" s="18"/>
      <c r="F14" s="54"/>
    </row>
    <row r="15" spans="1:6" ht="15.75">
      <c r="A15" s="363" t="str">
        <f>CONCATENATE("",F1-1," July 1 Valuation:")</f>
        <v>2011 July 1 Valuation:</v>
      </c>
      <c r="B15" s="361"/>
      <c r="C15" s="363"/>
      <c r="D15" s="237">
        <f>inputOth!E7</f>
        <v>950450</v>
      </c>
      <c r="E15" s="18"/>
      <c r="F15" s="54"/>
    </row>
    <row r="16" spans="1:6" ht="15.75">
      <c r="A16" s="18"/>
      <c r="B16" s="18"/>
      <c r="C16" s="18"/>
      <c r="D16" s="18"/>
      <c r="E16" s="18"/>
      <c r="F16" s="54"/>
    </row>
    <row r="17" spans="1:6" ht="15.75">
      <c r="A17" s="18"/>
      <c r="B17" s="363" t="s">
        <v>189</v>
      </c>
      <c r="C17" s="363"/>
      <c r="D17" s="238">
        <f>IF(D15&gt;0,(D15*0.001),"")</f>
        <v>950.45</v>
      </c>
      <c r="E17" s="18"/>
      <c r="F17" s="54"/>
    </row>
    <row r="18" spans="1:6" ht="15.75">
      <c r="A18" s="18"/>
      <c r="B18" s="148"/>
      <c r="C18" s="148"/>
      <c r="D18" s="239"/>
      <c r="E18" s="18"/>
      <c r="F18" s="54"/>
    </row>
    <row r="19" spans="1:6" ht="15.75">
      <c r="A19" s="360" t="s">
        <v>187</v>
      </c>
      <c r="B19" s="357"/>
      <c r="C19" s="357"/>
      <c r="D19" s="240">
        <f>inputOth!E12</f>
        <v>8430</v>
      </c>
      <c r="E19" s="64"/>
      <c r="F19" s="64"/>
    </row>
    <row r="20" spans="1:6" ht="15">
      <c r="A20" s="64"/>
      <c r="B20" s="64"/>
      <c r="C20" s="64"/>
      <c r="D20" s="241"/>
      <c r="E20" s="64"/>
      <c r="F20" s="64"/>
    </row>
    <row r="21" spans="1:6" ht="15.75">
      <c r="A21" s="64"/>
      <c r="B21" s="360" t="s">
        <v>188</v>
      </c>
      <c r="C21" s="361"/>
      <c r="D21" s="242">
        <f>IF(D19&gt;0,(D19*0.001),"")</f>
        <v>8.43</v>
      </c>
      <c r="E21" s="64"/>
      <c r="F21" s="64"/>
    </row>
    <row r="22" spans="1:6" ht="15">
      <c r="A22" s="64"/>
      <c r="B22" s="64"/>
      <c r="C22" s="64"/>
      <c r="D22" s="64"/>
      <c r="E22" s="64"/>
      <c r="F22" s="64"/>
    </row>
    <row r="23" spans="1:6" ht="15">
      <c r="A23" s="64"/>
      <c r="B23" s="64"/>
      <c r="C23" s="64"/>
      <c r="D23" s="64"/>
      <c r="E23" s="64"/>
      <c r="F23" s="64"/>
    </row>
    <row r="24" spans="1:6" ht="15">
      <c r="A24" s="64"/>
      <c r="B24" s="64"/>
      <c r="C24" s="64"/>
      <c r="D24" s="64"/>
      <c r="E24" s="64"/>
      <c r="F24" s="64"/>
    </row>
    <row r="25" spans="1:6" ht="15.75">
      <c r="A25" s="256" t="str">
        <f>CONCATENATE("**This information comes from the ",F1," Budget Summary page.  See instructions tab #12 for completing")</f>
        <v>**This information comes from the 2012 Budget Summary page.  See instructions tab #12 for completing</v>
      </c>
      <c r="B25" s="64"/>
      <c r="C25" s="64"/>
      <c r="D25" s="64"/>
      <c r="E25" s="64"/>
      <c r="F25" s="64"/>
    </row>
    <row r="26" spans="1:6" ht="15.75">
      <c r="A26" s="256" t="s">
        <v>0</v>
      </c>
      <c r="B26" s="64"/>
      <c r="C26" s="64"/>
      <c r="D26" s="64"/>
      <c r="E26" s="64"/>
      <c r="F26" s="64"/>
    </row>
    <row r="27" spans="1:6" ht="15.75">
      <c r="A27" s="256"/>
      <c r="B27" s="64"/>
      <c r="C27" s="64"/>
      <c r="D27" s="64"/>
      <c r="E27" s="64"/>
      <c r="F27" s="64"/>
    </row>
    <row r="28" spans="1:6" ht="15.75">
      <c r="A28" s="256"/>
      <c r="B28" s="64"/>
      <c r="C28" s="64"/>
      <c r="D28" s="64"/>
      <c r="E28" s="64"/>
      <c r="F28" s="64"/>
    </row>
    <row r="29" spans="1:6" ht="15.75">
      <c r="A29" s="256"/>
      <c r="B29" s="64"/>
      <c r="C29" s="64"/>
      <c r="D29" s="64"/>
      <c r="E29" s="64"/>
      <c r="F29" s="64"/>
    </row>
    <row r="30" spans="1:6" ht="15.75">
      <c r="A30" s="256"/>
      <c r="B30" s="64"/>
      <c r="C30" s="64"/>
      <c r="D30" s="64"/>
      <c r="E30" s="64"/>
      <c r="F30" s="64"/>
    </row>
    <row r="31" spans="1:6" ht="15.75">
      <c r="A31" s="256"/>
      <c r="B31" s="64"/>
      <c r="C31" s="64"/>
      <c r="D31" s="64"/>
      <c r="E31" s="64"/>
      <c r="F31" s="64"/>
    </row>
    <row r="32" spans="1:6" ht="15.75">
      <c r="A32" s="256"/>
      <c r="B32" s="64"/>
      <c r="C32" s="64"/>
      <c r="D32" s="64"/>
      <c r="E32" s="64"/>
      <c r="F32" s="64"/>
    </row>
    <row r="33" spans="1:6" ht="15">
      <c r="A33" s="64"/>
      <c r="B33" s="64"/>
      <c r="C33" s="64"/>
      <c r="D33" s="64"/>
      <c r="E33" s="64"/>
      <c r="F33" s="64"/>
    </row>
    <row r="34" spans="1:6" ht="15.75">
      <c r="A34" s="64"/>
      <c r="B34" s="214" t="s">
        <v>53</v>
      </c>
      <c r="C34" s="212">
        <v>6</v>
      </c>
      <c r="D34" s="64"/>
      <c r="E34" s="64"/>
      <c r="F34" s="64"/>
    </row>
  </sheetData>
  <sheetProtection/>
  <mergeCells count="5">
    <mergeCell ref="B21:C21"/>
    <mergeCell ref="B4:E4"/>
    <mergeCell ref="A15:C15"/>
    <mergeCell ref="B17:C17"/>
    <mergeCell ref="A19:C19"/>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Sharon</cp:lastModifiedBy>
  <cp:lastPrinted>2011-07-26T19:53:31Z</cp:lastPrinted>
  <dcterms:created xsi:type="dcterms:W3CDTF">1999-08-06T13:59:57Z</dcterms:created>
  <dcterms:modified xsi:type="dcterms:W3CDTF">2011-12-08T20:01:20Z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Cedar Cemetery Dist #2</vt:lpwstr>
  </property>
  <property fmtid="{D5CDD505-2E9C-101B-9397-08002B2CF9AE}" pid="4" name="tabIndex">
    <vt:lpwstr>2</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