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Funds" sheetId="12" r:id="rId12"/>
    <sheet name="summ" sheetId="13" r:id="rId13"/>
    <sheet name="Nhood" sheetId="14" r:id="rId14"/>
    <sheet name="Resolution" sheetId="15" r:id="rId15"/>
    <sheet name="Tab A" sheetId="16" r:id="rId16"/>
    <sheet name="Tab B" sheetId="17" r:id="rId17"/>
    <sheet name="Tab C" sheetId="18" r:id="rId18"/>
    <sheet name="Tab D" sheetId="19" r:id="rId19"/>
    <sheet name="Tab E" sheetId="20" r:id="rId20"/>
    <sheet name="legend" sheetId="21" r:id="rId21"/>
  </sheets>
  <definedNames>
    <definedName name="_xlnm.Print_Area" localSheetId="1">'inputPrYr'!$A$1:$E$46</definedName>
    <definedName name="_xlnm.Print_Area" localSheetId="0">'instructions'!$A$1:$A$85</definedName>
  </definedNames>
  <calcPr fullCalcOnLoad="1"/>
</workbook>
</file>

<file path=xl/sharedStrings.xml><?xml version="1.0" encoding="utf-8"?>
<sst xmlns="http://schemas.openxmlformats.org/spreadsheetml/2006/main" count="716" uniqueCount="615">
  <si>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</si>
  <si>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</si>
  <si>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</si>
  <si>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</si>
  <si>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</si>
  <si>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</si>
  <si>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</si>
  <si>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</si>
  <si>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</si>
  <si>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</si>
  <si>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</si>
  <si>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</si>
  <si>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</si>
  <si>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</si>
  <si>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</si>
  <si>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</si>
  <si>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</si>
  <si>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</si>
  <si>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</si>
  <si>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</si>
  <si>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</si>
  <si>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</si>
  <si>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</si>
  <si>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</si>
  <si>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</si>
  <si>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</si>
  <si>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</si>
  <si>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</si>
  <si>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</si>
  <si>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</si>
  <si>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</si>
  <si>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</si>
  <si>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</si>
  <si>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</si>
  <si>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</si>
  <si>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</si>
  <si>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</si>
  <si>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</si>
  <si>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</si>
  <si>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</si>
  <si>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</si>
  <si>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</si>
  <si>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</si>
  <si>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</si>
  <si>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</si>
  <si>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</si>
  <si>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</si>
  <si>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</si>
  <si>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</si>
  <si>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</si>
  <si>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</si>
  <si>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</si>
  <si>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</si>
  <si>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</si>
  <si>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</si>
  <si>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</si>
  <si>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</si>
  <si>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</si>
  <si>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</si>
  <si>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</si>
  <si>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</si>
  <si>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</si>
  <si>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</si>
  <si>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</si>
  <si>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</si>
  <si>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</si>
  <si>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</si>
  <si>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</si>
  <si>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</si>
  <si>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</si>
  <si>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</si>
  <si>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</si>
  <si>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</si>
  <si>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</si>
  <si>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</si>
  <si>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</si>
  <si>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</si>
  <si>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</si>
  <si>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</si>
  <si>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</si>
  <si>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</si>
  <si>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</si>
  <si>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</si>
  <si>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</si>
  <si>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</si>
  <si>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</si>
  <si>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</si>
  <si>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</si>
  <si>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</si>
  <si>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</si>
  <si>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</si>
  <si>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</si>
  <si>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</si>
  <si>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</si>
  <si>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</si>
  <si>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</si>
  <si>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</si>
  <si>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</si>
  <si>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</si>
  <si>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</si>
  <si>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</si>
  <si>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</si>
  <si>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</si>
  <si>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</si>
  <si>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</si>
  <si>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</si>
  <si>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</si>
  <si>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</si>
  <si>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</si>
  <si>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</si>
  <si>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</si>
  <si>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</si>
  <si>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</si>
  <si>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</si>
  <si>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</si>
  <si>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</si>
  <si>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</si>
  <si>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</si>
  <si>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</si>
  <si>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</si>
  <si>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</si>
  <si>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</si>
  <si>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</si>
  <si>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</si>
  <si>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</si>
  <si>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</si>
  <si>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</si>
  <si>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</si>
  <si>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</si>
  <si>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</si>
  <si>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</si>
  <si>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</si>
  <si>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</si>
  <si>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</si>
  <si>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</si>
  <si>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</si>
  <si>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</si>
  <si>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</si>
  <si>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</si>
  <si>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</si>
  <si>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</si>
  <si>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</si>
  <si>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</si>
  <si>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</si>
  <si>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</si>
  <si>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</si>
  <si>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</si>
  <si>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</si>
  <si>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</si>
  <si>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</si>
  <si>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</si>
  <si>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</si>
  <si>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</si>
  <si>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</si>
  <si>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</si>
  <si>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</si>
  <si>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</si>
  <si>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</si>
  <si>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</si>
  <si>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</si>
  <si>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</si>
  <si>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</si>
  <si>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</si>
  <si>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</si>
  <si>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</si>
  <si>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</si>
  <si>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</si>
  <si>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</si>
  <si>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</si>
  <si>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</si>
  <si>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</si>
  <si>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</si>
  <si>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</si>
  <si>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</si>
  <si>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</si>
  <si>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</si>
  <si>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</si>
  <si>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</si>
  <si>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</si>
  <si>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</si>
  <si>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</si>
  <si>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</si>
  <si>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</si>
  <si>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</si>
  <si>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</si>
  <si>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</si>
  <si>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</si>
  <si>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</si>
  <si>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</si>
  <si>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</si>
  <si>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</si>
  <si>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</si>
  <si>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</si>
  <si>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</si>
  <si>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</si>
  <si>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</si>
  <si>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</si>
  <si>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</si>
  <si>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</si>
  <si>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</si>
  <si>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</si>
  <si>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</si>
  <si>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</si>
  <si>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</si>
  <si>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</si>
  <si>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</si>
  <si>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</si>
  <si>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</si>
  <si>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</si>
  <si>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</si>
  <si>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</si>
  <si>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</si>
  <si>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</si>
  <si>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</si>
  <si>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</si>
  <si>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</si>
  <si>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</si>
  <si>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</si>
  <si>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</si>
  <si>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</si>
  <si>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</si>
  <si>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</si>
  <si>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</si>
  <si>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</si>
  <si>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</si>
  <si>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</si>
  <si>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</si>
  <si>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</si>
  <si>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</si>
  <si>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</si>
  <si>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</si>
  <si>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</si>
  <si>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</si>
  <si>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</si>
  <si>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</si>
  <si>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</si>
  <si>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</si>
  <si>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</si>
  <si>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</si>
  <si>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</si>
  <si>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</si>
  <si>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</si>
  <si>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</si>
  <si>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</si>
  <si>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</si>
  <si>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Non-budgeted funds:</t>
  </si>
  <si>
    <t xml:space="preserve">Proposed Budget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</si>
  <si>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</si>
  <si>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</si>
  <si>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</si>
  <si>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</si>
  <si>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</si>
  <si>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</si>
  <si>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</si>
  <si>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</si>
  <si>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</si>
  <si>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</si>
  <si>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</si>
  <si>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</si>
  <si>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</si>
  <si>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</si>
  <si>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</si>
  <si>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</si>
  <si>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</si>
  <si>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</si>
  <si>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</si>
  <si>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</si>
  <si>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</si>
  <si>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</si>
  <si>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</si>
  <si>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</si>
  <si>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</si>
  <si>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</si>
  <si>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</si>
  <si>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</si>
  <si>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</si>
  <si>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</si>
  <si>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</si>
  <si>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</si>
  <si>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</si>
  <si>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</si>
  <si>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</si>
  <si>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</si>
  <si>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</si>
  <si>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</si>
  <si>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</si>
  <si>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</si>
  <si>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</si>
  <si>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</si>
  <si>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</si>
  <si>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</si>
  <si>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</si>
  <si>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</si>
  <si>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</si>
  <si>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</si>
  <si>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</si>
  <si>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A hospital board of trustees may transfer annually from the general fund such amounts as it deems advisable to a special improvement fund to be used for the purpose of purchasing major items of equipment and making capital improvements to the hospital.  The amount on hand in such fund shall at no time exceed $250,000.</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</si>
  <si>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</si>
  <si>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</si>
  <si>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</si>
  <si>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</si>
  <si>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</si>
  <si>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</si>
  <si>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</si>
  <si>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</si>
  <si>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</si>
  <si>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</si>
  <si>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</si>
  <si>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</si>
  <si>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</si>
  <si>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</si>
  <si>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</si>
  <si>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</si>
  <si>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</si>
  <si>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</si>
  <si>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</si>
  <si>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</si>
  <si>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</si>
  <si>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</si>
  <si>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</si>
  <si>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</si>
  <si>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</si>
  <si>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</si>
  <si>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</si>
  <si>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</si>
  <si>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</si>
  <si>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</si>
  <si>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</si>
  <si>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</si>
  <si>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</si>
  <si>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</si>
  <si>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</si>
  <si>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</si>
  <si>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</si>
  <si>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</si>
  <si>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</si>
  <si>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</si>
  <si>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</si>
  <si>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</si>
  <si>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</si>
  <si>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</si>
  <si>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</si>
  <si>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</si>
  <si>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</si>
  <si>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</si>
  <si>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</si>
  <si>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</si>
  <si>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</si>
  <si>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</si>
  <si>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</si>
  <si>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</si>
  <si>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</si>
  <si>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</si>
  <si>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</si>
  <si>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</si>
  <si>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</si>
  <si>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</si>
  <si>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</si>
  <si>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</si>
  <si>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</si>
  <si>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</si>
  <si>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</si>
  <si>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</si>
  <si>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</si>
  <si>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</si>
  <si>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</si>
  <si>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</si>
  <si>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</si>
  <si>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</si>
  <si>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</si>
  <si>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</si>
  <si>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</si>
  <si>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</si>
  <si>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</si>
  <si>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</si>
  <si>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</si>
  <si>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</si>
  <si>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</si>
  <si>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</si>
  <si>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</si>
  <si>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</si>
  <si>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</si>
  <si>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</si>
  <si>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</si>
  <si>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</si>
  <si>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</si>
  <si>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</si>
  <si>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</si>
  <si>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</si>
  <si>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</si>
  <si>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</si>
  <si>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</si>
  <si>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</si>
  <si>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</si>
  <si>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</si>
  <si>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</si>
  <si>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</si>
  <si>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</si>
  <si>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</si>
  <si>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</si>
  <si>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</si>
  <si>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</si>
  <si>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</si>
  <si>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</si>
  <si>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</si>
  <si>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</si>
  <si>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</si>
  <si>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</si>
  <si>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</si>
  <si>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</si>
  <si>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</si>
  <si>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</si>
  <si>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</si>
  <si>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</si>
  <si>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</si>
  <si>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</si>
  <si>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</si>
  <si>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</si>
  <si>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</si>
  <si>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</si>
  <si>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</si>
  <si>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</si>
  <si>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</si>
  <si>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</si>
  <si>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</si>
  <si>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</si>
  <si>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</si>
  <si>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</si>
  <si>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</si>
  <si>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</si>
  <si>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</si>
  <si>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</si>
  <si>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</si>
  <si>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</si>
  <si>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</si>
  <si>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</si>
  <si>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</si>
  <si>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</si>
  <si>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</si>
  <si>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</si>
  <si>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</si>
  <si>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</si>
  <si>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</si>
  <si>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</si>
  <si>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</si>
  <si>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</si>
  <si>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</si>
  <si>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</si>
  <si>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</si>
  <si>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</si>
  <si>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</si>
  <si>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</si>
  <si>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</si>
  <si>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</si>
  <si>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</si>
  <si>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</si>
  <si>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</si>
  <si>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</si>
  <si>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</si>
  <si>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</si>
  <si>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</si>
  <si>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</si>
  <si>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</si>
  <si>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</si>
  <si>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</si>
  <si>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</si>
  <si>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</si>
  <si>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</si>
  <si>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</si>
  <si>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</si>
  <si>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</si>
  <si>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</si>
  <si>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</si>
  <si>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</si>
  <si>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</si>
  <si>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</si>
  <si>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</si>
  <si>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</si>
  <si>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</si>
  <si>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</si>
  <si>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</si>
  <si>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</si>
  <si>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</si>
  <si>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</si>
  <si>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</si>
  <si>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</si>
  <si>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</si>
  <si>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</si>
  <si>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</si>
  <si>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</si>
  <si>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</si>
  <si>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</si>
  <si>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</si>
  <si>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</si>
  <si>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</si>
  <si>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</si>
  <si>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</si>
  <si>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</si>
  <si>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</si>
  <si>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</si>
  <si>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</si>
  <si>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</si>
  <si>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</si>
  <si>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</si>
  <si>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</si>
  <si>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</si>
  <si>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</si>
  <si>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</si>
  <si>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</si>
  <si>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</si>
  <si>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</si>
  <si>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</si>
  <si>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</si>
  <si>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</si>
  <si>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</si>
  <si>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</si>
  <si>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</si>
  <si>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</si>
  <si>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</si>
  <si>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</si>
  <si>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</si>
  <si>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</si>
  <si>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</si>
  <si>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</si>
  <si>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</si>
  <si>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</si>
  <si>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</si>
  <si>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</si>
  <si>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</si>
  <si>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</si>
  <si>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</si>
  <si>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</si>
  <si>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</si>
  <si>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</si>
  <si>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</si>
  <si>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</si>
  <si>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</si>
  <si>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</si>
  <si>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</si>
  <si>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</si>
  <si>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</si>
  <si>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</si>
  <si>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</si>
  <si>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</si>
  <si>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</si>
  <si>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</si>
  <si>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</si>
  <si>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</si>
  <si>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</si>
  <si>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</si>
  <si>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</si>
  <si>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</si>
  <si>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</si>
  <si>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r>
      <t xml:space="preserve">11a.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</si>
  <si>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</si>
  <si>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11c.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</si>
  <si>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11d.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</si>
  <si>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11e.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</si>
  <si>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</si>
  <si>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11g.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</si>
  <si>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11h.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</si>
  <si>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</si>
  <si>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</si>
  <si>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</si>
  <si>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</si>
  <si>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</si>
  <si>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13b. Before printing, review the form to ensure all the information is provided and the figures are correct. Print the page, have official sign it, and take to the local newspaper for printing. </t>
  </si>
  <si>
    <t>13c.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</si>
  <si>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</si>
  <si>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</si>
  <si>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</si>
  <si>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</si>
  <si>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</si>
  <si>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</si>
  <si>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</si>
  <si>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</si>
  <si>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</si>
  <si>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</si>
  <si>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</si>
  <si>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</si>
  <si>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</si>
  <si>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</si>
  <si>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</si>
  <si>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</si>
  <si>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Selden Cemetery</t>
  </si>
  <si>
    <t>Sheridan County</t>
  </si>
  <si>
    <t>17-330</t>
  </si>
  <si>
    <t>the Selden City Library, Selden, Kansas</t>
  </si>
  <si>
    <t>N/A</t>
  </si>
  <si>
    <t>David E. Leopold, CPA</t>
  </si>
  <si>
    <t>PO Box 235</t>
  </si>
  <si>
    <t>Hoxie, KS 67740</t>
  </si>
  <si>
    <t>Page No. 7</t>
  </si>
  <si>
    <t xml:space="preserve">  Ad Valorem Tax</t>
  </si>
  <si>
    <t xml:space="preserve">  Delinquent Tax</t>
  </si>
  <si>
    <t xml:space="preserve">  Motor Vehicle Tax</t>
  </si>
  <si>
    <t xml:space="preserve">  Recreational Vehicle Tax</t>
  </si>
  <si>
    <t xml:space="preserve">  16/20M Vehicle Tax</t>
  </si>
  <si>
    <t xml:space="preserve">  Slider</t>
  </si>
  <si>
    <t xml:space="preserve">  Sale of Lots</t>
  </si>
  <si>
    <t xml:space="preserve">  Donations</t>
  </si>
  <si>
    <t xml:space="preserve">  Interest on Idle Funds</t>
  </si>
  <si>
    <t xml:space="preserve">  Utilities</t>
  </si>
  <si>
    <t xml:space="preserve">  Insurance</t>
  </si>
  <si>
    <t xml:space="preserve">  Maint. &amp; Repairs</t>
  </si>
  <si>
    <t xml:space="preserve">  Gas &amp; Oil</t>
  </si>
  <si>
    <t xml:space="preserve">  Labor</t>
  </si>
  <si>
    <t xml:space="preserve">  Salaries</t>
  </si>
  <si>
    <t xml:space="preserve">  Sec. of State</t>
  </si>
  <si>
    <t xml:space="preserve">  Misc. Supplies</t>
  </si>
  <si>
    <t xml:space="preserve">  Budget</t>
  </si>
  <si>
    <t xml:space="preserve">  Equipment</t>
  </si>
  <si>
    <t>August 19, 2010</t>
  </si>
  <si>
    <t>7:00 PM</t>
  </si>
  <si>
    <t>Jacqulyn Boultinghouse</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</si>
</sst>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s>
  <fonts count="6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i/>
      <u val="single"/>
      <sz val="12"/>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u val="single"/>
      <sz val="12"/>
      <color rgb="FFFF0000"/>
      <name val="Times New Roman"/>
      <family val="1"/>
    </font>
    <font>
      <b/>
      <sz val="12"/>
      <color rgb="FF000000"/>
      <name val="Times New Roman"/>
      <family val="1"/>
    </font>
    <font>
      <u val="single"/>
      <sz val="12"/>
      <color rgb="FFFF0000"/>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style="thin"/>
      <top style="thin"/>
      <bottom style="double"/>
    </border>
  </borders>
  <cellStyleXfs count="2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0"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465">
    <xf numFmtId="0" fontId="0" fillId="0" borderId="0" xfId="0" applyAlignment="1">
      <alignment/>
    </xf>
    <xf numFmtId="0" fontId="0" fillId="0" borderId="0" xfId="0" applyAlignment="1">
      <alignment vertical="top"/>
    </xf>
    <xf numFmtId="0" fontId="9" fillId="0" borderId="0" xfId="244">
      <alignment/>
      <protection/>
    </xf>
    <xf numFmtId="0" fontId="7" fillId="0" borderId="0" xfId="244" applyFont="1">
      <alignment/>
      <protection/>
    </xf>
    <xf numFmtId="0" fontId="7" fillId="0" borderId="0" xfId="244" applyFont="1" applyAlignment="1">
      <alignment horizontal="left" indent="1"/>
      <protection/>
    </xf>
    <xf numFmtId="0" fontId="15" fillId="0" borderId="0" xfId="244"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7" fillId="0" borderId="0" xfId="244" applyFont="1" applyAlignment="1">
      <alignment horizontal="center"/>
      <protection/>
    </xf>
    <xf numFmtId="0" fontId="4" fillId="0" borderId="0" xfId="244" applyFont="1" applyAlignment="1">
      <alignment horizontal="right"/>
      <protection/>
    </xf>
    <xf numFmtId="0" fontId="7" fillId="33" borderId="0" xfId="24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7"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181"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1" fillId="34" borderId="0" xfId="0" applyFont="1" applyFill="1" applyAlignment="1">
      <alignment vertical="center"/>
    </xf>
    <xf numFmtId="0" fontId="22"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7"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7"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75"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21" fillId="40" borderId="17" xfId="0" applyFont="1" applyFill="1" applyBorder="1" applyAlignment="1" applyProtection="1">
      <alignment horizontal="center" vertical="center"/>
      <protection/>
    </xf>
    <xf numFmtId="0" fontId="4" fillId="34" borderId="11" xfId="0" applyFont="1" applyFill="1" applyBorder="1" applyAlignment="1">
      <alignment vertical="center"/>
    </xf>
    <xf numFmtId="0" fontId="21" fillId="34" borderId="0" xfId="0" applyFont="1" applyFill="1" applyAlignment="1" applyProtection="1">
      <alignment horizontal="center" vertical="center"/>
      <protection/>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0" fontId="4" fillId="33" borderId="10" xfId="0" applyFont="1" applyFill="1" applyBorder="1" applyAlignment="1" applyProtection="1">
      <alignment horizontal="left" vertical="center"/>
      <protection locked="0"/>
    </xf>
    <xf numFmtId="0" fontId="4" fillId="33" borderId="10" xfId="0" applyFont="1" applyFill="1" applyBorder="1" applyAlignment="1" applyProtection="1">
      <alignment vertical="center"/>
      <protection locked="0"/>
    </xf>
    <xf numFmtId="0" fontId="8" fillId="38" borderId="0" xfId="0" applyFont="1" applyFill="1" applyAlignment="1" applyProtection="1">
      <alignment horizontal="center" vertical="center"/>
      <protection/>
    </xf>
    <xf numFmtId="0" fontId="4" fillId="33" borderId="11" xfId="0" applyFont="1" applyFill="1" applyBorder="1" applyAlignment="1" applyProtection="1">
      <alignment vertical="center"/>
      <protection locked="0"/>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4" fillId="33" borderId="0" xfId="0"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23" xfId="0" applyFont="1" applyFill="1" applyBorder="1" applyAlignment="1" applyProtection="1">
      <alignment horizontal="left" vertical="center"/>
      <protection/>
    </xf>
    <xf numFmtId="0" fontId="4" fillId="34" borderId="24"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4" borderId="20" xfId="0" applyFont="1" applyFill="1" applyBorder="1" applyAlignment="1" applyProtection="1">
      <alignment vertical="center"/>
      <protection/>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6"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243" applyFont="1" applyFill="1" applyAlignment="1" applyProtection="1">
      <alignment horizontal="centerContinuous" vertical="center"/>
      <protection/>
    </xf>
    <xf numFmtId="0" fontId="4" fillId="34" borderId="0" xfId="242" applyFont="1" applyFill="1" applyAlignment="1" applyProtection="1">
      <alignment horizontal="centerContinuous" vertical="center"/>
      <protection/>
    </xf>
    <xf numFmtId="0" fontId="4" fillId="0" borderId="0" xfId="242" applyFont="1" applyAlignment="1" applyProtection="1">
      <alignment vertical="center"/>
      <protection locked="0"/>
    </xf>
    <xf numFmtId="0" fontId="4" fillId="34" borderId="0" xfId="24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4"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172" fontId="4" fillId="33" borderId="12" xfId="0" applyNumberFormat="1" applyFont="1" applyFill="1" applyBorder="1" applyAlignment="1" applyProtection="1">
      <alignmen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242" applyFont="1" applyFill="1" applyBorder="1" applyAlignment="1" applyProtection="1">
      <alignment horizontal="left" vertical="center"/>
      <protection/>
    </xf>
    <xf numFmtId="0" fontId="4" fillId="34" borderId="23" xfId="242" applyFont="1" applyFill="1" applyBorder="1" applyAlignment="1" applyProtection="1">
      <alignment vertical="center"/>
      <protection/>
    </xf>
    <xf numFmtId="0" fontId="4" fillId="34" borderId="18" xfId="242" applyFont="1" applyFill="1" applyBorder="1" applyAlignment="1" applyProtection="1">
      <alignment vertical="center"/>
      <protection/>
    </xf>
    <xf numFmtId="3" fontId="4" fillId="34" borderId="24" xfId="242" applyNumberFormat="1" applyFont="1" applyFill="1" applyBorder="1" applyAlignment="1" applyProtection="1">
      <alignment vertical="center"/>
      <protection/>
    </xf>
    <xf numFmtId="37" fontId="5" fillId="37" borderId="12" xfId="242" applyNumberFormat="1" applyFont="1" applyFill="1" applyBorder="1" applyAlignment="1" applyProtection="1">
      <alignment vertical="center"/>
      <protection/>
    </xf>
    <xf numFmtId="0" fontId="4" fillId="34" borderId="24" xfId="242" applyFont="1" applyFill="1" applyBorder="1" applyAlignment="1" applyProtection="1">
      <alignment vertical="center"/>
      <protection/>
    </xf>
    <xf numFmtId="0" fontId="4" fillId="34" borderId="0" xfId="243" applyFont="1" applyFill="1" applyAlignment="1" applyProtection="1">
      <alignment horizontal="centerContinuous" vertical="center"/>
      <protection/>
    </xf>
    <xf numFmtId="0" fontId="4" fillId="34" borderId="0" xfId="243" applyFont="1" applyFill="1" applyAlignment="1" applyProtection="1">
      <alignment vertical="center"/>
      <protection/>
    </xf>
    <xf numFmtId="0" fontId="4" fillId="0" borderId="0" xfId="243" applyFont="1" applyAlignment="1">
      <alignment vertical="center"/>
      <protection/>
    </xf>
    <xf numFmtId="0" fontId="4" fillId="34" borderId="13" xfId="0" applyFont="1" applyFill="1" applyBorder="1" applyAlignment="1" applyProtection="1">
      <alignment vertical="center"/>
      <protection/>
    </xf>
    <xf numFmtId="0" fontId="4" fillId="34" borderId="25" xfId="243" applyFont="1" applyFill="1" applyBorder="1" applyAlignment="1" applyProtection="1">
      <alignment vertical="center"/>
      <protection/>
    </xf>
    <xf numFmtId="0" fontId="4" fillId="34" borderId="0" xfId="24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242" applyFont="1" applyFill="1" applyBorder="1" applyAlignment="1" applyProtection="1">
      <alignment horizontal="left" vertical="center"/>
      <protection locked="0"/>
    </xf>
    <xf numFmtId="0" fontId="4" fillId="34" borderId="23" xfId="242" applyFont="1" applyFill="1" applyBorder="1" applyAlignment="1" applyProtection="1">
      <alignment vertical="center"/>
      <protection locked="0"/>
    </xf>
    <xf numFmtId="0" fontId="4" fillId="34" borderId="18" xfId="242" applyFont="1" applyFill="1" applyBorder="1" applyAlignment="1" applyProtection="1">
      <alignment vertical="center"/>
      <protection locked="0"/>
    </xf>
    <xf numFmtId="3" fontId="4" fillId="34" borderId="18" xfId="242" applyNumberFormat="1" applyFont="1" applyFill="1" applyBorder="1" applyAlignment="1" applyProtection="1">
      <alignment vertical="center"/>
      <protection locked="0"/>
    </xf>
    <xf numFmtId="3" fontId="5" fillId="34" borderId="12" xfId="242" applyNumberFormat="1" applyFont="1" applyFill="1" applyBorder="1" applyAlignment="1" applyProtection="1">
      <alignment vertical="center"/>
      <protection/>
    </xf>
    <xf numFmtId="37" fontId="5" fillId="34" borderId="12" xfId="242" applyNumberFormat="1" applyFont="1" applyFill="1" applyBorder="1" applyAlignment="1" applyProtection="1">
      <alignment vertical="center"/>
      <protection/>
    </xf>
    <xf numFmtId="0" fontId="4" fillId="39" borderId="0" xfId="242" applyFont="1" applyFill="1" applyAlignment="1" applyProtection="1">
      <alignment vertical="center"/>
      <protection locked="0"/>
    </xf>
    <xf numFmtId="165" fontId="4" fillId="34" borderId="0" xfId="0" applyNumberFormat="1" applyFont="1" applyFill="1" applyAlignment="1" applyProtection="1">
      <alignmen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17" xfId="0" applyFont="1" applyFill="1" applyBorder="1" applyAlignment="1" applyProtection="1">
      <alignment horizontal="left" vertical="center"/>
      <protection/>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4" borderId="17" xfId="0" applyNumberFormat="1" applyFont="1" applyFill="1" applyBorder="1" applyAlignment="1" applyProtection="1">
      <alignment horizontal="left" vertical="center"/>
      <protection/>
    </xf>
    <xf numFmtId="37" fontId="4" fillId="33" borderId="17" xfId="0" applyNumberFormat="1" applyFont="1" applyFill="1" applyBorder="1" applyAlignment="1" applyProtection="1">
      <alignment vertical="center"/>
      <protection locked="0"/>
    </xf>
    <xf numFmtId="3" fontId="21"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7" fontId="5" fillId="37" borderId="12" xfId="0" applyNumberFormat="1" applyFont="1" applyFill="1" applyBorder="1" applyAlignment="1" applyProtection="1">
      <alignment vertical="center"/>
      <protection/>
    </xf>
    <xf numFmtId="3" fontId="5" fillId="37" borderId="12" xfId="0" applyNumberFormat="1" applyFont="1" applyFill="1" applyBorder="1" applyAlignment="1" applyProtection="1">
      <alignment vertical="center"/>
      <protection/>
    </xf>
    <xf numFmtId="3" fontId="4" fillId="34" borderId="0" xfId="0" applyNumberFormat="1" applyFont="1" applyFill="1" applyAlignment="1" applyProtection="1">
      <alignment horizontal="center" vertical="center"/>
      <protection/>
    </xf>
    <xf numFmtId="0" fontId="18" fillId="34" borderId="0" xfId="0" applyFont="1" applyFill="1" applyAlignment="1" applyProtection="1">
      <alignment horizontal="center" vertical="center"/>
      <protection/>
    </xf>
    <xf numFmtId="181" fontId="4" fillId="34" borderId="0" xfId="0" applyNumberFormat="1" applyFont="1" applyFill="1" applyBorder="1" applyAlignment="1">
      <alignment horizontal="center" vertical="center"/>
    </xf>
    <xf numFmtId="37" fontId="4" fillId="34" borderId="0" xfId="0" applyNumberFormat="1" applyFont="1" applyFill="1" applyBorder="1" applyAlignment="1" applyProtection="1">
      <alignment vertical="center"/>
      <protection/>
    </xf>
    <xf numFmtId="0" fontId="21"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0" fontId="4" fillId="39" borderId="0" xfId="0" applyFont="1" applyFill="1" applyAlignment="1">
      <alignment vertical="center"/>
    </xf>
    <xf numFmtId="0" fontId="4" fillId="34" borderId="0" xfId="0" applyFont="1" applyFill="1" applyAlignment="1">
      <alignment horizontal="righ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164" fontId="4" fillId="37" borderId="12" xfId="0" applyNumberFormat="1" applyFont="1" applyFill="1" applyBorder="1" applyAlignment="1" applyProtection="1">
      <alignment vertical="center"/>
      <protection/>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27"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3" borderId="12" xfId="0" applyNumberFormat="1" applyFont="1" applyFill="1" applyBorder="1" applyAlignment="1" applyProtection="1">
      <alignment horizontal="center" vertical="center"/>
      <protection locked="0"/>
    </xf>
    <xf numFmtId="37" fontId="4" fillId="33" borderId="12" xfId="0" applyNumberFormat="1" applyFont="1" applyFill="1" applyBorder="1" applyAlignment="1">
      <alignment horizontal="center" vertical="center"/>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3"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4"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7" fillId="0" borderId="0" xfId="0" applyFont="1" applyAlignment="1">
      <alignment horizontal="center" vertical="center"/>
    </xf>
    <xf numFmtId="0" fontId="5" fillId="0" borderId="0" xfId="0" applyFont="1" applyAlignment="1">
      <alignment vertical="center" wrapText="1"/>
    </xf>
    <xf numFmtId="0" fontId="63" fillId="0" borderId="0" xfId="0" applyFont="1" applyAlignment="1">
      <alignment vertical="center"/>
    </xf>
    <xf numFmtId="0" fontId="63" fillId="0" borderId="0" xfId="0" applyFont="1" applyAlignment="1">
      <alignment vertical="center" wrapText="1"/>
    </xf>
    <xf numFmtId="0" fontId="64" fillId="34" borderId="0" xfId="0" applyFont="1" applyFill="1" applyAlignment="1" applyProtection="1">
      <alignment horizontal="center" vertical="center"/>
      <protection/>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13" applyFont="1" applyAlignment="1">
      <alignment vertical="center" wrapText="1"/>
      <protection/>
    </xf>
    <xf numFmtId="0" fontId="4" fillId="0" borderId="0" xfId="200" applyNumberFormat="1" applyFont="1" applyAlignment="1">
      <alignment vertical="center" wrapText="1"/>
      <protection/>
    </xf>
    <xf numFmtId="0" fontId="4" fillId="0" borderId="0" xfId="155" applyFont="1" applyAlignment="1">
      <alignment vertical="center" wrapText="1"/>
      <protection/>
    </xf>
    <xf numFmtId="0" fontId="4" fillId="0" borderId="0" xfId="223" applyFont="1" applyAlignment="1">
      <alignment vertical="center" wrapText="1"/>
      <protection/>
    </xf>
    <xf numFmtId="0" fontId="65" fillId="0" borderId="0" xfId="0" applyFont="1" applyAlignment="1">
      <alignment vertical="center" wrapText="1"/>
    </xf>
    <xf numFmtId="0" fontId="9" fillId="0" borderId="0" xfId="230" applyFont="1">
      <alignment/>
      <protection/>
    </xf>
    <xf numFmtId="0" fontId="9" fillId="0" borderId="0" xfId="230" applyNumberFormat="1" applyFont="1" applyAlignment="1">
      <alignment horizontal="left" vertical="center"/>
      <protection/>
    </xf>
    <xf numFmtId="0" fontId="4" fillId="0" borderId="0" xfId="230" applyFont="1" applyAlignment="1">
      <alignment horizontal="left" vertical="center"/>
      <protection/>
    </xf>
    <xf numFmtId="49" fontId="4" fillId="33" borderId="0" xfId="230" applyNumberFormat="1" applyFont="1" applyFill="1" applyAlignment="1" applyProtection="1">
      <alignment horizontal="left" vertical="center"/>
      <protection locked="0"/>
    </xf>
    <xf numFmtId="184" fontId="24" fillId="0" borderId="0" xfId="230" applyNumberFormat="1" applyFont="1" applyAlignment="1">
      <alignment horizontal="left" vertical="center"/>
      <protection/>
    </xf>
    <xf numFmtId="49" fontId="4" fillId="0" borderId="0" xfId="230" applyNumberFormat="1" applyFont="1" applyAlignment="1">
      <alignment horizontal="left" vertical="center"/>
      <protection/>
    </xf>
    <xf numFmtId="0" fontId="24" fillId="0" borderId="0" xfId="230" applyFont="1" applyAlignment="1">
      <alignment horizontal="left" vertical="center"/>
      <protection/>
    </xf>
    <xf numFmtId="185" fontId="24" fillId="0" borderId="0" xfId="230" applyNumberFormat="1" applyFont="1" applyAlignment="1">
      <alignment horizontal="left" vertical="center"/>
      <protection/>
    </xf>
    <xf numFmtId="0" fontId="4" fillId="33" borderId="0" xfId="230" applyFont="1" applyFill="1" applyAlignment="1" applyProtection="1">
      <alignment horizontal="left" vertical="center"/>
      <protection locked="0"/>
    </xf>
    <xf numFmtId="0" fontId="9" fillId="33" borderId="0" xfId="230" applyFont="1" applyFill="1" applyAlignment="1" applyProtection="1">
      <alignment horizontal="left" vertical="center"/>
      <protection locked="0"/>
    </xf>
    <xf numFmtId="0" fontId="0" fillId="0" borderId="0" xfId="127" applyFont="1">
      <alignment/>
      <protection/>
    </xf>
    <xf numFmtId="0" fontId="0" fillId="0" borderId="0" xfId="127"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06" applyFont="1" applyAlignment="1">
      <alignment vertical="center"/>
      <protection/>
    </xf>
    <xf numFmtId="0" fontId="4" fillId="0" borderId="0" xfId="110" applyFont="1" applyAlignment="1">
      <alignment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240" applyFont="1" applyAlignment="1">
      <alignment vertical="center" wrapText="1"/>
      <protection/>
    </xf>
    <xf numFmtId="0" fontId="4" fillId="0" borderId="0" xfId="67"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05" applyFont="1" applyAlignment="1">
      <alignment vertical="center"/>
      <protection/>
    </xf>
    <xf numFmtId="0" fontId="66"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3" fontId="4" fillId="33" borderId="21" xfId="0" applyNumberFormat="1" applyFont="1" applyFill="1" applyBorder="1" applyAlignment="1" applyProtection="1">
      <alignment vertical="center"/>
      <protection locked="0"/>
    </xf>
    <xf numFmtId="0" fontId="4" fillId="34" borderId="10" xfId="0" applyFont="1" applyFill="1" applyBorder="1" applyAlignment="1" applyProtection="1">
      <alignment horizontal="centerContinuous" vertical="center"/>
      <protection locked="0"/>
    </xf>
    <xf numFmtId="0" fontId="4" fillId="34" borderId="10" xfId="0" applyFont="1" applyFill="1" applyBorder="1" applyAlignment="1" applyProtection="1">
      <alignment horizontal="centerContinuous"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17"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7"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1" fillId="34" borderId="0" xfId="0" applyFont="1" applyFill="1" applyBorder="1" applyAlignment="1">
      <alignment vertical="center"/>
    </xf>
    <xf numFmtId="0" fontId="22" fillId="0" borderId="0" xfId="0" applyFont="1" applyAlignment="1">
      <alignment vertical="center"/>
    </xf>
    <xf numFmtId="0" fontId="4" fillId="0" borderId="0" xfId="230" applyFont="1" applyAlignment="1">
      <alignment horizontal="left" vertical="center" wrapText="1"/>
      <protection/>
    </xf>
    <xf numFmtId="0" fontId="9" fillId="0" borderId="0" xfId="230" applyFont="1" applyAlignment="1">
      <alignment horizontal="left" vertical="center" wrapText="1"/>
      <protection/>
    </xf>
    <xf numFmtId="0" fontId="17" fillId="0" borderId="0" xfId="230" applyFont="1" applyAlignment="1">
      <alignment horizontal="left" vertical="center"/>
      <protection/>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8" fillId="38" borderId="18" xfId="0" applyFont="1" applyFill="1" applyBorder="1" applyAlignment="1" applyProtection="1">
      <alignment horizontal="center" vertical="center" wrapText="1"/>
      <protection/>
    </xf>
    <xf numFmtId="0" fontId="0" fillId="0" borderId="0" xfId="0"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3" fontId="4" fillId="33" borderId="21"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37" fontId="4" fillId="33" borderId="21"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 fontId="4" fillId="34" borderId="23" xfId="0" applyNumberFormat="1" applyFont="1" applyFill="1" applyBorder="1" applyAlignment="1" applyProtection="1">
      <alignment horizontal="center" vertical="center"/>
      <protection/>
    </xf>
    <xf numFmtId="1" fontId="4" fillId="34" borderId="24"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37" fontId="4" fillId="34" borderId="24"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0" fontId="4" fillId="34" borderId="15" xfId="0" applyNumberFormat="1" applyFont="1" applyFill="1" applyBorder="1" applyAlignment="1" applyProtection="1">
      <alignment horizontal="center" vertical="center"/>
      <protection/>
    </xf>
    <xf numFmtId="37" fontId="4" fillId="34" borderId="21" xfId="0" applyNumberFormat="1" applyFont="1" applyFill="1" applyBorder="1" applyAlignment="1" applyProtection="1">
      <alignment vertical="center"/>
      <protection/>
    </xf>
    <xf numFmtId="37" fontId="4" fillId="34" borderId="17" xfId="0" applyNumberFormat="1" applyFont="1" applyFill="1" applyBorder="1" applyAlignment="1" applyProtection="1">
      <alignment vertical="center"/>
      <protection/>
    </xf>
    <xf numFmtId="3" fontId="4" fillId="34" borderId="21"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 fontId="21" fillId="40" borderId="21" xfId="0" applyNumberFormat="1" applyFont="1" applyFill="1" applyBorder="1" applyAlignment="1" applyProtection="1">
      <alignment horizontal="center" vertical="center"/>
      <protection/>
    </xf>
    <xf numFmtId="3" fontId="21" fillId="40" borderId="17"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5" fillId="37" borderId="17"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3" fontId="4" fillId="37" borderId="17"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20" xfId="0" applyNumberFormat="1" applyFont="1" applyFill="1" applyBorder="1" applyAlignment="1" applyProtection="1">
      <alignment horizontal="right" vertical="center"/>
      <protection/>
    </xf>
    <xf numFmtId="181" fontId="4" fillId="34" borderId="0" xfId="0" applyNumberFormat="1" applyFont="1" applyFill="1" applyBorder="1" applyAlignment="1">
      <alignment horizontal="right" vertical="center"/>
    </xf>
    <xf numFmtId="0" fontId="0" fillId="0" borderId="0" xfId="0" applyFont="1" applyAlignment="1">
      <alignment horizontal="right" vertical="center"/>
    </xf>
    <xf numFmtId="0" fontId="4" fillId="34" borderId="0" xfId="57" applyNumberFormat="1" applyFont="1" applyFill="1" applyBorder="1" applyAlignment="1" applyProtection="1">
      <alignment horizontal="right" vertical="center"/>
      <protection/>
    </xf>
    <xf numFmtId="0" fontId="4" fillId="0" borderId="0" xfId="57" applyFont="1" applyAlignment="1" applyProtection="1">
      <alignment horizontal="right" vertical="center"/>
      <protection/>
    </xf>
    <xf numFmtId="0" fontId="4" fillId="0" borderId="20" xfId="57" applyFont="1" applyBorder="1" applyAlignment="1" applyProtection="1">
      <alignment horizontal="right" vertical="center"/>
      <protection/>
    </xf>
    <xf numFmtId="37" fontId="4" fillId="34" borderId="18" xfId="0" applyNumberFormat="1" applyFont="1" applyFill="1" applyBorder="1" applyAlignment="1" applyProtection="1">
      <alignment horizontal="right" vertical="center"/>
      <protection/>
    </xf>
    <xf numFmtId="0" fontId="0" fillId="0" borderId="18" xfId="0" applyFont="1" applyBorder="1" applyAlignment="1">
      <alignment vertical="center"/>
    </xf>
    <xf numFmtId="0" fontId="0" fillId="0" borderId="24" xfId="0" applyFont="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0" fillId="0" borderId="14" xfId="0" applyFont="1" applyBorder="1" applyAlignment="1">
      <alignment horizontal="center" vertical="center" wrapText="1" shrinkToFit="1"/>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244"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vertical="top" wrapText="1"/>
    </xf>
  </cellXfs>
  <cellStyles count="23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Hyperlink 3" xfId="59"/>
    <cellStyle name="Hyperlink 4" xfId="60"/>
    <cellStyle name="Hyperlink 5" xfId="61"/>
    <cellStyle name="Input" xfId="62"/>
    <cellStyle name="Linked Cell" xfId="63"/>
    <cellStyle name="Neutral" xfId="64"/>
    <cellStyle name="Normal 10" xfId="65"/>
    <cellStyle name="Normal 10 2" xfId="66"/>
    <cellStyle name="Normal 10 3" xfId="67"/>
    <cellStyle name="Normal 10 4" xfId="68"/>
    <cellStyle name="Normal 11" xfId="69"/>
    <cellStyle name="Normal 11 2" xfId="70"/>
    <cellStyle name="Normal 11 3" xfId="71"/>
    <cellStyle name="Normal 11 4" xfId="72"/>
    <cellStyle name="Normal 12" xfId="73"/>
    <cellStyle name="Normal 12 10" xfId="74"/>
    <cellStyle name="Normal 12 11" xfId="75"/>
    <cellStyle name="Normal 12 12" xfId="76"/>
    <cellStyle name="Normal 12 2" xfId="77"/>
    <cellStyle name="Normal 12 3" xfId="78"/>
    <cellStyle name="Normal 12 4" xfId="79"/>
    <cellStyle name="Normal 12 5" xfId="80"/>
    <cellStyle name="Normal 12 6" xfId="81"/>
    <cellStyle name="Normal 12 7" xfId="82"/>
    <cellStyle name="Normal 12 8" xfId="83"/>
    <cellStyle name="Normal 12 9" xfId="84"/>
    <cellStyle name="Normal 13" xfId="85"/>
    <cellStyle name="Normal 13 10" xfId="86"/>
    <cellStyle name="Normal 13 11" xfId="87"/>
    <cellStyle name="Normal 13 12" xfId="88"/>
    <cellStyle name="Normal 13 2" xfId="89"/>
    <cellStyle name="Normal 13 3" xfId="90"/>
    <cellStyle name="Normal 13 4" xfId="91"/>
    <cellStyle name="Normal 13 5" xfId="92"/>
    <cellStyle name="Normal 13 6" xfId="93"/>
    <cellStyle name="Normal 13 7" xfId="94"/>
    <cellStyle name="Normal 13 8" xfId="95"/>
    <cellStyle name="Normal 13 9" xfId="96"/>
    <cellStyle name="Normal 14" xfId="97"/>
    <cellStyle name="Normal 14 2" xfId="98"/>
    <cellStyle name="Normal 14 3" xfId="99"/>
    <cellStyle name="Normal 14 4" xfId="100"/>
    <cellStyle name="Normal 15" xfId="101"/>
    <cellStyle name="Normal 15 2" xfId="102"/>
    <cellStyle name="Normal 15 3" xfId="103"/>
    <cellStyle name="Normal 15 4" xfId="104"/>
    <cellStyle name="Normal 16" xfId="105"/>
    <cellStyle name="Normal 16 2" xfId="106"/>
    <cellStyle name="Normal 16 3" xfId="107"/>
    <cellStyle name="Normal 16 4" xfId="108"/>
    <cellStyle name="Normal 17" xfId="109"/>
    <cellStyle name="Normal 17 2" xfId="110"/>
    <cellStyle name="Normal 17 3" xfId="111"/>
    <cellStyle name="Normal 17 4" xfId="112"/>
    <cellStyle name="Normal 2" xfId="113"/>
    <cellStyle name="Normal 2 10" xfId="114"/>
    <cellStyle name="Normal 2 11" xfId="115"/>
    <cellStyle name="Normal 2 12" xfId="116"/>
    <cellStyle name="Normal 2 13" xfId="117"/>
    <cellStyle name="Normal 2 14" xfId="118"/>
    <cellStyle name="Normal 2 15" xfId="119"/>
    <cellStyle name="Normal 2 16" xfId="120"/>
    <cellStyle name="Normal 2 2" xfId="121"/>
    <cellStyle name="Normal 2 2 10" xfId="122"/>
    <cellStyle name="Normal 2 2 11" xfId="123"/>
    <cellStyle name="Normal 2 2 12" xfId="124"/>
    <cellStyle name="Normal 2 2 13" xfId="125"/>
    <cellStyle name="Normal 2 2 2" xfId="126"/>
    <cellStyle name="Normal 2 2 2 2" xfId="127"/>
    <cellStyle name="Normal 2 2 2 3" xfId="128"/>
    <cellStyle name="Normal 2 2 2 4" xfId="129"/>
    <cellStyle name="Normal 2 2 3" xfId="130"/>
    <cellStyle name="Normal 2 2 4" xfId="131"/>
    <cellStyle name="Normal 2 2 5" xfId="132"/>
    <cellStyle name="Normal 2 2 6" xfId="133"/>
    <cellStyle name="Normal 2 2 7" xfId="134"/>
    <cellStyle name="Normal 2 2 8" xfId="135"/>
    <cellStyle name="Normal 2 2 9" xfId="136"/>
    <cellStyle name="Normal 2 3" xfId="137"/>
    <cellStyle name="Normal 2 3 10" xfId="138"/>
    <cellStyle name="Normal 2 3 11" xfId="139"/>
    <cellStyle name="Normal 2 3 12" xfId="140"/>
    <cellStyle name="Normal 2 3 13" xfId="141"/>
    <cellStyle name="Normal 2 3 14" xfId="142"/>
    <cellStyle name="Normal 2 3 15" xfId="143"/>
    <cellStyle name="Normal 2 3 2" xfId="144"/>
    <cellStyle name="Normal 2 3 2 2" xfId="145"/>
    <cellStyle name="Normal 2 3 2 3" xfId="146"/>
    <cellStyle name="Normal 2 3 2 4" xfId="147"/>
    <cellStyle name="Normal 2 3 3" xfId="148"/>
    <cellStyle name="Normal 2 3 4" xfId="149"/>
    <cellStyle name="Normal 2 3 5" xfId="150"/>
    <cellStyle name="Normal 2 3 6" xfId="151"/>
    <cellStyle name="Normal 2 3 7" xfId="152"/>
    <cellStyle name="Normal 2 3 8" xfId="153"/>
    <cellStyle name="Normal 2 3 9" xfId="154"/>
    <cellStyle name="Normal 2 4" xfId="155"/>
    <cellStyle name="Normal 2 4 10" xfId="156"/>
    <cellStyle name="Normal 2 4 11" xfId="157"/>
    <cellStyle name="Normal 2 4 12" xfId="158"/>
    <cellStyle name="Normal 2 4 13" xfId="159"/>
    <cellStyle name="Normal 2 4 2" xfId="160"/>
    <cellStyle name="Normal 2 4 2 2" xfId="161"/>
    <cellStyle name="Normal 2 4 2 3" xfId="162"/>
    <cellStyle name="Normal 2 4 2 4" xfId="163"/>
    <cellStyle name="Normal 2 4 3" xfId="164"/>
    <cellStyle name="Normal 2 4 4" xfId="165"/>
    <cellStyle name="Normal 2 4 5" xfId="166"/>
    <cellStyle name="Normal 2 4 6" xfId="167"/>
    <cellStyle name="Normal 2 4 7" xfId="168"/>
    <cellStyle name="Normal 2 4 8" xfId="169"/>
    <cellStyle name="Normal 2 4 9" xfId="170"/>
    <cellStyle name="Normal 2 5" xfId="171"/>
    <cellStyle name="Normal 2 5 10" xfId="172"/>
    <cellStyle name="Normal 2 5 11" xfId="173"/>
    <cellStyle name="Normal 2 5 12" xfId="174"/>
    <cellStyle name="Normal 2 5 2" xfId="175"/>
    <cellStyle name="Normal 2 5 3" xfId="176"/>
    <cellStyle name="Normal 2 5 4" xfId="177"/>
    <cellStyle name="Normal 2 5 5" xfId="178"/>
    <cellStyle name="Normal 2 5 6" xfId="179"/>
    <cellStyle name="Normal 2 5 7" xfId="180"/>
    <cellStyle name="Normal 2 5 8" xfId="181"/>
    <cellStyle name="Normal 2 5 9" xfId="182"/>
    <cellStyle name="Normal 2 6" xfId="183"/>
    <cellStyle name="Normal 2 6 10" xfId="184"/>
    <cellStyle name="Normal 2 6 2" xfId="185"/>
    <cellStyle name="Normal 2 6 3" xfId="186"/>
    <cellStyle name="Normal 2 6 4" xfId="187"/>
    <cellStyle name="Normal 2 6 5" xfId="188"/>
    <cellStyle name="Normal 2 6 6" xfId="189"/>
    <cellStyle name="Normal 2 6 7" xfId="190"/>
    <cellStyle name="Normal 2 6 8" xfId="191"/>
    <cellStyle name="Normal 2 6 9" xfId="192"/>
    <cellStyle name="Normal 2 7" xfId="193"/>
    <cellStyle name="Normal 2 7 2" xfId="194"/>
    <cellStyle name="Normal 2 7 3" xfId="195"/>
    <cellStyle name="Normal 2 7 4" xfId="196"/>
    <cellStyle name="Normal 2 7 5" xfId="197"/>
    <cellStyle name="Normal 2 8" xfId="198"/>
    <cellStyle name="Normal 2 9" xfId="199"/>
    <cellStyle name="Normal 3" xfId="200"/>
    <cellStyle name="Normal 3 2" xfId="201"/>
    <cellStyle name="Normal 3 2 2" xfId="202"/>
    <cellStyle name="Normal 3 2 3" xfId="203"/>
    <cellStyle name="Normal 3 2 4" xfId="204"/>
    <cellStyle name="Normal 3 3" xfId="205"/>
    <cellStyle name="Normal 3 3 2" xfId="206"/>
    <cellStyle name="Normal 3 3 3" xfId="207"/>
    <cellStyle name="Normal 3 4" xfId="208"/>
    <cellStyle name="Normal 3 5" xfId="209"/>
    <cellStyle name="Normal 3 6" xfId="210"/>
    <cellStyle name="Normal 3 7" xfId="211"/>
    <cellStyle name="Normal 3 8" xfId="212"/>
    <cellStyle name="Normal 3 9" xfId="213"/>
    <cellStyle name="Normal 4" xfId="214"/>
    <cellStyle name="Normal 4 2" xfId="215"/>
    <cellStyle name="Normal 4 2 2" xfId="216"/>
    <cellStyle name="Normal 4 2 3" xfId="217"/>
    <cellStyle name="Normal 4 2 4" xfId="218"/>
    <cellStyle name="Normal 4 3" xfId="219"/>
    <cellStyle name="Normal 4 4" xfId="220"/>
    <cellStyle name="Normal 4 5" xfId="221"/>
    <cellStyle name="Normal 4 6" xfId="222"/>
    <cellStyle name="Normal 5" xfId="223"/>
    <cellStyle name="Normal 5 2" xfId="224"/>
    <cellStyle name="Normal 5 3" xfId="225"/>
    <cellStyle name="Normal 5 4" xfId="226"/>
    <cellStyle name="Normal 6 2" xfId="227"/>
    <cellStyle name="Normal 6 3" xfId="228"/>
    <cellStyle name="Normal 6 4" xfId="229"/>
    <cellStyle name="Normal 7" xfId="230"/>
    <cellStyle name="Normal 7 2" xfId="231"/>
    <cellStyle name="Normal 7 2 2" xfId="232"/>
    <cellStyle name="Normal 7 2 3" xfId="233"/>
    <cellStyle name="Normal 7 3" xfId="234"/>
    <cellStyle name="Normal 7 4" xfId="235"/>
    <cellStyle name="Normal 7 5" xfId="236"/>
    <cellStyle name="Normal 8" xfId="237"/>
    <cellStyle name="Normal 9" xfId="238"/>
    <cellStyle name="Normal 9 2" xfId="239"/>
    <cellStyle name="Normal 9 3" xfId="240"/>
    <cellStyle name="Normal 9 4" xfId="241"/>
    <cellStyle name="Normal_debt" xfId="242"/>
    <cellStyle name="Normal_lpform" xfId="243"/>
    <cellStyle name="Normal_Township 07" xfId="244"/>
    <cellStyle name="Note" xfId="245"/>
    <cellStyle name="Output" xfId="246"/>
    <cellStyle name="Percent" xfId="247"/>
    <cellStyle name="Title" xfId="248"/>
    <cellStyle name="Total" xfId="249"/>
    <cellStyle name="Warning Text" xfId="250"/>
  </cellStyles>
  <dxfs count="12">
    <dxf>
      <font>
        <b/>
        <i val="0"/>
      </font>
      <fill>
        <patternFill>
          <bgColor indexed="10"/>
        </patternFill>
      </fill>
    </dxf>
    <dxf>
      <fill>
        <patternFill>
          <bgColor rgb="FFFF000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1">
      <selection activeCell="B51" sqref="B51"/>
    </sheetView>
  </sheetViews>
  <sheetFormatPr defaultColWidth="8.796875" defaultRowHeight="15"/>
  <cols>
    <col min="1" max="1" width="81.69921875" style="99" customWidth="1"/>
    <col min="2" max="16384" width="8.8984375" style="99" customWidth="1"/>
  </cols>
  <sheetData>
    <row r="1" spans="1:2" ht="15.75">
      <c r="A1" s="322" t="s">
        <v>80</v>
      </c>
      <c r="B1" s="323"/>
    </row>
    <row r="2" spans="1:2" ht="15.75">
      <c r="A2" s="322"/>
      <c r="B2" s="323"/>
    </row>
    <row r="3" ht="35.25" customHeight="1">
      <c r="A3" s="324" t="s">
        <v>182</v>
      </c>
    </row>
    <row r="4" ht="15.75">
      <c r="A4" s="325"/>
    </row>
    <row r="5" ht="15.75">
      <c r="A5" s="325" t="s">
        <v>241</v>
      </c>
    </row>
    <row r="6" ht="15.75">
      <c r="A6" s="325"/>
    </row>
    <row r="7" ht="57.75" customHeight="1">
      <c r="A7" s="326" t="s">
        <v>269</v>
      </c>
    </row>
    <row r="8" ht="15.75">
      <c r="A8" s="325"/>
    </row>
    <row r="9" spans="1:2" ht="15.75">
      <c r="A9" s="327" t="s">
        <v>235</v>
      </c>
      <c r="B9" s="323"/>
    </row>
    <row r="10" spans="1:2" ht="15.75">
      <c r="A10" s="327"/>
      <c r="B10" s="323"/>
    </row>
    <row r="11" spans="1:2" ht="15.75">
      <c r="A11" s="325" t="s">
        <v>236</v>
      </c>
      <c r="B11" s="323"/>
    </row>
    <row r="12" ht="14.25" customHeight="1">
      <c r="A12" s="166"/>
    </row>
    <row r="13" s="316" customFormat="1" ht="42" customHeight="1">
      <c r="A13" s="328" t="s">
        <v>270</v>
      </c>
    </row>
    <row r="16" ht="15.75">
      <c r="A16" s="327" t="s">
        <v>5</v>
      </c>
    </row>
    <row r="17" ht="15.75">
      <c r="A17" s="166"/>
    </row>
    <row r="18" ht="15.75">
      <c r="A18" s="276" t="s">
        <v>227</v>
      </c>
    </row>
    <row r="19" ht="17.25" customHeight="1">
      <c r="A19" s="328" t="s">
        <v>130</v>
      </c>
    </row>
    <row r="20" ht="24.75" customHeight="1">
      <c r="A20" s="329" t="s">
        <v>129</v>
      </c>
    </row>
    <row r="21" ht="52.5" customHeight="1">
      <c r="A21" s="330" t="s">
        <v>131</v>
      </c>
    </row>
    <row r="22" ht="20.25" customHeight="1">
      <c r="A22" s="331" t="s">
        <v>183</v>
      </c>
    </row>
    <row r="23" s="332" customFormat="1" ht="20.25" customHeight="1">
      <c r="A23" s="279" t="s">
        <v>234</v>
      </c>
    </row>
    <row r="24" ht="21" customHeight="1">
      <c r="A24" s="328" t="s">
        <v>79</v>
      </c>
    </row>
    <row r="25" ht="15.75">
      <c r="A25" s="166"/>
    </row>
    <row r="26" ht="15.75">
      <c r="A26" s="333" t="s">
        <v>6</v>
      </c>
    </row>
    <row r="28" ht="21" customHeight="1">
      <c r="A28" s="316" t="s">
        <v>152</v>
      </c>
    </row>
    <row r="30" ht="71.25" customHeight="1">
      <c r="A30" s="316" t="s">
        <v>232</v>
      </c>
    </row>
    <row r="31" ht="49.5" customHeight="1">
      <c r="A31" s="334" t="s">
        <v>233</v>
      </c>
    </row>
    <row r="32" ht="73.5" customHeight="1">
      <c r="A32" s="365" t="s">
        <v>535</v>
      </c>
    </row>
    <row r="33" ht="69.75" customHeight="1">
      <c r="A33" s="366" t="s">
        <v>536</v>
      </c>
    </row>
    <row r="35" ht="71.25" customHeight="1">
      <c r="A35" s="316" t="s">
        <v>537</v>
      </c>
    </row>
    <row r="36" ht="57.75" customHeight="1">
      <c r="A36" s="316" t="s">
        <v>538</v>
      </c>
    </row>
    <row r="37" ht="105" customHeight="1">
      <c r="A37" s="316" t="s">
        <v>539</v>
      </c>
    </row>
    <row r="38" ht="15.75">
      <c r="A38" s="316"/>
    </row>
    <row r="39" ht="70.5" customHeight="1">
      <c r="A39" s="316" t="s">
        <v>540</v>
      </c>
    </row>
    <row r="40" ht="70.5" customHeight="1">
      <c r="A40" s="316" t="s">
        <v>541</v>
      </c>
    </row>
    <row r="41" ht="39" customHeight="1">
      <c r="A41" s="316" t="s">
        <v>542</v>
      </c>
    </row>
    <row r="42" ht="15.75">
      <c r="A42" s="316"/>
    </row>
    <row r="43" ht="71.25" customHeight="1">
      <c r="A43" s="316" t="s">
        <v>543</v>
      </c>
    </row>
    <row r="44" ht="42" customHeight="1">
      <c r="A44" s="316" t="s">
        <v>544</v>
      </c>
    </row>
    <row r="45" ht="44.25" customHeight="1">
      <c r="A45" s="316" t="s">
        <v>545</v>
      </c>
    </row>
    <row r="47" ht="51.75" customHeight="1">
      <c r="A47" s="316" t="s">
        <v>546</v>
      </c>
    </row>
    <row r="49" ht="35.25" customHeight="1">
      <c r="A49" s="316" t="s">
        <v>547</v>
      </c>
    </row>
    <row r="50" ht="23.25" customHeight="1">
      <c r="A50" s="99" t="s">
        <v>548</v>
      </c>
    </row>
    <row r="51" ht="72.75" customHeight="1">
      <c r="A51" s="316" t="s">
        <v>573</v>
      </c>
    </row>
    <row r="52" ht="29.25" customHeight="1">
      <c r="A52" s="316" t="s">
        <v>549</v>
      </c>
    </row>
    <row r="54" ht="72" customHeight="1">
      <c r="A54" s="316" t="s">
        <v>550</v>
      </c>
    </row>
    <row r="56" ht="67.5" customHeight="1">
      <c r="A56" s="316" t="s">
        <v>551</v>
      </c>
    </row>
    <row r="57" ht="15.75">
      <c r="A57" s="316"/>
    </row>
    <row r="58" ht="53.25" customHeight="1">
      <c r="A58" s="316" t="s">
        <v>552</v>
      </c>
    </row>
    <row r="59" ht="69" customHeight="1">
      <c r="A59" s="316" t="s">
        <v>553</v>
      </c>
    </row>
    <row r="60" ht="90" customHeight="1">
      <c r="A60" s="316" t="s">
        <v>554</v>
      </c>
    </row>
    <row r="61" ht="113.25" customHeight="1">
      <c r="A61" s="336" t="s">
        <v>555</v>
      </c>
    </row>
    <row r="62" ht="105.75" customHeight="1">
      <c r="A62" s="337" t="s">
        <v>556</v>
      </c>
    </row>
    <row r="63" ht="77.25" customHeight="1">
      <c r="A63" s="338" t="s">
        <v>557</v>
      </c>
    </row>
    <row r="64" ht="91.5" customHeight="1">
      <c r="A64" s="316" t="s">
        <v>558</v>
      </c>
    </row>
    <row r="65" ht="66.75" customHeight="1">
      <c r="A65" s="316" t="s">
        <v>559</v>
      </c>
    </row>
    <row r="66" ht="113.25" customHeight="1">
      <c r="A66" s="339" t="s">
        <v>560</v>
      </c>
    </row>
    <row r="67" ht="11.25" customHeight="1">
      <c r="A67" s="316"/>
    </row>
    <row r="68" ht="120.75" customHeight="1">
      <c r="A68" s="316" t="s">
        <v>561</v>
      </c>
    </row>
    <row r="69" ht="108" customHeight="1">
      <c r="A69" s="335" t="s">
        <v>562</v>
      </c>
    </row>
    <row r="70" ht="66" customHeight="1">
      <c r="A70" s="335" t="s">
        <v>563</v>
      </c>
    </row>
    <row r="71" ht="21" customHeight="1">
      <c r="A71" s="316" t="s">
        <v>564</v>
      </c>
    </row>
    <row r="72" ht="11.25" customHeight="1">
      <c r="A72" s="316"/>
    </row>
    <row r="73" s="316" customFormat="1" ht="50.25" customHeight="1">
      <c r="A73" s="316" t="s">
        <v>565</v>
      </c>
    </row>
    <row r="74" s="316" customFormat="1" ht="23.25" customHeight="1">
      <c r="A74" s="316" t="s">
        <v>570</v>
      </c>
    </row>
    <row r="75" s="316" customFormat="1" ht="43.5" customHeight="1">
      <c r="A75" s="316" t="s">
        <v>566</v>
      </c>
    </row>
    <row r="76" s="316" customFormat="1" ht="54" customHeight="1">
      <c r="A76" s="316" t="s">
        <v>567</v>
      </c>
    </row>
    <row r="78" s="316" customFormat="1" ht="33.75" customHeight="1">
      <c r="A78" s="316" t="s">
        <v>568</v>
      </c>
    </row>
    <row r="80" ht="21.75" customHeight="1">
      <c r="A80" s="316" t="s">
        <v>569</v>
      </c>
    </row>
  </sheetData>
  <sheetProtection sheet="1"/>
  <printOptions/>
  <pageMargins left="0.5" right="0.5" top="0.5" bottom="0.5" header="0.5" footer="0.5"/>
  <pageSetup blackAndWhite="1" horizontalDpi="300" verticalDpi="300" orientation="portrait" r:id="rId1"/>
  <headerFooter alignWithMargins="0">
    <oddFooter>&amp;Lrevised 1/05/10</oddFooter>
  </headerFooter>
  <rowBreaks count="1" manualBreakCount="1">
    <brk id="72"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21" sqref="E2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Selden Cemetery</v>
      </c>
      <c r="B1" s="18"/>
      <c r="C1" s="18"/>
      <c r="D1" s="18"/>
      <c r="E1" s="18"/>
      <c r="F1" s="18"/>
      <c r="G1" s="18"/>
      <c r="H1" s="18"/>
      <c r="I1" s="18"/>
      <c r="J1" s="18"/>
      <c r="K1" s="205">
        <f>inputPrYr!D6</f>
        <v>2011</v>
      </c>
    </row>
    <row r="2" spans="1:11" ht="15.75">
      <c r="A2" s="18" t="str">
        <f>inputPrYr!$D$4</f>
        <v>Sheridan County</v>
      </c>
      <c r="B2" s="18"/>
      <c r="C2" s="18"/>
      <c r="D2" s="18"/>
      <c r="E2" s="18"/>
      <c r="F2" s="18"/>
      <c r="G2" s="18"/>
      <c r="H2" s="18"/>
      <c r="I2" s="18"/>
      <c r="J2" s="18"/>
      <c r="K2" s="149"/>
    </row>
    <row r="3" spans="1:11" ht="15.75">
      <c r="A3" s="18"/>
      <c r="B3" s="18"/>
      <c r="C3" s="18"/>
      <c r="D3" s="18"/>
      <c r="E3" s="18"/>
      <c r="F3" s="18"/>
      <c r="G3" s="18"/>
      <c r="H3" s="18"/>
      <c r="I3" s="18"/>
      <c r="J3" s="18"/>
      <c r="K3" s="149"/>
    </row>
    <row r="4" spans="1:11" s="208" customFormat="1" ht="15.75">
      <c r="A4" s="206" t="s">
        <v>87</v>
      </c>
      <c r="B4" s="207"/>
      <c r="C4" s="207"/>
      <c r="D4" s="26"/>
      <c r="E4" s="207"/>
      <c r="F4" s="207"/>
      <c r="G4" s="207"/>
      <c r="H4" s="207"/>
      <c r="I4" s="207"/>
      <c r="J4" s="207"/>
      <c r="K4" s="207"/>
    </row>
    <row r="5" spans="1:11" s="208" customFormat="1" ht="15.75">
      <c r="A5" s="209"/>
      <c r="B5" s="209"/>
      <c r="C5" s="209"/>
      <c r="D5" s="209"/>
      <c r="E5" s="209"/>
      <c r="F5" s="209"/>
      <c r="G5" s="209"/>
      <c r="H5" s="209"/>
      <c r="I5" s="209"/>
      <c r="J5" s="209"/>
      <c r="K5" s="209"/>
    </row>
    <row r="6" spans="1:11" s="208" customFormat="1" ht="15.75">
      <c r="A6" s="18"/>
      <c r="B6" s="107" t="s">
        <v>61</v>
      </c>
      <c r="C6" s="107" t="s">
        <v>70</v>
      </c>
      <c r="D6" s="107"/>
      <c r="E6" s="107" t="s">
        <v>35</v>
      </c>
      <c r="F6" s="210"/>
      <c r="G6" s="211"/>
      <c r="H6" s="210" t="s">
        <v>62</v>
      </c>
      <c r="I6" s="211"/>
      <c r="J6" s="210" t="s">
        <v>62</v>
      </c>
      <c r="K6" s="211"/>
    </row>
    <row r="7" spans="1:11" s="208" customFormat="1" ht="15.75">
      <c r="A7" s="18"/>
      <c r="B7" s="109" t="s">
        <v>63</v>
      </c>
      <c r="C7" s="109" t="s">
        <v>64</v>
      </c>
      <c r="D7" s="109" t="s">
        <v>35</v>
      </c>
      <c r="E7" s="109" t="s">
        <v>133</v>
      </c>
      <c r="F7" s="212" t="s">
        <v>65</v>
      </c>
      <c r="G7" s="213"/>
      <c r="H7" s="212">
        <f>K1-1</f>
        <v>2010</v>
      </c>
      <c r="I7" s="213"/>
      <c r="J7" s="212">
        <f>K1</f>
        <v>2011</v>
      </c>
      <c r="K7" s="213"/>
    </row>
    <row r="8" spans="1:11" s="208" customFormat="1" ht="15.75">
      <c r="A8" s="214" t="s">
        <v>66</v>
      </c>
      <c r="B8" s="118" t="s">
        <v>67</v>
      </c>
      <c r="C8" s="118" t="s">
        <v>42</v>
      </c>
      <c r="D8" s="118" t="s">
        <v>68</v>
      </c>
      <c r="E8" s="215" t="str">
        <f>CONCATENATE("Jan 1,",K1-1,"")</f>
        <v>Jan 1,2010</v>
      </c>
      <c r="F8" s="115" t="s">
        <v>70</v>
      </c>
      <c r="G8" s="115" t="s">
        <v>71</v>
      </c>
      <c r="H8" s="115" t="s">
        <v>70</v>
      </c>
      <c r="I8" s="115" t="s">
        <v>71</v>
      </c>
      <c r="J8" s="115" t="s">
        <v>70</v>
      </c>
      <c r="K8" s="115" t="s">
        <v>71</v>
      </c>
    </row>
    <row r="9" spans="1:11" s="208" customFormat="1" ht="15.75">
      <c r="A9" s="35" t="s">
        <v>184</v>
      </c>
      <c r="B9" s="216"/>
      <c r="C9" s="35"/>
      <c r="D9" s="35"/>
      <c r="E9" s="35"/>
      <c r="F9" s="217"/>
      <c r="G9" s="217"/>
      <c r="H9" s="35"/>
      <c r="I9" s="35"/>
      <c r="J9" s="35"/>
      <c r="K9" s="35"/>
    </row>
    <row r="10" spans="1:11" s="208" customFormat="1" ht="15.75">
      <c r="A10" s="218" t="s">
        <v>588</v>
      </c>
      <c r="B10" s="372"/>
      <c r="C10" s="218"/>
      <c r="D10" s="218"/>
      <c r="E10" s="58"/>
      <c r="F10" s="219"/>
      <c r="G10" s="219"/>
      <c r="H10" s="218"/>
      <c r="I10" s="218"/>
      <c r="J10" s="218"/>
      <c r="K10" s="218"/>
    </row>
    <row r="11" spans="1:11" s="208" customFormat="1" ht="15.75">
      <c r="A11" s="36"/>
      <c r="B11" s="373"/>
      <c r="C11" s="221"/>
      <c r="D11" s="37"/>
      <c r="E11" s="37"/>
      <c r="F11" s="222"/>
      <c r="G11" s="222"/>
      <c r="H11" s="223"/>
      <c r="I11" s="223"/>
      <c r="J11" s="223"/>
      <c r="K11" s="223"/>
    </row>
    <row r="12" spans="1:11" s="208" customFormat="1" ht="15.75">
      <c r="A12" s="224" t="s">
        <v>185</v>
      </c>
      <c r="B12" s="225"/>
      <c r="C12" s="226"/>
      <c r="D12" s="227"/>
      <c r="E12" s="228">
        <f>SUM(E10:E11)</f>
        <v>0</v>
      </c>
      <c r="F12" s="229"/>
      <c r="G12" s="229"/>
      <c r="H12" s="228">
        <f>SUM(H10:H11)</f>
        <v>0</v>
      </c>
      <c r="I12" s="228">
        <f>SUM(I10:I11)</f>
        <v>0</v>
      </c>
      <c r="J12" s="228">
        <f>SUM(J10:J11)</f>
        <v>0</v>
      </c>
      <c r="K12" s="228">
        <f>SUM(K10:K11)</f>
        <v>0</v>
      </c>
    </row>
    <row r="13" spans="1:11" s="208" customFormat="1" ht="15.75">
      <c r="A13" s="224" t="s">
        <v>186</v>
      </c>
      <c r="B13" s="225"/>
      <c r="C13" s="226"/>
      <c r="D13" s="227"/>
      <c r="E13" s="129"/>
      <c r="F13" s="229"/>
      <c r="G13" s="229"/>
      <c r="H13" s="129"/>
      <c r="I13" s="129"/>
      <c r="J13" s="129"/>
      <c r="K13" s="129"/>
    </row>
    <row r="14" spans="1:11" s="208" customFormat="1" ht="15.75">
      <c r="A14" s="36" t="s">
        <v>588</v>
      </c>
      <c r="B14" s="373"/>
      <c r="C14" s="221"/>
      <c r="D14" s="37"/>
      <c r="E14" s="223"/>
      <c r="F14" s="222"/>
      <c r="G14" s="222"/>
      <c r="H14" s="223"/>
      <c r="I14" s="223"/>
      <c r="J14" s="223"/>
      <c r="K14" s="223"/>
    </row>
    <row r="15" spans="1:11" s="208" customFormat="1" ht="15.75">
      <c r="A15" s="36"/>
      <c r="B15" s="373"/>
      <c r="C15" s="221"/>
      <c r="D15" s="37"/>
      <c r="E15" s="223"/>
      <c r="F15" s="222"/>
      <c r="G15" s="222"/>
      <c r="H15" s="223"/>
      <c r="I15" s="223"/>
      <c r="J15" s="223"/>
      <c r="K15" s="223"/>
    </row>
    <row r="16" spans="1:11" s="208" customFormat="1" ht="15.75">
      <c r="A16" s="224" t="s">
        <v>187</v>
      </c>
      <c r="B16" s="225"/>
      <c r="C16" s="226"/>
      <c r="D16" s="227"/>
      <c r="E16" s="129">
        <f>SUM(E14:E15)</f>
        <v>0</v>
      </c>
      <c r="F16" s="229"/>
      <c r="G16" s="229"/>
      <c r="H16" s="228">
        <f>SUM(H14:H15)</f>
        <v>0</v>
      </c>
      <c r="I16" s="228">
        <f>SUM(I14:I15)</f>
        <v>0</v>
      </c>
      <c r="J16" s="228">
        <f>SUM(J14:J15)</f>
        <v>0</v>
      </c>
      <c r="K16" s="228">
        <f>SUM(K14:K15)</f>
        <v>0</v>
      </c>
    </row>
    <row r="17" spans="1:11" s="208" customFormat="1" ht="15.75">
      <c r="A17" s="224" t="s">
        <v>188</v>
      </c>
      <c r="B17" s="225"/>
      <c r="C17" s="226"/>
      <c r="D17" s="227"/>
      <c r="E17" s="129"/>
      <c r="F17" s="229"/>
      <c r="G17" s="229"/>
      <c r="H17" s="129"/>
      <c r="I17" s="129"/>
      <c r="J17" s="129"/>
      <c r="K17" s="129"/>
    </row>
    <row r="18" spans="1:11" s="208" customFormat="1" ht="15.75">
      <c r="A18" s="36" t="s">
        <v>588</v>
      </c>
      <c r="B18" s="373"/>
      <c r="C18" s="221"/>
      <c r="D18" s="37"/>
      <c r="E18" s="223"/>
      <c r="F18" s="222"/>
      <c r="G18" s="222"/>
      <c r="H18" s="223"/>
      <c r="I18" s="223"/>
      <c r="J18" s="223"/>
      <c r="K18" s="223"/>
    </row>
    <row r="19" spans="1:11" s="208" customFormat="1" ht="15.75">
      <c r="A19" s="36"/>
      <c r="B19" s="373"/>
      <c r="C19" s="221"/>
      <c r="D19" s="37"/>
      <c r="E19" s="223"/>
      <c r="F19" s="222"/>
      <c r="G19" s="222"/>
      <c r="H19" s="223"/>
      <c r="I19" s="223"/>
      <c r="J19" s="223"/>
      <c r="K19" s="223"/>
    </row>
    <row r="20" spans="1:11" s="208" customFormat="1" ht="15.75">
      <c r="A20" s="38" t="s">
        <v>189</v>
      </c>
      <c r="B20" s="230"/>
      <c r="C20" s="231"/>
      <c r="D20" s="47"/>
      <c r="E20" s="228">
        <f>SUM(E18:E19)</f>
        <v>0</v>
      </c>
      <c r="F20" s="229"/>
      <c r="G20" s="229"/>
      <c r="H20" s="228">
        <f>SUM(H18:H19)</f>
        <v>0</v>
      </c>
      <c r="I20" s="228">
        <f>SUM(I18:I19)</f>
        <v>0</v>
      </c>
      <c r="J20" s="228">
        <f>SUM(J18:J19)</f>
        <v>0</v>
      </c>
      <c r="K20" s="228">
        <f>SUM(K18:K19)</f>
        <v>0</v>
      </c>
    </row>
    <row r="21" spans="1:11" s="208" customFormat="1" ht="15.75">
      <c r="A21" s="232" t="s">
        <v>88</v>
      </c>
      <c r="B21" s="233"/>
      <c r="C21" s="234"/>
      <c r="D21" s="235"/>
      <c r="E21" s="236">
        <f>SUM(E12+E16+E20)</f>
        <v>0</v>
      </c>
      <c r="F21" s="233"/>
      <c r="G21" s="237"/>
      <c r="H21" s="236">
        <f>SUM(H12+H16+H20)</f>
        <v>0</v>
      </c>
      <c r="I21" s="236">
        <f>SUM(I12+I16+I20)</f>
        <v>0</v>
      </c>
      <c r="J21" s="236">
        <f>SUM(J12+J16+J20)</f>
        <v>0</v>
      </c>
      <c r="K21" s="236">
        <f>SUM(K12+K16+K20)</f>
        <v>0</v>
      </c>
    </row>
    <row r="22" spans="1:24" s="208" customFormat="1" ht="15.75">
      <c r="A22" s="18"/>
      <c r="B22" s="18"/>
      <c r="C22" s="71"/>
      <c r="D22" s="71"/>
      <c r="E22" s="71"/>
      <c r="F22" s="71"/>
      <c r="G22" s="71"/>
      <c r="H22" s="71"/>
      <c r="I22" s="71"/>
      <c r="J22" s="71"/>
      <c r="K22" s="71"/>
      <c r="L22" s="99"/>
      <c r="M22" s="99"/>
      <c r="N22" s="99"/>
      <c r="O22" s="99"/>
      <c r="P22" s="99"/>
      <c r="Q22" s="99"/>
      <c r="R22" s="99"/>
      <c r="S22" s="99"/>
      <c r="T22" s="99"/>
      <c r="U22" s="99"/>
      <c r="V22" s="99"/>
      <c r="W22" s="99"/>
      <c r="X22" s="99"/>
    </row>
    <row r="23" spans="1:11" s="240" customFormat="1" ht="15.75">
      <c r="A23" s="206" t="s">
        <v>83</v>
      </c>
      <c r="B23" s="238"/>
      <c r="C23" s="238"/>
      <c r="D23" s="238"/>
      <c r="E23" s="26"/>
      <c r="F23" s="238"/>
      <c r="G23" s="238"/>
      <c r="H23" s="238"/>
      <c r="I23" s="238"/>
      <c r="J23" s="238"/>
      <c r="K23" s="239"/>
    </row>
    <row r="24" spans="1:11" s="240" customFormat="1" ht="15.75">
      <c r="A24" s="71"/>
      <c r="B24" s="110"/>
      <c r="C24" s="110"/>
      <c r="D24" s="110"/>
      <c r="E24" s="110"/>
      <c r="F24" s="110"/>
      <c r="G24" s="110"/>
      <c r="H24" s="110"/>
      <c r="I24" s="105"/>
      <c r="J24" s="105"/>
      <c r="K24" s="239"/>
    </row>
    <row r="25" spans="1:11" s="240" customFormat="1" ht="15.75">
      <c r="A25" s="241"/>
      <c r="B25" s="241"/>
      <c r="C25" s="107" t="s">
        <v>69</v>
      </c>
      <c r="D25" s="241"/>
      <c r="E25" s="107" t="s">
        <v>13</v>
      </c>
      <c r="F25" s="241"/>
      <c r="G25" s="241"/>
      <c r="H25" s="241"/>
      <c r="I25" s="242"/>
      <c r="J25" s="243"/>
      <c r="K25" s="239"/>
    </row>
    <row r="26" spans="1:11" s="240" customFormat="1" ht="15.75">
      <c r="A26" s="244"/>
      <c r="B26" s="109"/>
      <c r="C26" s="109" t="s">
        <v>63</v>
      </c>
      <c r="D26" s="109" t="s">
        <v>70</v>
      </c>
      <c r="E26" s="109" t="s">
        <v>35</v>
      </c>
      <c r="F26" s="109" t="s">
        <v>71</v>
      </c>
      <c r="G26" s="109" t="s">
        <v>72</v>
      </c>
      <c r="H26" s="109" t="s">
        <v>72</v>
      </c>
      <c r="I26" s="239"/>
      <c r="J26" s="239"/>
      <c r="K26" s="239"/>
    </row>
    <row r="27" spans="1:11" s="240" customFormat="1" ht="15.75">
      <c r="A27" s="244"/>
      <c r="B27" s="109" t="s">
        <v>73</v>
      </c>
      <c r="C27" s="109" t="s">
        <v>74</v>
      </c>
      <c r="D27" s="109" t="s">
        <v>64</v>
      </c>
      <c r="E27" s="109" t="s">
        <v>75</v>
      </c>
      <c r="F27" s="109" t="s">
        <v>113</v>
      </c>
      <c r="G27" s="109" t="s">
        <v>76</v>
      </c>
      <c r="H27" s="109" t="s">
        <v>76</v>
      </c>
      <c r="I27" s="239"/>
      <c r="J27" s="239"/>
      <c r="K27" s="239"/>
    </row>
    <row r="28" spans="1:11" s="240" customFormat="1" ht="15.75">
      <c r="A28" s="245" t="s">
        <v>77</v>
      </c>
      <c r="B28" s="118" t="s">
        <v>61</v>
      </c>
      <c r="C28" s="246" t="s">
        <v>78</v>
      </c>
      <c r="D28" s="118" t="s">
        <v>42</v>
      </c>
      <c r="E28" s="246" t="s">
        <v>134</v>
      </c>
      <c r="F28" s="215" t="str">
        <f>E8</f>
        <v>Jan 1,2010</v>
      </c>
      <c r="G28" s="118">
        <f>K1-1</f>
        <v>2010</v>
      </c>
      <c r="H28" s="118">
        <f>K1</f>
        <v>2011</v>
      </c>
      <c r="I28" s="239"/>
      <c r="J28" s="239"/>
      <c r="K28" s="239"/>
    </row>
    <row r="29" spans="1:11" s="240" customFormat="1" ht="15.75">
      <c r="A29" s="36" t="s">
        <v>588</v>
      </c>
      <c r="B29" s="220"/>
      <c r="C29" s="247"/>
      <c r="D29" s="221"/>
      <c r="E29" s="37"/>
      <c r="F29" s="37"/>
      <c r="G29" s="37"/>
      <c r="H29" s="37"/>
      <c r="I29" s="239"/>
      <c r="J29" s="239"/>
      <c r="K29" s="239"/>
    </row>
    <row r="30" spans="1:11" s="240" customFormat="1" ht="15.75">
      <c r="A30" s="36"/>
      <c r="B30" s="220"/>
      <c r="C30" s="247"/>
      <c r="D30" s="221"/>
      <c r="E30" s="37"/>
      <c r="F30" s="37"/>
      <c r="G30" s="37"/>
      <c r="H30" s="37"/>
      <c r="I30" s="239"/>
      <c r="J30" s="239"/>
      <c r="K30" s="239"/>
    </row>
    <row r="31" spans="1:11" s="240" customFormat="1" ht="15.75">
      <c r="A31" s="36"/>
      <c r="B31" s="220"/>
      <c r="C31" s="247"/>
      <c r="D31" s="221"/>
      <c r="E31" s="37"/>
      <c r="F31" s="37"/>
      <c r="G31" s="37"/>
      <c r="H31" s="37"/>
      <c r="I31" s="239"/>
      <c r="J31" s="239"/>
      <c r="K31" s="239"/>
    </row>
    <row r="32" spans="1:11" s="240" customFormat="1" ht="15.75">
      <c r="A32" s="36"/>
      <c r="B32" s="220"/>
      <c r="C32" s="247"/>
      <c r="D32" s="221"/>
      <c r="E32" s="37"/>
      <c r="F32" s="37"/>
      <c r="G32" s="37"/>
      <c r="H32" s="37"/>
      <c r="I32" s="239"/>
      <c r="J32" s="239"/>
      <c r="K32" s="239"/>
    </row>
    <row r="33" spans="1:11" s="240" customFormat="1" ht="15.75">
      <c r="A33" s="36"/>
      <c r="B33" s="220"/>
      <c r="C33" s="247"/>
      <c r="D33" s="221"/>
      <c r="E33" s="37"/>
      <c r="F33" s="37"/>
      <c r="G33" s="37"/>
      <c r="H33" s="37"/>
      <c r="I33" s="239"/>
      <c r="J33" s="239"/>
      <c r="K33" s="239"/>
    </row>
    <row r="34" spans="1:11" s="240" customFormat="1" ht="15.75">
      <c r="A34" s="36"/>
      <c r="B34" s="220"/>
      <c r="C34" s="247"/>
      <c r="D34" s="221"/>
      <c r="E34" s="37"/>
      <c r="F34" s="37"/>
      <c r="G34" s="37"/>
      <c r="H34" s="37"/>
      <c r="I34" s="239"/>
      <c r="J34" s="239"/>
      <c r="K34" s="239"/>
    </row>
    <row r="35" spans="1:11" s="240" customFormat="1" ht="15.75">
      <c r="A35" s="36"/>
      <c r="B35" s="220"/>
      <c r="C35" s="247"/>
      <c r="D35" s="221"/>
      <c r="E35" s="37"/>
      <c r="F35" s="37"/>
      <c r="G35" s="37"/>
      <c r="H35" s="37"/>
      <c r="I35" s="239"/>
      <c r="J35" s="239"/>
      <c r="K35" s="239"/>
    </row>
    <row r="36" spans="1:11" s="240" customFormat="1" ht="15.75">
      <c r="A36" s="36"/>
      <c r="B36" s="220"/>
      <c r="C36" s="247"/>
      <c r="D36" s="221"/>
      <c r="E36" s="37"/>
      <c r="F36" s="37"/>
      <c r="G36" s="37"/>
      <c r="H36" s="37"/>
      <c r="I36" s="239"/>
      <c r="J36" s="239"/>
      <c r="K36" s="239"/>
    </row>
    <row r="37" spans="1:11" s="240" customFormat="1" ht="15.75">
      <c r="A37" s="36"/>
      <c r="B37" s="220"/>
      <c r="C37" s="247"/>
      <c r="D37" s="221"/>
      <c r="E37" s="37"/>
      <c r="F37" s="37"/>
      <c r="G37" s="37"/>
      <c r="H37" s="37"/>
      <c r="I37" s="239"/>
      <c r="J37" s="239"/>
      <c r="K37" s="239"/>
    </row>
    <row r="38" spans="1:11" s="240" customFormat="1" ht="15.75">
      <c r="A38" s="36"/>
      <c r="B38" s="220"/>
      <c r="C38" s="247"/>
      <c r="D38" s="221"/>
      <c r="E38" s="37"/>
      <c r="F38" s="37"/>
      <c r="G38" s="37"/>
      <c r="H38" s="37"/>
      <c r="I38" s="239"/>
      <c r="J38" s="239"/>
      <c r="K38" s="239"/>
    </row>
    <row r="39" spans="1:11" s="240" customFormat="1" ht="15.75">
      <c r="A39" s="36"/>
      <c r="B39" s="220"/>
      <c r="C39" s="247"/>
      <c r="D39" s="221"/>
      <c r="E39" s="37"/>
      <c r="F39" s="37"/>
      <c r="G39" s="37"/>
      <c r="H39" s="37"/>
      <c r="I39" s="239"/>
      <c r="J39" s="239"/>
      <c r="K39" s="239"/>
    </row>
    <row r="40" spans="1:11" s="240" customFormat="1" ht="15.75">
      <c r="A40" s="36"/>
      <c r="B40" s="220"/>
      <c r="C40" s="247"/>
      <c r="D40" s="221"/>
      <c r="E40" s="37"/>
      <c r="F40" s="37"/>
      <c r="G40" s="37"/>
      <c r="H40" s="37"/>
      <c r="I40" s="239"/>
      <c r="J40" s="239"/>
      <c r="K40" s="239"/>
    </row>
    <row r="41" spans="1:11" s="208" customFormat="1" ht="15.75">
      <c r="A41" s="248" t="s">
        <v>88</v>
      </c>
      <c r="B41" s="249"/>
      <c r="C41" s="250"/>
      <c r="D41" s="251"/>
      <c r="E41" s="252">
        <f>SUM(E29:E40)</f>
        <v>0</v>
      </c>
      <c r="F41" s="253">
        <f>SUM(F29:F40)</f>
        <v>0</v>
      </c>
      <c r="G41" s="253">
        <f>SUM(G29:G40)</f>
        <v>0</v>
      </c>
      <c r="H41" s="253">
        <f>SUM(H29:H40)</f>
        <v>0</v>
      </c>
      <c r="I41" s="209"/>
      <c r="J41" s="209"/>
      <c r="K41" s="79"/>
    </row>
    <row r="42" spans="1:11" ht="15.75">
      <c r="A42" s="54"/>
      <c r="B42" s="54"/>
      <c r="C42" s="54"/>
      <c r="D42" s="54"/>
      <c r="E42" s="54"/>
      <c r="F42" s="54"/>
      <c r="G42" s="54"/>
      <c r="H42" s="54"/>
      <c r="I42" s="18"/>
      <c r="J42" s="18"/>
      <c r="K42" s="18"/>
    </row>
    <row r="43" spans="1:11" ht="15.75">
      <c r="A43" s="254" t="s">
        <v>244</v>
      </c>
      <c r="B43" s="204"/>
      <c r="C43" s="204"/>
      <c r="D43" s="204"/>
      <c r="E43" s="204"/>
      <c r="F43" s="204"/>
      <c r="G43" s="204"/>
      <c r="H43" s="54"/>
      <c r="I43" s="18"/>
      <c r="J43" s="18"/>
      <c r="K43" s="18"/>
    </row>
  </sheetData>
  <sheetProtection sheet="1" objects="1" scenarios="1"/>
  <printOptions/>
  <pageMargins left="0.5" right="0.5" top="1" bottom="0.5" header="0.5" footer="0.25"/>
  <pageSetup blackAndWhite="1" fitToHeight="1" fitToWidth="1" horizontalDpi="120" verticalDpi="120" orientation="landscape" scale="78" r:id="rId1"/>
  <headerFooter alignWithMargins="0">
    <oddHeader>&amp;RState of Kansas
Special District
</oddHeader>
    <oddFooter>&amp;Lrevised 8/06/07&amp;CPage No. 5</oddFooter>
  </headerFooter>
</worksheet>
</file>

<file path=xl/worksheets/sheet11.xml><?xml version="1.0" encoding="utf-8"?>
<worksheet xmlns="http://schemas.openxmlformats.org/spreadsheetml/2006/main" xmlns:r="http://schemas.openxmlformats.org/officeDocument/2006/relationships">
  <dimension ref="A1:G62"/>
  <sheetViews>
    <sheetView zoomScalePageLayoutView="0" workbookViewId="0" topLeftCell="A1">
      <selection activeCell="H1" sqref="H1:H16384"/>
    </sheetView>
  </sheetViews>
  <sheetFormatPr defaultColWidth="8.796875" defaultRowHeight="15"/>
  <cols>
    <col min="1" max="1" width="27.19921875" style="99" customWidth="1"/>
    <col min="2" max="2" width="9.59765625" style="99" customWidth="1"/>
    <col min="3" max="3" width="10.3984375" style="99" customWidth="1"/>
    <col min="4" max="4" width="5.796875" style="99" customWidth="1"/>
    <col min="5" max="5" width="9.69921875" style="99" customWidth="1"/>
    <col min="6" max="6" width="6.69921875" style="99" customWidth="1"/>
    <col min="7" max="7" width="15.796875" style="99" customWidth="1"/>
    <col min="8" max="16384" width="8.8984375" style="99" customWidth="1"/>
  </cols>
  <sheetData>
    <row r="1" spans="1:7" ht="15.75">
      <c r="A1" s="18" t="str">
        <f>inputPrYr!D3</f>
        <v>Selden Cemetery</v>
      </c>
      <c r="B1" s="18"/>
      <c r="C1" s="255"/>
      <c r="D1" s="255"/>
      <c r="E1" s="18"/>
      <c r="F1" s="18"/>
      <c r="G1" s="205"/>
    </row>
    <row r="2" spans="1:7" ht="15.75">
      <c r="A2" s="18" t="str">
        <f>inputPrYr!D4</f>
        <v>Sheridan County</v>
      </c>
      <c r="B2" s="18"/>
      <c r="C2" s="255"/>
      <c r="D2" s="255"/>
      <c r="E2" s="18"/>
      <c r="F2" s="18"/>
      <c r="G2" s="149"/>
    </row>
    <row r="3" spans="1:7" ht="15.75">
      <c r="A3" s="27" t="s">
        <v>84</v>
      </c>
      <c r="B3" s="27"/>
      <c r="C3" s="255"/>
      <c r="D3" s="255"/>
      <c r="E3" s="18"/>
      <c r="F3" s="18"/>
      <c r="G3" s="205">
        <f>inputPrYr!$D$6</f>
        <v>2011</v>
      </c>
    </row>
    <row r="4" spans="1:7" ht="15.75">
      <c r="A4" s="18"/>
      <c r="B4" s="18"/>
      <c r="C4" s="105"/>
      <c r="D4" s="105"/>
      <c r="E4" s="105"/>
      <c r="F4" s="105"/>
      <c r="G4" s="105"/>
    </row>
    <row r="5" spans="1:7" ht="15.75">
      <c r="A5" s="17" t="s">
        <v>36</v>
      </c>
      <c r="B5" s="17"/>
      <c r="C5" s="418" t="s">
        <v>248</v>
      </c>
      <c r="D5" s="419"/>
      <c r="E5" s="420" t="s">
        <v>247</v>
      </c>
      <c r="F5" s="421"/>
      <c r="G5" s="256" t="s">
        <v>246</v>
      </c>
    </row>
    <row r="6" spans="1:7" ht="15.75">
      <c r="A6" s="71" t="str">
        <f>inputPrYr!B19</f>
        <v>General</v>
      </c>
      <c r="B6" s="71"/>
      <c r="C6" s="422" t="str">
        <f>CONCATENATE("Actual ",G3-2,"")</f>
        <v>Actual 2009</v>
      </c>
      <c r="D6" s="423"/>
      <c r="E6" s="422" t="str">
        <f>CONCATENATE("Estimate ",G3-1,"")</f>
        <v>Estimate 2010</v>
      </c>
      <c r="F6" s="423"/>
      <c r="G6" s="257" t="str">
        <f>CONCATENATE("Year ",G3,"")</f>
        <v>Year 2011</v>
      </c>
    </row>
    <row r="7" spans="1:7" ht="15.75">
      <c r="A7" s="123" t="s">
        <v>126</v>
      </c>
      <c r="B7" s="258"/>
      <c r="C7" s="414">
        <v>11173</v>
      </c>
      <c r="D7" s="415"/>
      <c r="E7" s="426">
        <f>C43</f>
        <v>12484</v>
      </c>
      <c r="F7" s="427"/>
      <c r="G7" s="47">
        <f>E43</f>
        <v>12940</v>
      </c>
    </row>
    <row r="8" spans="1:7" ht="15.75">
      <c r="A8" s="260" t="s">
        <v>128</v>
      </c>
      <c r="B8" s="258"/>
      <c r="C8" s="424"/>
      <c r="D8" s="425"/>
      <c r="E8" s="424"/>
      <c r="F8" s="425"/>
      <c r="G8" s="129"/>
    </row>
    <row r="9" spans="1:7" ht="15.75">
      <c r="A9" s="123" t="s">
        <v>593</v>
      </c>
      <c r="B9" s="258"/>
      <c r="C9" s="414">
        <v>5436</v>
      </c>
      <c r="D9" s="415"/>
      <c r="E9" s="424">
        <f>inputPrYr!E19</f>
        <v>5615</v>
      </c>
      <c r="F9" s="425"/>
      <c r="G9" s="136" t="s">
        <v>28</v>
      </c>
    </row>
    <row r="10" spans="1:7" ht="15.75">
      <c r="A10" s="123" t="s">
        <v>594</v>
      </c>
      <c r="B10" s="258"/>
      <c r="C10" s="414">
        <v>235</v>
      </c>
      <c r="D10" s="415"/>
      <c r="E10" s="414">
        <v>175</v>
      </c>
      <c r="F10" s="415"/>
      <c r="G10" s="223">
        <v>240</v>
      </c>
    </row>
    <row r="11" spans="1:7" ht="15.75">
      <c r="A11" s="123" t="s">
        <v>595</v>
      </c>
      <c r="B11" s="258"/>
      <c r="C11" s="414">
        <v>470</v>
      </c>
      <c r="D11" s="415"/>
      <c r="E11" s="414">
        <v>551</v>
      </c>
      <c r="F11" s="415"/>
      <c r="G11" s="129">
        <f>mvalloc!D11</f>
        <v>543</v>
      </c>
    </row>
    <row r="12" spans="1:7" ht="15.75">
      <c r="A12" s="123" t="s">
        <v>596</v>
      </c>
      <c r="B12" s="258"/>
      <c r="C12" s="414">
        <v>11</v>
      </c>
      <c r="D12" s="415"/>
      <c r="E12" s="414">
        <v>7</v>
      </c>
      <c r="F12" s="415"/>
      <c r="G12" s="129">
        <f>mvalloc!E11</f>
        <v>15</v>
      </c>
    </row>
    <row r="13" spans="1:7" ht="15.75">
      <c r="A13" s="261" t="s">
        <v>597</v>
      </c>
      <c r="B13" s="258"/>
      <c r="C13" s="414">
        <v>111</v>
      </c>
      <c r="D13" s="415"/>
      <c r="E13" s="414">
        <v>116</v>
      </c>
      <c r="F13" s="415"/>
      <c r="G13" s="129">
        <f>mvalloc!F11</f>
        <v>76</v>
      </c>
    </row>
    <row r="14" spans="1:7" ht="15.75">
      <c r="A14" s="261" t="s">
        <v>598</v>
      </c>
      <c r="B14" s="258"/>
      <c r="C14" s="414"/>
      <c r="D14" s="415"/>
      <c r="E14" s="414">
        <v>2</v>
      </c>
      <c r="F14" s="415"/>
      <c r="G14" s="129">
        <f>mvalloc!G11</f>
        <v>0</v>
      </c>
    </row>
    <row r="15" spans="1:7" ht="15.75">
      <c r="A15" s="262" t="s">
        <v>599</v>
      </c>
      <c r="B15" s="263"/>
      <c r="C15" s="414">
        <v>180</v>
      </c>
      <c r="D15" s="415"/>
      <c r="E15" s="414">
        <v>230</v>
      </c>
      <c r="F15" s="415"/>
      <c r="G15" s="223">
        <v>300</v>
      </c>
    </row>
    <row r="16" spans="1:7" ht="15.75">
      <c r="A16" s="262" t="s">
        <v>600</v>
      </c>
      <c r="B16" s="263"/>
      <c r="C16" s="414">
        <v>200</v>
      </c>
      <c r="D16" s="415"/>
      <c r="E16" s="414">
        <v>250</v>
      </c>
      <c r="F16" s="415"/>
      <c r="G16" s="223">
        <v>500</v>
      </c>
    </row>
    <row r="17" spans="1:7" ht="15.75">
      <c r="A17" s="262" t="s">
        <v>601</v>
      </c>
      <c r="B17" s="263"/>
      <c r="C17" s="414">
        <v>55</v>
      </c>
      <c r="D17" s="415"/>
      <c r="E17" s="414">
        <v>75</v>
      </c>
      <c r="F17" s="415"/>
      <c r="G17" s="223">
        <v>100</v>
      </c>
    </row>
    <row r="18" spans="1:7" ht="15.75">
      <c r="A18" s="262"/>
      <c r="B18" s="263"/>
      <c r="C18" s="414"/>
      <c r="D18" s="415"/>
      <c r="E18" s="414"/>
      <c r="F18" s="415"/>
      <c r="G18" s="223"/>
    </row>
    <row r="19" spans="1:7" ht="15.75">
      <c r="A19" s="262"/>
      <c r="B19" s="263"/>
      <c r="C19" s="414"/>
      <c r="D19" s="415"/>
      <c r="E19" s="414"/>
      <c r="F19" s="415"/>
      <c r="G19" s="223"/>
    </row>
    <row r="20" spans="1:7" ht="15.75">
      <c r="A20" s="262"/>
      <c r="B20" s="263"/>
      <c r="C20" s="414"/>
      <c r="D20" s="415"/>
      <c r="E20" s="414"/>
      <c r="F20" s="415"/>
      <c r="G20" s="223"/>
    </row>
    <row r="21" spans="1:7" ht="15.75">
      <c r="A21" s="264"/>
      <c r="B21" s="263"/>
      <c r="C21" s="414"/>
      <c r="D21" s="415"/>
      <c r="E21" s="414"/>
      <c r="F21" s="415"/>
      <c r="G21" s="223"/>
    </row>
    <row r="22" spans="1:7" ht="15.75">
      <c r="A22" s="265" t="s">
        <v>228</v>
      </c>
      <c r="B22" s="266"/>
      <c r="C22" s="416"/>
      <c r="D22" s="417"/>
      <c r="E22" s="416"/>
      <c r="F22" s="417"/>
      <c r="G22" s="267"/>
    </row>
    <row r="23" spans="1:7" ht="15.75">
      <c r="A23" s="265" t="s">
        <v>229</v>
      </c>
      <c r="B23" s="266"/>
      <c r="C23" s="428">
        <f>IF(C24*0.1&lt;C22,"Exceed 10% Rule","")</f>
      </c>
      <c r="D23" s="429"/>
      <c r="E23" s="428">
        <f>IF(E24*0.1&lt;E22,"Exceed 10% Rule","")</f>
      </c>
      <c r="F23" s="429"/>
      <c r="G23" s="268">
        <f>IF(G24*0.1+G48&lt;G22,"Exceed 10% Rule","")</f>
      </c>
    </row>
    <row r="24" spans="1:7" ht="15.75">
      <c r="A24" s="269" t="s">
        <v>37</v>
      </c>
      <c r="B24" s="258"/>
      <c r="C24" s="430">
        <f>SUM(C9:D22)</f>
        <v>6698</v>
      </c>
      <c r="D24" s="431"/>
      <c r="E24" s="430">
        <f>SUM(E9:F22)</f>
        <v>7021</v>
      </c>
      <c r="F24" s="431"/>
      <c r="G24" s="270">
        <f>SUM(G9:G22)</f>
        <v>1774</v>
      </c>
    </row>
    <row r="25" spans="1:7" ht="15.75">
      <c r="A25" s="269" t="s">
        <v>38</v>
      </c>
      <c r="B25" s="258"/>
      <c r="C25" s="430">
        <f>C7+C24</f>
        <v>17871</v>
      </c>
      <c r="D25" s="431"/>
      <c r="E25" s="430">
        <f>E7+E24</f>
        <v>19505</v>
      </c>
      <c r="F25" s="431"/>
      <c r="G25" s="271">
        <f>G7+G24</f>
        <v>14714</v>
      </c>
    </row>
    <row r="26" spans="1:7" ht="15.75">
      <c r="A26" s="123" t="s">
        <v>39</v>
      </c>
      <c r="B26" s="258"/>
      <c r="C26" s="434"/>
      <c r="D26" s="435"/>
      <c r="E26" s="434"/>
      <c r="F26" s="435"/>
      <c r="G26" s="38"/>
    </row>
    <row r="27" spans="1:7" ht="15.75">
      <c r="A27" s="262" t="s">
        <v>602</v>
      </c>
      <c r="B27" s="263"/>
      <c r="C27" s="414">
        <v>340</v>
      </c>
      <c r="D27" s="415"/>
      <c r="E27" s="414">
        <v>350</v>
      </c>
      <c r="F27" s="415"/>
      <c r="G27" s="223">
        <v>400</v>
      </c>
    </row>
    <row r="28" spans="1:7" ht="15.75">
      <c r="A28" s="262" t="s">
        <v>603</v>
      </c>
      <c r="B28" s="263"/>
      <c r="C28" s="414">
        <v>170</v>
      </c>
      <c r="D28" s="415"/>
      <c r="E28" s="414">
        <v>175</v>
      </c>
      <c r="F28" s="415"/>
      <c r="G28" s="223">
        <v>225</v>
      </c>
    </row>
    <row r="29" spans="1:7" ht="15.75">
      <c r="A29" s="262" t="s">
        <v>604</v>
      </c>
      <c r="B29" s="263"/>
      <c r="C29" s="414">
        <v>333</v>
      </c>
      <c r="D29" s="415"/>
      <c r="E29" s="414">
        <v>1200</v>
      </c>
      <c r="F29" s="415"/>
      <c r="G29" s="223">
        <v>2200</v>
      </c>
    </row>
    <row r="30" spans="1:7" ht="15.75">
      <c r="A30" s="262" t="s">
        <v>605</v>
      </c>
      <c r="B30" s="263"/>
      <c r="C30" s="414">
        <v>287</v>
      </c>
      <c r="D30" s="415"/>
      <c r="E30" s="414">
        <v>400</v>
      </c>
      <c r="F30" s="415"/>
      <c r="G30" s="223">
        <v>800</v>
      </c>
    </row>
    <row r="31" spans="1:7" ht="15.75">
      <c r="A31" s="262" t="s">
        <v>606</v>
      </c>
      <c r="B31" s="263"/>
      <c r="C31" s="414">
        <v>2985</v>
      </c>
      <c r="D31" s="415"/>
      <c r="E31" s="414">
        <v>3200</v>
      </c>
      <c r="F31" s="415"/>
      <c r="G31" s="223">
        <v>3500</v>
      </c>
    </row>
    <row r="32" spans="1:7" ht="15.75">
      <c r="A32" s="262" t="s">
        <v>607</v>
      </c>
      <c r="B32" s="263"/>
      <c r="C32" s="414">
        <v>839</v>
      </c>
      <c r="D32" s="415"/>
      <c r="E32" s="414">
        <v>900</v>
      </c>
      <c r="F32" s="415"/>
      <c r="G32" s="223">
        <v>975</v>
      </c>
    </row>
    <row r="33" spans="1:7" ht="15.75">
      <c r="A33" s="262" t="s">
        <v>608</v>
      </c>
      <c r="B33" s="263"/>
      <c r="C33" s="414">
        <v>40</v>
      </c>
      <c r="D33" s="415"/>
      <c r="E33" s="414">
        <v>40</v>
      </c>
      <c r="F33" s="415"/>
      <c r="G33" s="223">
        <v>40</v>
      </c>
    </row>
    <row r="34" spans="1:7" ht="15.75">
      <c r="A34" s="262" t="s">
        <v>609</v>
      </c>
      <c r="B34" s="263"/>
      <c r="C34" s="414">
        <v>337</v>
      </c>
      <c r="D34" s="415"/>
      <c r="E34" s="414">
        <v>100</v>
      </c>
      <c r="F34" s="415"/>
      <c r="G34" s="223">
        <v>250</v>
      </c>
    </row>
    <row r="35" spans="1:7" ht="15.75">
      <c r="A35" s="262" t="s">
        <v>610</v>
      </c>
      <c r="B35" s="263"/>
      <c r="C35" s="374"/>
      <c r="D35" s="259">
        <v>56</v>
      </c>
      <c r="E35" s="374"/>
      <c r="F35" s="259">
        <v>200</v>
      </c>
      <c r="G35" s="223">
        <v>250</v>
      </c>
    </row>
    <row r="36" spans="1:7" ht="15.75">
      <c r="A36" s="262" t="s">
        <v>611</v>
      </c>
      <c r="B36" s="263"/>
      <c r="C36" s="374"/>
      <c r="D36" s="259"/>
      <c r="E36" s="374"/>
      <c r="F36" s="259"/>
      <c r="G36" s="223">
        <v>11668</v>
      </c>
    </row>
    <row r="37" spans="1:7" ht="15.75">
      <c r="A37" s="262"/>
      <c r="B37" s="263"/>
      <c r="C37" s="374"/>
      <c r="D37" s="259"/>
      <c r="E37" s="374"/>
      <c r="F37" s="259"/>
      <c r="G37" s="223"/>
    </row>
    <row r="38" spans="1:7" ht="15.75">
      <c r="A38" s="262"/>
      <c r="B38" s="263"/>
      <c r="C38" s="374"/>
      <c r="D38" s="259"/>
      <c r="E38" s="374"/>
      <c r="F38" s="259"/>
      <c r="G38" s="223"/>
    </row>
    <row r="39" spans="1:7" ht="15.75">
      <c r="A39" s="262"/>
      <c r="B39" s="263"/>
      <c r="C39" s="414"/>
      <c r="D39" s="415"/>
      <c r="E39" s="414"/>
      <c r="F39" s="415"/>
      <c r="G39" s="223"/>
    </row>
    <row r="40" spans="1:7" ht="15.75">
      <c r="A40" s="127" t="s">
        <v>228</v>
      </c>
      <c r="B40" s="266"/>
      <c r="C40" s="414"/>
      <c r="D40" s="415"/>
      <c r="E40" s="414"/>
      <c r="F40" s="415"/>
      <c r="G40" s="259"/>
    </row>
    <row r="41" spans="1:7" ht="15.75">
      <c r="A41" s="127" t="s">
        <v>230</v>
      </c>
      <c r="B41" s="266"/>
      <c r="C41" s="428">
        <f>IF(C42*0.1&lt;C40,"Exceed 10% Rule","")</f>
      </c>
      <c r="D41" s="429"/>
      <c r="E41" s="428">
        <f>IF(E42*0.1&lt;E40,"Exceed 10% Rule","")</f>
      </c>
      <c r="F41" s="429"/>
      <c r="G41" s="268">
        <f>IF(G42*0.1&lt;G40,"Exceed 10% Rule","")</f>
      </c>
    </row>
    <row r="42" spans="1:7" ht="15.75">
      <c r="A42" s="269" t="s">
        <v>40</v>
      </c>
      <c r="B42" s="258"/>
      <c r="C42" s="430">
        <f>SUM(C27:D40)</f>
        <v>5387</v>
      </c>
      <c r="D42" s="431"/>
      <c r="E42" s="430">
        <f>SUM(E27:F40)</f>
        <v>6565</v>
      </c>
      <c r="F42" s="431"/>
      <c r="G42" s="271">
        <f>SUM(G27:G40)</f>
        <v>20308</v>
      </c>
    </row>
    <row r="43" spans="1:7" ht="15.75">
      <c r="A43" s="123" t="s">
        <v>127</v>
      </c>
      <c r="B43" s="258"/>
      <c r="C43" s="432">
        <f>C25-C42</f>
        <v>12484</v>
      </c>
      <c r="D43" s="433"/>
      <c r="E43" s="432">
        <f>E25-E42</f>
        <v>12940</v>
      </c>
      <c r="F43" s="433"/>
      <c r="G43" s="136" t="s">
        <v>28</v>
      </c>
    </row>
    <row r="44" spans="1:7" ht="15.75">
      <c r="A44" s="149" t="str">
        <f>CONCATENATE("",G3-2,"/",G3-1," Budget Authority Amount:")</f>
        <v>2009/2010 Budget Authority Amount:</v>
      </c>
      <c r="B44" s="272">
        <f>inputOth!B42</f>
        <v>19039</v>
      </c>
      <c r="C44" s="101">
        <f>inputPrYr!D19</f>
        <v>19152</v>
      </c>
      <c r="D44" s="443" t="s">
        <v>249</v>
      </c>
      <c r="E44" s="444"/>
      <c r="F44" s="445"/>
      <c r="G44" s="223"/>
    </row>
    <row r="45" spans="1:7" ht="15.75">
      <c r="A45" s="149"/>
      <c r="B45" s="273">
        <f>IF(C42&gt;B44,"See Tab A","")</f>
      </c>
      <c r="C45" s="273">
        <f>IF(E42&gt;C44,"See Tab C","")</f>
      </c>
      <c r="D45" s="18"/>
      <c r="E45" s="436" t="s">
        <v>250</v>
      </c>
      <c r="F45" s="437"/>
      <c r="G45" s="129">
        <f>G42+G44</f>
        <v>20308</v>
      </c>
    </row>
    <row r="46" spans="1:7" ht="15.75">
      <c r="A46" s="149"/>
      <c r="B46" s="273">
        <f>IF(C43&lt;0,"See Tab B","")</f>
      </c>
      <c r="C46" s="321">
        <f>IF(E43&lt;0,"See Tab D","")</f>
      </c>
      <c r="D46" s="18"/>
      <c r="E46" s="436" t="s">
        <v>41</v>
      </c>
      <c r="F46" s="437"/>
      <c r="G46" s="228">
        <f>IF(G45-G25&gt;0,G45-G25,0)</f>
        <v>5594</v>
      </c>
    </row>
    <row r="47" spans="1:7" ht="15.75">
      <c r="A47" s="178"/>
      <c r="B47" s="178"/>
      <c r="C47" s="178"/>
      <c r="D47" s="438" t="s">
        <v>251</v>
      </c>
      <c r="E47" s="439"/>
      <c r="F47" s="274">
        <f>inputOth!$E$36</f>
        <v>0.01</v>
      </c>
      <c r="G47" s="129">
        <f>ROUND(IF(F47&gt;0,(G46*F47),0),0)</f>
        <v>56</v>
      </c>
    </row>
    <row r="48" spans="1:7" ht="15.75">
      <c r="A48" s="18"/>
      <c r="B48" s="18"/>
      <c r="C48" s="440" t="str">
        <f>CONCATENATE("Amount of  ",$G$3-1," Ad Valorem Tax")</f>
        <v>Amount of  2010 Ad Valorem Tax</v>
      </c>
      <c r="D48" s="441"/>
      <c r="E48" s="441"/>
      <c r="F48" s="442"/>
      <c r="G48" s="228">
        <f>G46+G47</f>
        <v>5650</v>
      </c>
    </row>
    <row r="49" spans="1:7" ht="15.75">
      <c r="A49" s="18"/>
      <c r="B49" s="18"/>
      <c r="C49" s="18"/>
      <c r="D49" s="18"/>
      <c r="E49" s="18"/>
      <c r="F49" s="18"/>
      <c r="G49" s="18"/>
    </row>
    <row r="50" spans="1:7" ht="15.75">
      <c r="A50" s="18"/>
      <c r="B50" s="18"/>
      <c r="C50" s="18"/>
      <c r="D50" s="18"/>
      <c r="E50" s="18"/>
      <c r="F50" s="18"/>
      <c r="G50" s="18"/>
    </row>
    <row r="51" spans="1:7" ht="15.75">
      <c r="A51" s="18"/>
      <c r="B51" s="18"/>
      <c r="C51" s="18"/>
      <c r="D51" s="18"/>
      <c r="E51" s="18"/>
      <c r="F51" s="18"/>
      <c r="G51" s="18"/>
    </row>
    <row r="52" spans="1:7" ht="15.75">
      <c r="A52" s="18"/>
      <c r="B52" s="18"/>
      <c r="C52" s="18"/>
      <c r="D52" s="18"/>
      <c r="E52" s="18"/>
      <c r="F52" s="18"/>
      <c r="G52" s="18"/>
    </row>
    <row r="53" spans="1:7" ht="15.75">
      <c r="A53" s="18"/>
      <c r="B53" s="18"/>
      <c r="C53" s="255"/>
      <c r="D53" s="255"/>
      <c r="E53" s="255"/>
      <c r="F53" s="255"/>
      <c r="G53" s="255"/>
    </row>
    <row r="54" spans="1:7" ht="15.75">
      <c r="A54" s="18"/>
      <c r="B54" s="18"/>
      <c r="C54" s="255"/>
      <c r="D54" s="255"/>
      <c r="E54" s="255"/>
      <c r="F54" s="255"/>
      <c r="G54" s="255"/>
    </row>
    <row r="55" spans="1:7" ht="15.75">
      <c r="A55" s="18"/>
      <c r="B55" s="18"/>
      <c r="C55" s="255"/>
      <c r="D55" s="255"/>
      <c r="E55" s="255"/>
      <c r="F55" s="255"/>
      <c r="G55" s="255"/>
    </row>
    <row r="56" spans="1:7" ht="15.75">
      <c r="A56" s="18"/>
      <c r="B56" s="18"/>
      <c r="C56" s="255"/>
      <c r="D56" s="255"/>
      <c r="E56" s="255"/>
      <c r="F56" s="255"/>
      <c r="G56" s="255"/>
    </row>
    <row r="57" spans="1:7" ht="15.75">
      <c r="A57" s="18"/>
      <c r="B57" s="18"/>
      <c r="C57" s="255"/>
      <c r="D57" s="255"/>
      <c r="E57" s="255"/>
      <c r="F57" s="255"/>
      <c r="G57" s="255"/>
    </row>
    <row r="58" spans="1:7" ht="15.75">
      <c r="A58" s="18"/>
      <c r="B58" s="18"/>
      <c r="C58" s="255"/>
      <c r="D58" s="255"/>
      <c r="E58" s="255"/>
      <c r="F58" s="255"/>
      <c r="G58" s="255"/>
    </row>
    <row r="59" spans="1:7" ht="15.75">
      <c r="A59" s="18"/>
      <c r="B59" s="18"/>
      <c r="C59" s="255"/>
      <c r="D59" s="255"/>
      <c r="E59" s="255"/>
      <c r="F59" s="255"/>
      <c r="G59" s="255"/>
    </row>
    <row r="60" spans="1:7" ht="15.75">
      <c r="A60" s="149"/>
      <c r="B60" s="149"/>
      <c r="C60" s="18" t="s">
        <v>240</v>
      </c>
      <c r="D60" s="18"/>
      <c r="E60" s="18"/>
      <c r="F60" s="18"/>
      <c r="G60" s="18"/>
    </row>
    <row r="62" spans="1:2" ht="15.75">
      <c r="A62" s="63"/>
      <c r="B62" s="63"/>
    </row>
  </sheetData>
  <sheetProtection/>
  <mergeCells count="75">
    <mergeCell ref="E46:F46"/>
    <mergeCell ref="D47:E47"/>
    <mergeCell ref="C48:F48"/>
    <mergeCell ref="E39:F39"/>
    <mergeCell ref="D44:F44"/>
    <mergeCell ref="E45:F45"/>
    <mergeCell ref="C39:D39"/>
    <mergeCell ref="C41:D41"/>
    <mergeCell ref="C42:D42"/>
    <mergeCell ref="C43:D43"/>
    <mergeCell ref="E33:F33"/>
    <mergeCell ref="E34:F34"/>
    <mergeCell ref="E27:F27"/>
    <mergeCell ref="E28:F28"/>
    <mergeCell ref="E29:F29"/>
    <mergeCell ref="E30:F30"/>
    <mergeCell ref="E31:F31"/>
    <mergeCell ref="E32:F32"/>
    <mergeCell ref="E21:F21"/>
    <mergeCell ref="C27:D27"/>
    <mergeCell ref="C28:D28"/>
    <mergeCell ref="C26:D26"/>
    <mergeCell ref="E26:F26"/>
    <mergeCell ref="C24:D24"/>
    <mergeCell ref="C25:D25"/>
    <mergeCell ref="E24:F24"/>
    <mergeCell ref="E25:F25"/>
    <mergeCell ref="E15:F15"/>
    <mergeCell ref="C19:D19"/>
    <mergeCell ref="C20:D20"/>
    <mergeCell ref="E17:F17"/>
    <mergeCell ref="E18:F18"/>
    <mergeCell ref="E19:F19"/>
    <mergeCell ref="E20:F20"/>
    <mergeCell ref="E16:F16"/>
    <mergeCell ref="C33:D33"/>
    <mergeCell ref="C15:D15"/>
    <mergeCell ref="C16:D16"/>
    <mergeCell ref="C17:D17"/>
    <mergeCell ref="C18:D18"/>
    <mergeCell ref="E10:F10"/>
    <mergeCell ref="E11:F11"/>
    <mergeCell ref="E12:F12"/>
    <mergeCell ref="E13:F13"/>
    <mergeCell ref="E14:F14"/>
    <mergeCell ref="C13:D13"/>
    <mergeCell ref="E41:F41"/>
    <mergeCell ref="E42:F42"/>
    <mergeCell ref="E43:F43"/>
    <mergeCell ref="C40:D40"/>
    <mergeCell ref="E40:F40"/>
    <mergeCell ref="C29:D29"/>
    <mergeCell ref="C30:D30"/>
    <mergeCell ref="C31:D31"/>
    <mergeCell ref="C32:D32"/>
    <mergeCell ref="E8:F8"/>
    <mergeCell ref="C34:D34"/>
    <mergeCell ref="E9:F9"/>
    <mergeCell ref="E22:F22"/>
    <mergeCell ref="C23:D23"/>
    <mergeCell ref="E23:F23"/>
    <mergeCell ref="C9:D9"/>
    <mergeCell ref="C10:D10"/>
    <mergeCell ref="C11:D11"/>
    <mergeCell ref="C12:D12"/>
    <mergeCell ref="C14:D14"/>
    <mergeCell ref="C21:D21"/>
    <mergeCell ref="C22:D22"/>
    <mergeCell ref="C5:D5"/>
    <mergeCell ref="E5:F5"/>
    <mergeCell ref="C6:D6"/>
    <mergeCell ref="E6:F6"/>
    <mergeCell ref="C7:D7"/>
    <mergeCell ref="C8:D8"/>
    <mergeCell ref="E7:F7"/>
  </mergeCells>
  <conditionalFormatting sqref="G44">
    <cfRule type="cellIs" priority="2" dxfId="11" operator="greaterThan" stopIfTrue="1">
      <formula>$G$42/0.95-$G$42</formula>
    </cfRule>
  </conditionalFormatting>
  <conditionalFormatting sqref="C40:D40">
    <cfRule type="cellIs" priority="3" dxfId="11" operator="greaterThan" stopIfTrue="1">
      <formula>$C$42*0.1</formula>
    </cfRule>
  </conditionalFormatting>
  <conditionalFormatting sqref="E40:F40">
    <cfRule type="cellIs" priority="4" dxfId="11" operator="greaterThan" stopIfTrue="1">
      <formula>$E$42*0.1</formula>
    </cfRule>
  </conditionalFormatting>
  <conditionalFormatting sqref="G40">
    <cfRule type="cellIs" priority="5" dxfId="11" operator="greaterThan" stopIfTrue="1">
      <formula>$G$42*0.1</formula>
    </cfRule>
  </conditionalFormatting>
  <conditionalFormatting sqref="C22:D22">
    <cfRule type="cellIs" priority="6" dxfId="11" operator="greaterThan" stopIfTrue="1">
      <formula>$C$24*0.1</formula>
    </cfRule>
  </conditionalFormatting>
  <conditionalFormatting sqref="E22:F22">
    <cfRule type="cellIs" priority="7" dxfId="11" operator="greaterThan" stopIfTrue="1">
      <formula>$E$24*0.1</formula>
    </cfRule>
  </conditionalFormatting>
  <conditionalFormatting sqref="C43:D43">
    <cfRule type="cellIs" priority="8" dxfId="11" operator="lessThan" stopIfTrue="1">
      <formula>0</formula>
    </cfRule>
  </conditionalFormatting>
  <conditionalFormatting sqref="C42:D42">
    <cfRule type="cellIs" priority="9" dxfId="11" operator="greaterThan" stopIfTrue="1">
      <formula>$B$44</formula>
    </cfRule>
  </conditionalFormatting>
  <conditionalFormatting sqref="E42:F42">
    <cfRule type="cellIs" priority="10" dxfId="0" operator="greaterThan" stopIfTrue="1">
      <formula>$C$44</formula>
    </cfRule>
  </conditionalFormatting>
  <conditionalFormatting sqref="E43:F43">
    <cfRule type="cellIs" priority="1" dxfId="1" operator="lessThan" stopIfTrue="1">
      <formula>0</formula>
    </cfRule>
  </conditionalFormatting>
  <conditionalFormatting sqref="G22">
    <cfRule type="cellIs" priority="14" dxfId="11" operator="greaterThan" stopIfTrue="1">
      <formula>$G$24*0.1+$G$48</formula>
    </cfRule>
  </conditionalFormatting>
  <printOptions/>
  <pageMargins left="0.63" right="0.58" top="0.5" bottom="0.5" header="0.5" footer="0.5"/>
  <pageSetup blackAndWhite="1" horizontalDpi="120" verticalDpi="120" orientation="portrait" scale="85" r:id="rId1"/>
  <headerFooter alignWithMargins="0">
    <oddHeader>&amp;RState of Kansas
Special District
</oddHeader>
    <oddFooter>&amp;Lrevised 9/25/09</oddFooter>
  </headerFooter>
</worksheet>
</file>

<file path=xl/worksheets/sheet12.xml><?xml version="1.0" encoding="utf-8"?>
<worksheet xmlns="http://schemas.openxmlformats.org/spreadsheetml/2006/main" xmlns:r="http://schemas.openxmlformats.org/officeDocument/2006/relationships">
  <dimension ref="A1:A35"/>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17" t="s">
        <v>289</v>
      </c>
    </row>
    <row r="2" ht="15.75">
      <c r="A2" s="99"/>
    </row>
    <row r="3" ht="15.75">
      <c r="A3" s="99"/>
    </row>
    <row r="4" ht="56.25" customHeight="1">
      <c r="A4" s="318" t="s">
        <v>290</v>
      </c>
    </row>
    <row r="5" ht="15.75">
      <c r="A5" s="319"/>
    </row>
    <row r="6" ht="15.75">
      <c r="A6" s="99"/>
    </row>
    <row r="7" ht="50.25" customHeight="1">
      <c r="A7" s="318" t="s">
        <v>291</v>
      </c>
    </row>
    <row r="8" ht="15.75">
      <c r="A8" s="99"/>
    </row>
    <row r="9" ht="15.75">
      <c r="A9" s="99"/>
    </row>
    <row r="10" ht="52.5" customHeight="1">
      <c r="A10" s="318" t="s">
        <v>292</v>
      </c>
    </row>
    <row r="11" ht="15.75">
      <c r="A11" s="99"/>
    </row>
    <row r="12" ht="15.75">
      <c r="A12" s="99"/>
    </row>
    <row r="13" ht="52.5" customHeight="1">
      <c r="A13" s="318" t="s">
        <v>293</v>
      </c>
    </row>
    <row r="14" ht="15.75">
      <c r="A14" s="319"/>
    </row>
    <row r="15" ht="15.75">
      <c r="A15" s="319"/>
    </row>
    <row r="16" ht="37.5" customHeight="1">
      <c r="A16" s="318" t="s">
        <v>294</v>
      </c>
    </row>
    <row r="17" ht="15.75">
      <c r="A17" s="99"/>
    </row>
    <row r="18" ht="15.75">
      <c r="A18" s="99"/>
    </row>
    <row r="19" ht="47.25">
      <c r="A19" s="318" t="s">
        <v>295</v>
      </c>
    </row>
    <row r="20" ht="15.75">
      <c r="A20" s="319"/>
    </row>
    <row r="21" ht="15.75">
      <c r="A21" s="319"/>
    </row>
    <row r="22" ht="86.25" customHeight="1">
      <c r="A22" s="318" t="s">
        <v>296</v>
      </c>
    </row>
    <row r="23" ht="15.75">
      <c r="A23" s="99"/>
    </row>
    <row r="24" ht="15.75">
      <c r="A24" s="99"/>
    </row>
    <row r="25" ht="67.5" customHeight="1">
      <c r="A25" s="318" t="s">
        <v>297</v>
      </c>
    </row>
    <row r="26" ht="68.25" customHeight="1">
      <c r="A26" s="320" t="s">
        <v>298</v>
      </c>
    </row>
    <row r="27" ht="15.75">
      <c r="A27" s="99"/>
    </row>
    <row r="28" ht="15.75">
      <c r="A28" s="319"/>
    </row>
    <row r="29" ht="59.25" customHeight="1">
      <c r="A29" s="318" t="s">
        <v>299</v>
      </c>
    </row>
    <row r="30" ht="15.75">
      <c r="A30" s="99"/>
    </row>
    <row r="31" ht="15.75">
      <c r="A31" s="99"/>
    </row>
    <row r="32" ht="53.25" customHeight="1">
      <c r="A32" s="318" t="s">
        <v>300</v>
      </c>
    </row>
    <row r="33" ht="15.75">
      <c r="A33" s="319"/>
    </row>
    <row r="34" ht="15.75">
      <c r="A34" s="319"/>
    </row>
    <row r="35" ht="38.25" customHeight="1">
      <c r="A35" s="318" t="s">
        <v>301</v>
      </c>
    </row>
  </sheetData>
  <sheetProtection sheet="1" objects="1" scenarios="1"/>
  <printOptions/>
  <pageMargins left="0.7" right="0.7" top="0.75" bottom="0.75" header="0.3" footer="0.3"/>
  <pageSetup horizontalDpi="600" verticalDpi="600" orientation="portrait" r:id="rId1"/>
  <headerFooter>
    <oddFooter>&amp;Lrevised 9/25/09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56"/>
  <sheetViews>
    <sheetView zoomScalePageLayoutView="0" workbookViewId="0" topLeftCell="A1">
      <selection activeCell="F2" sqref="F2"/>
    </sheetView>
  </sheetViews>
  <sheetFormatPr defaultColWidth="8.796875" defaultRowHeight="15"/>
  <cols>
    <col min="1" max="1" width="14.09765625" style="99" customWidth="1"/>
    <col min="2" max="2" width="11.8984375" style="99" customWidth="1"/>
    <col min="3" max="3" width="7.8984375" style="99" customWidth="1"/>
    <col min="4" max="4" width="12.09765625" style="99" customWidth="1"/>
    <col min="5" max="5" width="8.09765625" style="99" customWidth="1"/>
    <col min="6" max="6" width="11.796875" style="99" customWidth="1"/>
    <col min="7" max="7" width="10.09765625" style="99" customWidth="1"/>
    <col min="8" max="8" width="8" style="99" customWidth="1"/>
    <col min="9" max="16384" width="8.8984375" style="99" customWidth="1"/>
  </cols>
  <sheetData>
    <row r="1" spans="1:8" ht="15.75">
      <c r="A1" s="383" t="s">
        <v>85</v>
      </c>
      <c r="B1" s="383"/>
      <c r="C1" s="383"/>
      <c r="D1" s="383"/>
      <c r="E1" s="383"/>
      <c r="F1" s="383"/>
      <c r="G1" s="383"/>
      <c r="H1" s="446"/>
    </row>
    <row r="2" spans="1:8" ht="37.5" customHeight="1">
      <c r="A2" s="18"/>
      <c r="B2" s="18"/>
      <c r="C2" s="18"/>
      <c r="D2" s="18"/>
      <c r="E2" s="18"/>
      <c r="F2" s="18"/>
      <c r="G2" s="18"/>
      <c r="H2" s="54">
        <f>inputPrYr!D6</f>
        <v>2011</v>
      </c>
    </row>
    <row r="3" spans="1:8" ht="16.5" customHeight="1">
      <c r="A3" s="408" t="s">
        <v>111</v>
      </c>
      <c r="B3" s="408"/>
      <c r="C3" s="408"/>
      <c r="D3" s="408"/>
      <c r="E3" s="408"/>
      <c r="F3" s="408"/>
      <c r="G3" s="408"/>
      <c r="H3" s="408"/>
    </row>
    <row r="4" spans="1:8" ht="16.5" customHeight="1">
      <c r="A4" s="399" t="str">
        <f>inputPrYr!D3</f>
        <v>Selden Cemetery</v>
      </c>
      <c r="B4" s="399"/>
      <c r="C4" s="399"/>
      <c r="D4" s="399"/>
      <c r="E4" s="399"/>
      <c r="F4" s="399"/>
      <c r="G4" s="399"/>
      <c r="H4" s="399"/>
    </row>
    <row r="5" spans="1:8" ht="16.5" customHeight="1">
      <c r="A5" s="399" t="str">
        <f>inputPrYr!D4</f>
        <v>Sheridan County</v>
      </c>
      <c r="B5" s="399"/>
      <c r="C5" s="399"/>
      <c r="D5" s="399"/>
      <c r="E5" s="399"/>
      <c r="F5" s="399"/>
      <c r="G5" s="399"/>
      <c r="H5" s="399"/>
    </row>
    <row r="6" spans="1:8" ht="16.5" customHeight="1">
      <c r="A6" s="449" t="str">
        <f>CONCATENATE("will meet on ",inputBudSum!B5," at ",inputBudSum!B7," at ",inputBudSum!B9," for the purpose of hearing and")</f>
        <v>will meet on August 19, 2010 at 7:00 PM at the Selden City Library, Selden, Kansas for the purpose of hearing and</v>
      </c>
      <c r="B6" s="449"/>
      <c r="C6" s="449"/>
      <c r="D6" s="449"/>
      <c r="E6" s="449"/>
      <c r="F6" s="449"/>
      <c r="G6" s="449"/>
      <c r="H6" s="449"/>
    </row>
    <row r="7" spans="1:8" ht="16.5" customHeight="1">
      <c r="A7" s="102" t="s">
        <v>333</v>
      </c>
      <c r="B7" s="26"/>
      <c r="C7" s="26"/>
      <c r="D7" s="26"/>
      <c r="E7" s="26"/>
      <c r="F7" s="26"/>
      <c r="G7" s="26"/>
      <c r="H7" s="26"/>
    </row>
    <row r="8" spans="1:8" ht="16.5" customHeight="1">
      <c r="A8" s="353" t="str">
        <f>CONCATENATE("Detailed budget information is available at ",inputBudSum!B12," and will be available at this hearing.")</f>
        <v>Detailed budget information is available at the Selden City Library, Selden, Kansas and will be available at this hearing.</v>
      </c>
      <c r="B8" s="354"/>
      <c r="C8" s="354"/>
      <c r="D8" s="354"/>
      <c r="E8" s="354"/>
      <c r="F8" s="354"/>
      <c r="G8" s="26"/>
      <c r="H8" s="26"/>
    </row>
    <row r="9" spans="1:8" ht="16.5" customHeight="1">
      <c r="A9" s="25" t="s">
        <v>86</v>
      </c>
      <c r="B9" s="26"/>
      <c r="C9" s="26"/>
      <c r="D9" s="26"/>
      <c r="E9" s="26"/>
      <c r="F9" s="26"/>
      <c r="G9" s="26"/>
      <c r="H9" s="26"/>
    </row>
    <row r="10" spans="1:8" ht="16.5" customHeight="1">
      <c r="A10" s="102" t="str">
        <f>CONCATENATE("Proposed Budget ",H2," Expenditures and Amount of ",H2-1," Ad Valorem Tax establish the maximum limits")</f>
        <v>Proposed Budget 2011 Expenditures and Amount of 2010 Ad Valorem Tax establish the maximum limits</v>
      </c>
      <c r="B10" s="26"/>
      <c r="C10" s="26"/>
      <c r="D10" s="26"/>
      <c r="E10" s="26"/>
      <c r="F10" s="26"/>
      <c r="G10" s="26"/>
      <c r="H10" s="26"/>
    </row>
    <row r="11" spans="1:8" ht="16.5" customHeight="1">
      <c r="A11" s="102" t="str">
        <f>CONCATENATE("of the ",H2," budget.  Estimated Tax Rate is subject to change depending on the final assessed valuation.")</f>
        <v>of the 2011 budget.  Estimated Tax Rate is subject to change depending on the final assessed valuation.</v>
      </c>
      <c r="B11" s="26"/>
      <c r="C11" s="26"/>
      <c r="D11" s="26"/>
      <c r="E11" s="26"/>
      <c r="F11" s="26"/>
      <c r="G11" s="26"/>
      <c r="H11" s="26"/>
    </row>
    <row r="12" spans="1:8" ht="16.5" customHeight="1">
      <c r="A12" s="18"/>
      <c r="B12" s="104"/>
      <c r="C12" s="104"/>
      <c r="D12" s="104"/>
      <c r="E12" s="104"/>
      <c r="F12" s="104"/>
      <c r="G12" s="104"/>
      <c r="H12" s="104"/>
    </row>
    <row r="13" spans="1:8" ht="16.5" customHeight="1">
      <c r="A13" s="18"/>
      <c r="B13" s="282" t="str">
        <f>CONCATENATE("Prior Year Actual ",H2-2,"")</f>
        <v>Prior Year Actual 2009</v>
      </c>
      <c r="C13" s="283"/>
      <c r="D13" s="284" t="str">
        <f>CONCATENATE("Current Year Estimate for ",H2-1,"")</f>
        <v>Current Year Estimate for 2010</v>
      </c>
      <c r="E13" s="283"/>
      <c r="F13" s="282" t="str">
        <f>CONCATENATE("Proposed Budget Year for ",H2,"")</f>
        <v>Proposed Budget Year for 2011</v>
      </c>
      <c r="G13" s="285"/>
      <c r="H13" s="283"/>
    </row>
    <row r="14" spans="1:8" ht="16.5" customHeight="1">
      <c r="A14" s="18"/>
      <c r="B14" s="109"/>
      <c r="C14" s="286" t="s">
        <v>50</v>
      </c>
      <c r="D14" s="109"/>
      <c r="E14" s="286" t="s">
        <v>50</v>
      </c>
      <c r="F14" s="244"/>
      <c r="G14" s="447" t="str">
        <f>CONCATENATE("Amount of ",H2-1," Ad Valorem Tax")</f>
        <v>Amount of 2010 Ad Valorem Tax</v>
      </c>
      <c r="H14" s="286" t="s">
        <v>50</v>
      </c>
    </row>
    <row r="15" spans="1:8" ht="16.5" customHeight="1">
      <c r="A15" s="41" t="s">
        <v>51</v>
      </c>
      <c r="B15" s="118" t="s">
        <v>52</v>
      </c>
      <c r="C15" s="287" t="s">
        <v>202</v>
      </c>
      <c r="D15" s="118" t="s">
        <v>52</v>
      </c>
      <c r="E15" s="287" t="s">
        <v>202</v>
      </c>
      <c r="F15" s="118" t="s">
        <v>52</v>
      </c>
      <c r="G15" s="448"/>
      <c r="H15" s="287" t="s">
        <v>202</v>
      </c>
    </row>
    <row r="16" spans="1:8" ht="16.5" customHeight="1">
      <c r="A16" s="38" t="str">
        <f>inputPrYr!B19</f>
        <v>General</v>
      </c>
      <c r="B16" s="129">
        <f>IF(gen!$C$42&lt;&gt;0,gen!$C$42,"  ")</f>
        <v>5387</v>
      </c>
      <c r="C16" s="126">
        <f>IF(inputPrYr!D38&gt;0,inputPrYr!D38,"  ")</f>
        <v>0.815</v>
      </c>
      <c r="D16" s="129">
        <f>IF(gen!$E$42&lt;&gt;0,gen!$E$42,"  ")</f>
        <v>6565</v>
      </c>
      <c r="E16" s="126">
        <f>IF(inputOth!D16&gt;0,inputOth!D16,"  ")</f>
        <v>1.214</v>
      </c>
      <c r="F16" s="129">
        <f>IF(gen!$G$42&lt;&gt;0,gen!$G$42,"  ")</f>
        <v>20308</v>
      </c>
      <c r="G16" s="129">
        <f>IF(gen!$G$48&lt;&gt;0,gen!$G$48,"  ")</f>
        <v>5650</v>
      </c>
      <c r="H16" s="126">
        <f>IF(gen!G48&gt;0,ROUND(G16/$F$27*1000,3)," ")</f>
        <v>1.093</v>
      </c>
    </row>
    <row r="17" spans="1:8" ht="16.5" customHeight="1">
      <c r="A17" s="38"/>
      <c r="B17" s="129"/>
      <c r="C17" s="126"/>
      <c r="D17" s="129"/>
      <c r="E17" s="126"/>
      <c r="F17" s="129"/>
      <c r="G17" s="129"/>
      <c r="H17" s="126"/>
    </row>
    <row r="18" spans="1:8" ht="16.5" customHeight="1">
      <c r="A18" s="38"/>
      <c r="B18" s="129"/>
      <c r="C18" s="126"/>
      <c r="D18" s="129"/>
      <c r="E18" s="126"/>
      <c r="F18" s="129"/>
      <c r="G18" s="129"/>
      <c r="H18" s="126"/>
    </row>
    <row r="19" spans="1:8" ht="16.5" customHeight="1">
      <c r="A19" s="38"/>
      <c r="B19" s="129"/>
      <c r="C19" s="126"/>
      <c r="D19" s="129"/>
      <c r="E19" s="126"/>
      <c r="F19" s="129"/>
      <c r="G19" s="129"/>
      <c r="H19" s="126"/>
    </row>
    <row r="20" spans="1:8" ht="16.5" customHeight="1">
      <c r="A20" s="38"/>
      <c r="B20" s="129"/>
      <c r="C20" s="38"/>
      <c r="D20" s="129"/>
      <c r="E20" s="38"/>
      <c r="F20" s="129"/>
      <c r="G20" s="129"/>
      <c r="H20" s="38"/>
    </row>
    <row r="21" spans="1:8" ht="16.5" customHeight="1">
      <c r="A21" s="38"/>
      <c r="B21" s="129"/>
      <c r="C21" s="38"/>
      <c r="D21" s="129"/>
      <c r="E21" s="38"/>
      <c r="F21" s="129"/>
      <c r="G21" s="129"/>
      <c r="H21" s="38"/>
    </row>
    <row r="22" spans="1:8" ht="16.5" customHeight="1">
      <c r="A22" s="130"/>
      <c r="B22" s="129"/>
      <c r="C22" s="38"/>
      <c r="D22" s="129"/>
      <c r="E22" s="38"/>
      <c r="F22" s="129"/>
      <c r="G22" s="129"/>
      <c r="H22" s="38"/>
    </row>
    <row r="23" spans="1:8" ht="16.5" customHeight="1">
      <c r="A23" s="35" t="s">
        <v>135</v>
      </c>
      <c r="B23" s="228">
        <f aca="true" t="shared" si="0" ref="B23:H23">SUM(B16:B21)</f>
        <v>5387</v>
      </c>
      <c r="C23" s="288">
        <f t="shared" si="0"/>
        <v>0.815</v>
      </c>
      <c r="D23" s="228">
        <f t="shared" si="0"/>
        <v>6565</v>
      </c>
      <c r="E23" s="288">
        <f t="shared" si="0"/>
        <v>1.214</v>
      </c>
      <c r="F23" s="228">
        <f t="shared" si="0"/>
        <v>20308</v>
      </c>
      <c r="G23" s="228">
        <f t="shared" si="0"/>
        <v>5650</v>
      </c>
      <c r="H23" s="288">
        <f t="shared" si="0"/>
        <v>1.093</v>
      </c>
    </row>
    <row r="24" spans="1:8" ht="16.5" customHeight="1">
      <c r="A24" s="35" t="s">
        <v>172</v>
      </c>
      <c r="B24" s="228">
        <f>transfers!C26</f>
        <v>0</v>
      </c>
      <c r="C24" s="134"/>
      <c r="D24" s="228">
        <f>transfers!D26</f>
        <v>0</v>
      </c>
      <c r="E24" s="134"/>
      <c r="F24" s="289">
        <f>transfers!E26</f>
        <v>0</v>
      </c>
      <c r="G24" s="275"/>
      <c r="H24" s="290"/>
    </row>
    <row r="25" spans="1:8" ht="16.5" customHeight="1" thickBot="1">
      <c r="A25" s="35" t="s">
        <v>173</v>
      </c>
      <c r="B25" s="138">
        <f>SUM(B23-B24)</f>
        <v>5387</v>
      </c>
      <c r="C25" s="291"/>
      <c r="D25" s="138">
        <f>SUM(D23-D24)</f>
        <v>6565</v>
      </c>
      <c r="E25" s="291"/>
      <c r="F25" s="292">
        <f>SUM(F23-F24)</f>
        <v>20308</v>
      </c>
      <c r="G25" s="275"/>
      <c r="H25" s="290"/>
    </row>
    <row r="26" spans="1:8" ht="16.5" customHeight="1" thickTop="1">
      <c r="A26" s="35" t="s">
        <v>53</v>
      </c>
      <c r="B26" s="293">
        <f>inputPrYr!E44</f>
        <v>5630</v>
      </c>
      <c r="C26" s="244"/>
      <c r="D26" s="293">
        <f>inputPrYr!E24</f>
        <v>5615</v>
      </c>
      <c r="E26" s="244"/>
      <c r="F26" s="294" t="s">
        <v>178</v>
      </c>
      <c r="G26" s="18"/>
      <c r="H26" s="18"/>
    </row>
    <row r="27" spans="1:8" ht="16.5" customHeight="1">
      <c r="A27" s="35" t="s">
        <v>174</v>
      </c>
      <c r="B27" s="228">
        <f>inputPrYr!E45</f>
        <v>6905795</v>
      </c>
      <c r="C27" s="244"/>
      <c r="D27" s="228">
        <f>inputOth!E24</f>
        <v>4625433</v>
      </c>
      <c r="E27" s="244"/>
      <c r="F27" s="228">
        <f>inputOth!E7</f>
        <v>5170278</v>
      </c>
      <c r="G27" s="18"/>
      <c r="H27" s="18"/>
    </row>
    <row r="28" spans="1:8" ht="16.5" customHeight="1">
      <c r="A28" s="21"/>
      <c r="B28" s="275"/>
      <c r="C28" s="71"/>
      <c r="D28" s="275"/>
      <c r="E28" s="71"/>
      <c r="F28" s="275"/>
      <c r="G28" s="18"/>
      <c r="H28" s="18"/>
    </row>
    <row r="29" spans="1:8" ht="16.5" customHeight="1">
      <c r="A29" s="17" t="s">
        <v>54</v>
      </c>
      <c r="B29" s="18"/>
      <c r="C29" s="18"/>
      <c r="D29" s="18"/>
      <c r="E29" s="18"/>
      <c r="F29" s="18"/>
      <c r="G29" s="18"/>
      <c r="H29" s="18"/>
    </row>
    <row r="30" spans="1:8" ht="16.5" customHeight="1">
      <c r="A30" s="17" t="s">
        <v>171</v>
      </c>
      <c r="B30" s="103">
        <f>H2-3</f>
        <v>2008</v>
      </c>
      <c r="C30" s="18"/>
      <c r="D30" s="103">
        <f>H2-2</f>
        <v>2009</v>
      </c>
      <c r="E30" s="18"/>
      <c r="F30" s="103">
        <f>H2-1</f>
        <v>2010</v>
      </c>
      <c r="G30" s="18"/>
      <c r="H30" s="18"/>
    </row>
    <row r="31" spans="1:8" ht="16.5" customHeight="1">
      <c r="A31" s="17" t="s">
        <v>55</v>
      </c>
      <c r="B31" s="295">
        <f>inputPrYr!D48</f>
        <v>0</v>
      </c>
      <c r="C31" s="179"/>
      <c r="D31" s="295">
        <f>inputPrYr!E48</f>
        <v>0</v>
      </c>
      <c r="E31" s="18"/>
      <c r="F31" s="295">
        <f>debt!E12</f>
        <v>0</v>
      </c>
      <c r="G31" s="18"/>
      <c r="H31" s="54"/>
    </row>
    <row r="32" spans="1:8" ht="16.5" customHeight="1">
      <c r="A32" s="18" t="s">
        <v>56</v>
      </c>
      <c r="B32" s="295">
        <f>inputPrYr!D49</f>
        <v>0</v>
      </c>
      <c r="C32" s="18"/>
      <c r="D32" s="295">
        <f>inputPrYr!E49</f>
        <v>0</v>
      </c>
      <c r="E32" s="18"/>
      <c r="F32" s="295">
        <f>debt!E16</f>
        <v>0</v>
      </c>
      <c r="G32" s="18"/>
      <c r="H32" s="54"/>
    </row>
    <row r="33" spans="1:8" ht="16.5" customHeight="1">
      <c r="A33" s="17" t="s">
        <v>57</v>
      </c>
      <c r="B33" s="295">
        <f>inputPrYr!D50</f>
        <v>0</v>
      </c>
      <c r="C33" s="179"/>
      <c r="D33" s="295">
        <f>inputPrYr!E50</f>
        <v>0</v>
      </c>
      <c r="E33" s="18"/>
      <c r="F33" s="295">
        <f>debt!E20</f>
        <v>0</v>
      </c>
      <c r="G33" s="18"/>
      <c r="H33" s="54"/>
    </row>
    <row r="34" spans="1:8" ht="16.5" customHeight="1">
      <c r="A34" s="17" t="s">
        <v>136</v>
      </c>
      <c r="B34" s="295">
        <f>inputPrYr!D51</f>
        <v>0</v>
      </c>
      <c r="C34" s="18"/>
      <c r="D34" s="295">
        <f>inputPrYr!E51</f>
        <v>0</v>
      </c>
      <c r="E34" s="18"/>
      <c r="F34" s="295">
        <f>debt!F41</f>
        <v>0</v>
      </c>
      <c r="G34" s="18"/>
      <c r="H34" s="54"/>
    </row>
    <row r="35" spans="1:8" ht="16.5" customHeight="1">
      <c r="A35" s="54"/>
      <c r="B35" s="296"/>
      <c r="C35" s="179"/>
      <c r="D35" s="296"/>
      <c r="E35" s="18"/>
      <c r="F35" s="297"/>
      <c r="G35" s="54"/>
      <c r="H35" s="54"/>
    </row>
    <row r="36" spans="1:8" ht="16.5" customHeight="1" thickBot="1">
      <c r="A36" s="278" t="s">
        <v>58</v>
      </c>
      <c r="B36" s="298">
        <f>SUM(B31:B35)</f>
        <v>0</v>
      </c>
      <c r="C36" s="18"/>
      <c r="D36" s="298">
        <f>SUM(D31:D35)</f>
        <v>0</v>
      </c>
      <c r="E36" s="18"/>
      <c r="F36" s="298">
        <f>SUM(F31:F35)</f>
        <v>0</v>
      </c>
      <c r="G36" s="299"/>
      <c r="H36" s="54"/>
    </row>
    <row r="37" spans="1:8" ht="16.5" customHeight="1" thickTop="1">
      <c r="A37" s="54"/>
      <c r="B37" s="18"/>
      <c r="C37" s="18"/>
      <c r="D37" s="18"/>
      <c r="E37" s="18"/>
      <c r="F37" s="18"/>
      <c r="G37" s="18"/>
      <c r="H37" s="54"/>
    </row>
    <row r="38" spans="1:8" ht="15.75">
      <c r="A38" s="278" t="s">
        <v>59</v>
      </c>
      <c r="B38" s="18"/>
      <c r="C38" s="18"/>
      <c r="D38" s="18"/>
      <c r="E38" s="255"/>
      <c r="F38" s="255"/>
      <c r="G38" s="18"/>
      <c r="H38" s="54"/>
    </row>
    <row r="39" spans="1:8" ht="15.75">
      <c r="A39" s="54"/>
      <c r="B39" s="18"/>
      <c r="C39" s="18"/>
      <c r="D39" s="18"/>
      <c r="E39" s="18"/>
      <c r="F39" s="18"/>
      <c r="G39" s="18"/>
      <c r="H39" s="54"/>
    </row>
    <row r="40" spans="1:8" ht="15.75">
      <c r="A40" s="62"/>
      <c r="B40" s="18"/>
      <c r="C40" s="18"/>
      <c r="D40" s="18"/>
      <c r="E40" s="18"/>
      <c r="F40" s="18"/>
      <c r="G40" s="18"/>
      <c r="H40" s="62"/>
    </row>
    <row r="41" spans="1:8" ht="15.75">
      <c r="A41" s="375" t="s">
        <v>614</v>
      </c>
      <c r="B41" s="376"/>
      <c r="C41" s="104"/>
      <c r="D41" s="18"/>
      <c r="E41" s="18"/>
      <c r="F41" s="18"/>
      <c r="G41" s="18"/>
      <c r="H41" s="54"/>
    </row>
    <row r="42" spans="1:8" ht="15.75">
      <c r="A42" s="281" t="s">
        <v>60</v>
      </c>
      <c r="B42" s="26"/>
      <c r="C42" s="18"/>
      <c r="E42" s="300"/>
      <c r="F42" s="18"/>
      <c r="G42" s="18"/>
      <c r="H42" s="54"/>
    </row>
    <row r="44" spans="1:8" ht="15.75">
      <c r="A44" s="16"/>
      <c r="B44" s="16"/>
      <c r="C44" s="16"/>
      <c r="D44" s="16"/>
      <c r="E44" s="16"/>
      <c r="F44" s="16"/>
      <c r="G44" s="16"/>
      <c r="H44"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row r="54" spans="1:8" ht="15.75">
      <c r="A54" s="16"/>
      <c r="B54" s="16"/>
      <c r="C54" s="16"/>
      <c r="D54" s="16"/>
      <c r="E54" s="16"/>
      <c r="F54" s="16"/>
      <c r="G54" s="16"/>
      <c r="H54" s="16"/>
    </row>
    <row r="55" spans="1:8" ht="15.75">
      <c r="A55" s="16"/>
      <c r="B55" s="16"/>
      <c r="C55" s="16"/>
      <c r="D55" s="16"/>
      <c r="E55" s="16"/>
      <c r="F55" s="16"/>
      <c r="G55" s="16"/>
      <c r="H55" s="16"/>
    </row>
    <row r="56" spans="1:8" ht="15.75">
      <c r="A56" s="16"/>
      <c r="B56" s="16"/>
      <c r="C56" s="16"/>
      <c r="D56" s="32" t="s">
        <v>592</v>
      </c>
      <c r="E56" s="16"/>
      <c r="F56" s="16"/>
      <c r="G56" s="16"/>
      <c r="H56" s="16"/>
    </row>
  </sheetData>
  <sheetProtection/>
  <mergeCells count="6">
    <mergeCell ref="A1:H1"/>
    <mergeCell ref="G14:G15"/>
    <mergeCell ref="A3:H3"/>
    <mergeCell ref="A4:H4"/>
    <mergeCell ref="A5:H5"/>
    <mergeCell ref="A6:H6"/>
  </mergeCells>
  <printOptions/>
  <pageMargins left="0.55" right="0.63" top="0.5" bottom="0.5" header="0.5" footer="0.5"/>
  <pageSetup blackAndWhite="1" fitToHeight="1" fitToWidth="1" horizontalDpi="120" verticalDpi="120" orientation="portrait" scale="86" r:id="rId1"/>
  <headerFooter alignWithMargins="0">
    <oddHeader>&amp;RState of Kansas
Special District
</oddHeader>
    <oddFooter>&amp;Lrevised 12/08/09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A27" sqref="A27"/>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01" t="str">
        <f>inputPrYr!D3</f>
        <v>Selden Cemetery</v>
      </c>
      <c r="B1" s="54"/>
      <c r="C1" s="54"/>
      <c r="D1" s="54"/>
      <c r="E1" s="54"/>
      <c r="F1" s="54">
        <f>inputPrYr!D6</f>
        <v>2011</v>
      </c>
    </row>
    <row r="2" spans="1:6" ht="15.75">
      <c r="A2" s="301"/>
      <c r="B2" s="54"/>
      <c r="C2" s="54"/>
      <c r="D2" s="54"/>
      <c r="E2" s="54"/>
      <c r="F2" s="54"/>
    </row>
    <row r="3" spans="1:6" ht="15.75">
      <c r="A3" s="54"/>
      <c r="B3" s="54"/>
      <c r="C3" s="54"/>
      <c r="D3" s="54"/>
      <c r="E3" s="54"/>
      <c r="F3" s="54"/>
    </row>
    <row r="4" spans="1:6" ht="15.75">
      <c r="A4" s="18"/>
      <c r="B4" s="397" t="str">
        <f>CONCATENATE("",F1," Neighborhood Revitalization Rebate")</f>
        <v>2011 Neighborhood Revitalization Rebate</v>
      </c>
      <c r="C4" s="452"/>
      <c r="D4" s="452"/>
      <c r="E4" s="446"/>
      <c r="F4" s="54"/>
    </row>
    <row r="5" spans="1:6" ht="15.75">
      <c r="A5" s="18"/>
      <c r="B5" s="18"/>
      <c r="C5" s="18"/>
      <c r="D5" s="18"/>
      <c r="E5" s="18"/>
      <c r="F5" s="54"/>
    </row>
    <row r="6" spans="1:6" ht="51.75" customHeight="1">
      <c r="A6" s="18"/>
      <c r="B6" s="181" t="str">
        <f>CONCATENATE("Budgeted Funds                                 for ",F1,"")</f>
        <v>Budgeted Funds                                 for 2011</v>
      </c>
      <c r="C6" s="181" t="str">
        <f>CONCATENATE("",F1-1," Ad Valorem before Rebate**")</f>
        <v>2010 Ad Valorem before Rebate**</v>
      </c>
      <c r="D6" s="302" t="str">
        <f>CONCATENATE("",F1-1," Mil Rate before Rebate")</f>
        <v>2010 Mil Rate before Rebate</v>
      </c>
      <c r="E6" s="303" t="str">
        <f>CONCATENATE("Estimate ",F1," NR Rebate")</f>
        <v>Estimate 2011 NR Rebate</v>
      </c>
      <c r="F6" s="54"/>
    </row>
    <row r="7" spans="1:6" ht="15.75">
      <c r="A7" s="18"/>
      <c r="B7" s="304" t="str">
        <f>inputPrYr!B19</f>
        <v>General</v>
      </c>
      <c r="C7" s="305"/>
      <c r="D7" s="306">
        <f aca="true" t="shared" si="0" ref="D7:D12">IF(C7&gt;0,C7/$D$18,"")</f>
      </c>
      <c r="E7" s="124">
        <f aca="true" t="shared" si="1" ref="E7:E12">IF(C7&gt;0,D7*$D$22,"")</f>
      </c>
      <c r="F7" s="54"/>
    </row>
    <row r="8" spans="1:6" ht="15.75">
      <c r="A8" s="18"/>
      <c r="B8" s="304">
        <f>inputPrYr!B20</f>
        <v>0</v>
      </c>
      <c r="C8" s="305"/>
      <c r="D8" s="306">
        <f t="shared" si="0"/>
      </c>
      <c r="E8" s="124">
        <f t="shared" si="1"/>
      </c>
      <c r="F8" s="54"/>
    </row>
    <row r="9" spans="1:6" ht="15.75">
      <c r="A9" s="18"/>
      <c r="B9" s="129" t="str">
        <f>IF(inputPrYr!$B22&gt;"  ",(inputPrYr!$B22),"  ")</f>
        <v>  </v>
      </c>
      <c r="C9" s="305"/>
      <c r="D9" s="306">
        <f t="shared" si="0"/>
      </c>
      <c r="E9" s="124">
        <f t="shared" si="1"/>
      </c>
      <c r="F9" s="54"/>
    </row>
    <row r="10" spans="1:6" ht="15.75">
      <c r="A10" s="18"/>
      <c r="B10" s="129" t="str">
        <f>IF(inputPrYr!$B23&gt;"  ",(inputPrYr!$B23),"  ")</f>
        <v>  </v>
      </c>
      <c r="C10" s="305"/>
      <c r="D10" s="306">
        <f t="shared" si="0"/>
      </c>
      <c r="E10" s="124">
        <f t="shared" si="1"/>
      </c>
      <c r="F10" s="54"/>
    </row>
    <row r="11" spans="1:6" ht="15.75">
      <c r="A11" s="18"/>
      <c r="B11" s="129"/>
      <c r="C11" s="305"/>
      <c r="D11" s="306">
        <f t="shared" si="0"/>
      </c>
      <c r="E11" s="124">
        <f t="shared" si="1"/>
      </c>
      <c r="F11" s="54"/>
    </row>
    <row r="12" spans="1:6" ht="15.75">
      <c r="A12" s="18"/>
      <c r="B12" s="129"/>
      <c r="C12" s="305"/>
      <c r="D12" s="306">
        <f t="shared" si="0"/>
      </c>
      <c r="E12" s="124">
        <f t="shared" si="1"/>
      </c>
      <c r="F12" s="54"/>
    </row>
    <row r="13" spans="1:6" ht="16.5" thickBot="1">
      <c r="A13" s="18"/>
      <c r="B13" s="38" t="s">
        <v>217</v>
      </c>
      <c r="C13" s="307">
        <f>SUM(C7:C12)</f>
        <v>0</v>
      </c>
      <c r="D13" s="308">
        <f>SUM(D7:D12)</f>
        <v>0</v>
      </c>
      <c r="E13" s="307">
        <f>SUM(E7:E12)</f>
        <v>0</v>
      </c>
      <c r="F13" s="54"/>
    </row>
    <row r="14" spans="1:6" ht="16.5" thickTop="1">
      <c r="A14" s="18"/>
      <c r="B14" s="18"/>
      <c r="C14" s="18"/>
      <c r="D14" s="18"/>
      <c r="E14" s="18"/>
      <c r="F14" s="54"/>
    </row>
    <row r="15" spans="1:6" ht="15.75">
      <c r="A15" s="18"/>
      <c r="B15" s="18"/>
      <c r="C15" s="18"/>
      <c r="D15" s="18"/>
      <c r="E15" s="18"/>
      <c r="F15" s="54"/>
    </row>
    <row r="16" spans="1:6" ht="15.75">
      <c r="A16" s="453" t="str">
        <f>CONCATENATE("",F1-1," July 1 Valuation:")</f>
        <v>2010 July 1 Valuation:</v>
      </c>
      <c r="B16" s="451"/>
      <c r="C16" s="453"/>
      <c r="D16" s="309">
        <f>inputOth!E7</f>
        <v>5170278</v>
      </c>
      <c r="E16" s="18"/>
      <c r="F16" s="54"/>
    </row>
    <row r="17" spans="1:6" ht="15.75">
      <c r="A17" s="18"/>
      <c r="B17" s="18"/>
      <c r="C17" s="18"/>
      <c r="D17" s="18"/>
      <c r="E17" s="18"/>
      <c r="F17" s="54"/>
    </row>
    <row r="18" spans="1:6" ht="15.75">
      <c r="A18" s="18"/>
      <c r="B18" s="453" t="s">
        <v>321</v>
      </c>
      <c r="C18" s="453"/>
      <c r="D18" s="310">
        <f>IF(D16&gt;0,(D16*0.001),"")</f>
        <v>5170.278</v>
      </c>
      <c r="E18" s="18"/>
      <c r="F18" s="54"/>
    </row>
    <row r="19" spans="1:6" ht="15.75">
      <c r="A19" s="18"/>
      <c r="B19" s="149"/>
      <c r="C19" s="149"/>
      <c r="D19" s="311"/>
      <c r="E19" s="18"/>
      <c r="F19" s="54"/>
    </row>
    <row r="20" spans="1:6" ht="15.75">
      <c r="A20" s="450" t="s">
        <v>319</v>
      </c>
      <c r="B20" s="446"/>
      <c r="C20" s="446"/>
      <c r="D20" s="312">
        <f>inputOth!E12</f>
        <v>0</v>
      </c>
      <c r="E20" s="64"/>
      <c r="F20" s="64"/>
    </row>
    <row r="21" spans="1:6" ht="15">
      <c r="A21" s="64"/>
      <c r="B21" s="64"/>
      <c r="C21" s="64"/>
      <c r="D21" s="313"/>
      <c r="E21" s="64"/>
      <c r="F21" s="64"/>
    </row>
    <row r="22" spans="1:6" ht="15.75">
      <c r="A22" s="64"/>
      <c r="B22" s="450" t="s">
        <v>320</v>
      </c>
      <c r="C22" s="451"/>
      <c r="D22" s="314">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68" t="str">
        <f>CONCATENATE("**This information comes from the ",F1," Budget Summary page.  See instructions tab #12 for completing")</f>
        <v>**This information comes from the 2011 Budget Summary page.  See instructions tab #12 for completing</v>
      </c>
      <c r="B26" s="64"/>
      <c r="C26" s="64"/>
      <c r="D26" s="64"/>
      <c r="E26" s="64"/>
      <c r="F26" s="64"/>
    </row>
    <row r="27" spans="1:6" ht="15.75">
      <c r="A27" s="368" t="s">
        <v>571</v>
      </c>
      <c r="B27" s="64"/>
      <c r="C27" s="64"/>
      <c r="D27" s="64"/>
      <c r="E27" s="64"/>
      <c r="F27" s="64"/>
    </row>
    <row r="28" spans="1:6" ht="15.75">
      <c r="A28" s="368"/>
      <c r="B28" s="64"/>
      <c r="C28" s="64"/>
      <c r="D28" s="64"/>
      <c r="E28" s="64"/>
      <c r="F28" s="64"/>
    </row>
    <row r="29" spans="1:6" ht="15.75">
      <c r="A29" s="368"/>
      <c r="B29" s="64"/>
      <c r="C29" s="64"/>
      <c r="D29" s="64"/>
      <c r="E29" s="64"/>
      <c r="F29" s="64"/>
    </row>
    <row r="30" spans="1:6" ht="15.75">
      <c r="A30" s="368"/>
      <c r="B30" s="64"/>
      <c r="C30" s="64"/>
      <c r="D30" s="64"/>
      <c r="E30" s="64"/>
      <c r="F30" s="64"/>
    </row>
    <row r="31" spans="1:6" ht="15.75">
      <c r="A31" s="368"/>
      <c r="B31" s="64"/>
      <c r="C31" s="64"/>
      <c r="D31" s="64"/>
      <c r="E31" s="64"/>
      <c r="F31" s="64"/>
    </row>
    <row r="32" spans="1:6" ht="15.75">
      <c r="A32" s="368"/>
      <c r="B32" s="64"/>
      <c r="C32" s="64"/>
      <c r="D32" s="64"/>
      <c r="E32" s="64"/>
      <c r="F32" s="64"/>
    </row>
    <row r="33" spans="1:6" ht="15.75">
      <c r="A33" s="368"/>
      <c r="B33" s="64"/>
      <c r="C33" s="64"/>
      <c r="D33" s="64"/>
      <c r="E33" s="64"/>
      <c r="F33" s="64"/>
    </row>
    <row r="34" spans="1:6" ht="15">
      <c r="A34" s="64"/>
      <c r="B34" s="64"/>
      <c r="C34" s="64"/>
      <c r="D34" s="64"/>
      <c r="E34" s="64"/>
      <c r="F34" s="64"/>
    </row>
    <row r="35" spans="1:6" ht="15.75">
      <c r="A35" s="64"/>
      <c r="B35" s="280" t="s">
        <v>43</v>
      </c>
      <c r="C35" s="277"/>
      <c r="D35" s="64"/>
      <c r="E35" s="64"/>
      <c r="F35" s="64"/>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oddFooter>&amp;Lrevised 12/28/09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462" t="s">
        <v>141</v>
      </c>
      <c r="C1" s="462"/>
      <c r="D1" s="462"/>
      <c r="E1" s="462"/>
      <c r="F1" s="462"/>
      <c r="G1" s="462"/>
      <c r="H1" s="462"/>
    </row>
    <row r="2" spans="2:8" ht="15.75">
      <c r="B2" s="6"/>
      <c r="C2"/>
      <c r="D2"/>
      <c r="E2"/>
      <c r="F2"/>
      <c r="G2"/>
      <c r="H2"/>
    </row>
    <row r="3" spans="2:8" ht="15.75">
      <c r="B3" s="463" t="s">
        <v>138</v>
      </c>
      <c r="C3" s="463"/>
      <c r="D3" s="463"/>
      <c r="E3" s="463"/>
      <c r="F3" s="463"/>
      <c r="G3" s="463"/>
      <c r="H3" s="463"/>
    </row>
    <row r="4" spans="2:8" ht="15.75">
      <c r="B4" s="7"/>
      <c r="C4"/>
      <c r="D4"/>
      <c r="E4"/>
      <c r="F4"/>
      <c r="G4"/>
      <c r="H4"/>
    </row>
    <row r="5" spans="2:8" ht="15.75">
      <c r="B5" s="455" t="str">
        <f>CONCATENATE("A resolution expressing the property taxation policy of the Board of ",(inputPrYr!D3)," District with respect to financing the ",inputPrYr!D6," annual budget for ",(inputPrYr!D3)," , ",(inputPrYr!D4)," , Kansas.")</f>
        <v>A resolution expressing the property taxation policy of the Board of Selden Cemetery District with respect to financing the 2011 annual budget for Selden Cemetery , Sheridan County , Kansas.</v>
      </c>
      <c r="C5" s="456"/>
      <c r="D5" s="456"/>
      <c r="E5" s="456"/>
      <c r="F5" s="456"/>
      <c r="G5" s="456"/>
      <c r="H5" s="456"/>
    </row>
    <row r="6" spans="2:10" ht="15.75">
      <c r="B6" s="456"/>
      <c r="C6" s="456"/>
      <c r="D6" s="456"/>
      <c r="E6" s="456"/>
      <c r="F6" s="456"/>
      <c r="G6" s="456"/>
      <c r="H6" s="456"/>
      <c r="J6" s="2">
        <f>CONCATENATE(J7)</f>
      </c>
    </row>
    <row r="7" spans="2:8" ht="15.75">
      <c r="B7" s="11"/>
      <c r="C7"/>
      <c r="D7"/>
      <c r="E7"/>
      <c r="F7"/>
      <c r="G7"/>
      <c r="H7"/>
    </row>
    <row r="8" spans="2:8" ht="15.75">
      <c r="B8" s="12" t="s">
        <v>179</v>
      </c>
      <c r="C8"/>
      <c r="D8"/>
      <c r="E8"/>
      <c r="F8"/>
      <c r="G8"/>
      <c r="H8"/>
    </row>
    <row r="9" spans="2:8" ht="15.75">
      <c r="B9" s="12" t="str">
        <f>CONCATENATE("",inputPrYr!D6," ",(inputPrYr!D3)," district budget exceed the amount levied to finance the")</f>
        <v>2011 Selden Cemetery district budget exceed the amount levied to finance the</v>
      </c>
      <c r="C9"/>
      <c r="D9"/>
      <c r="E9"/>
      <c r="F9"/>
      <c r="G9"/>
      <c r="H9"/>
    </row>
    <row r="10" spans="2:8" ht="15.75">
      <c r="B10" s="12" t="str">
        <f>CONCATENATE("",inputPrYr!D6-1," ",inputPrYr!D3," except with regard to revenue produced and attributable to the")</f>
        <v>2010 Selden Cemetery except with regard to revenue produced and attributable to the</v>
      </c>
      <c r="C10"/>
      <c r="D10"/>
      <c r="E10"/>
      <c r="F10"/>
      <c r="G10"/>
      <c r="H10"/>
    </row>
    <row r="11" spans="2:8" ht="15.75">
      <c r="B11" s="459" t="s">
        <v>180</v>
      </c>
      <c r="C11" s="464"/>
      <c r="D11" s="464"/>
      <c r="E11" s="464"/>
      <c r="F11" s="464"/>
      <c r="G11" s="464"/>
      <c r="H11" s="464"/>
    </row>
    <row r="12" spans="2:8" ht="15.75">
      <c r="B12" s="464"/>
      <c r="C12" s="464"/>
      <c r="D12" s="464"/>
      <c r="E12" s="464"/>
      <c r="F12" s="464"/>
      <c r="G12" s="464"/>
      <c r="H12" s="464"/>
    </row>
    <row r="13" spans="2:8" ht="15.75">
      <c r="B13" s="464"/>
      <c r="C13" s="464"/>
      <c r="D13" s="464"/>
      <c r="E13" s="464"/>
      <c r="F13" s="464"/>
      <c r="G13" s="464"/>
      <c r="H13" s="464"/>
    </row>
    <row r="14" spans="2:8" ht="15.75">
      <c r="B14" s="464"/>
      <c r="C14" s="464"/>
      <c r="D14" s="464"/>
      <c r="E14" s="464"/>
      <c r="F14" s="464"/>
      <c r="G14" s="464"/>
      <c r="H14" s="464"/>
    </row>
    <row r="15" spans="2:8" ht="15.75">
      <c r="B15" s="1"/>
      <c r="C15" s="1"/>
      <c r="D15" s="1"/>
      <c r="E15" s="1"/>
      <c r="F15" s="1"/>
      <c r="G15" s="1"/>
      <c r="H15" s="1"/>
    </row>
    <row r="16" spans="2:8" ht="15.75">
      <c r="B16" s="457" t="s">
        <v>153</v>
      </c>
      <c r="C16" s="458"/>
      <c r="D16" s="458"/>
      <c r="E16" s="458"/>
      <c r="F16" s="458"/>
      <c r="G16" s="458"/>
      <c r="H16" s="458"/>
    </row>
    <row r="17" spans="2:8" ht="15.75">
      <c r="B17" s="458"/>
      <c r="C17" s="458"/>
      <c r="D17" s="458"/>
      <c r="E17" s="458"/>
      <c r="F17" s="458"/>
      <c r="G17" s="458"/>
      <c r="H17" s="458"/>
    </row>
    <row r="18" spans="2:8" ht="15.75">
      <c r="B18" s="12"/>
      <c r="C18"/>
      <c r="D18"/>
      <c r="E18"/>
      <c r="F18"/>
      <c r="G18"/>
      <c r="H18"/>
    </row>
    <row r="19" spans="2:8" ht="15.75">
      <c r="B19" s="12" t="str">
        <f>CONCATENATE("Whereas, ",(inputPrYr!D3)," provides essential services to district residents; and")</f>
        <v>Whereas, Selden Cemetery provides essential services to district residents; and</v>
      </c>
      <c r="C19"/>
      <c r="D19"/>
      <c r="E19"/>
      <c r="F19"/>
      <c r="G19"/>
      <c r="H19"/>
    </row>
    <row r="20" spans="2:8" ht="15.75">
      <c r="B20" s="12"/>
      <c r="C20"/>
      <c r="D20"/>
      <c r="E20"/>
      <c r="F20"/>
      <c r="G20"/>
      <c r="H20"/>
    </row>
    <row r="21" spans="2:8" ht="15.75">
      <c r="B21" s="12" t="s">
        <v>154</v>
      </c>
      <c r="C21"/>
      <c r="D21"/>
      <c r="E21"/>
      <c r="F21"/>
      <c r="G21"/>
      <c r="H21"/>
    </row>
    <row r="22" spans="2:8" ht="15.75">
      <c r="B22" s="12"/>
      <c r="C22"/>
      <c r="D22"/>
      <c r="E22"/>
      <c r="F22"/>
      <c r="G22"/>
      <c r="H22"/>
    </row>
    <row r="23" spans="2:8" ht="15.75">
      <c r="B23" s="45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Selden Cemetery that is our desire to notify the public of the possibility of increased property taxes to finance the 2011 Selden Cemetery  budget as defined above.</v>
      </c>
      <c r="C23" s="460"/>
      <c r="D23" s="460"/>
      <c r="E23" s="460"/>
      <c r="F23" s="460"/>
      <c r="G23" s="460"/>
      <c r="H23" s="460"/>
    </row>
    <row r="24" spans="2:8" ht="15.75">
      <c r="B24" s="460"/>
      <c r="C24" s="460"/>
      <c r="D24" s="460"/>
      <c r="E24" s="460"/>
      <c r="F24" s="460"/>
      <c r="G24" s="460"/>
      <c r="H24" s="460"/>
    </row>
    <row r="25" spans="2:8" ht="15.75">
      <c r="B25" s="460"/>
      <c r="C25" s="460"/>
      <c r="D25" s="460"/>
      <c r="E25" s="460"/>
      <c r="F25" s="460"/>
      <c r="G25" s="460"/>
      <c r="H25" s="460"/>
    </row>
    <row r="26" spans="2:8" ht="15.75">
      <c r="B26" s="12"/>
      <c r="C26"/>
      <c r="D26"/>
      <c r="E26"/>
      <c r="F26"/>
      <c r="G26"/>
      <c r="H26"/>
    </row>
    <row r="27" spans="2:8" ht="15.75">
      <c r="B27" s="457" t="str">
        <f>CONCATENATE("Adopted this _________ day of ___________, ",inputPrYr!D6-1," by the ",(inputPrYr!D3)," District Board, ",(inputPrYr!D4),", Kansas.")</f>
        <v>Adopted this _________ day of ___________, 2010 by the Selden Cemetery District Board, Sheridan County, Kansas.</v>
      </c>
      <c r="C27" s="456"/>
      <c r="D27" s="456"/>
      <c r="E27" s="456"/>
      <c r="F27" s="456"/>
      <c r="G27" s="456"/>
      <c r="H27" s="456"/>
    </row>
    <row r="28" spans="2:8" ht="15.75">
      <c r="B28" s="456"/>
      <c r="C28" s="456"/>
      <c r="D28" s="456"/>
      <c r="E28" s="456"/>
      <c r="F28" s="456"/>
      <c r="G28" s="456"/>
      <c r="H28" s="456"/>
    </row>
    <row r="29" spans="2:8" ht="15.75">
      <c r="B29" s="8"/>
      <c r="C29"/>
      <c r="D29"/>
      <c r="E29"/>
      <c r="F29"/>
      <c r="G29"/>
      <c r="H29"/>
    </row>
    <row r="30" spans="2:8" ht="15.75">
      <c r="B30" s="8"/>
      <c r="C30"/>
      <c r="D30"/>
      <c r="E30"/>
      <c r="F30"/>
      <c r="G30"/>
      <c r="H30"/>
    </row>
    <row r="31" spans="2:8" ht="15.75">
      <c r="B31" s="9" t="str">
        <f>CONCATENATE(" ",(inputPrYr!D3)," District Board")</f>
        <v> Selden Cemetery District Board</v>
      </c>
      <c r="C31"/>
      <c r="D31"/>
      <c r="E31"/>
      <c r="F31"/>
      <c r="G31"/>
      <c r="H31"/>
    </row>
    <row r="32" spans="2:8" ht="15.75">
      <c r="B32" s="8"/>
      <c r="C32"/>
      <c r="D32"/>
      <c r="E32"/>
      <c r="F32"/>
      <c r="G32"/>
      <c r="H32"/>
    </row>
    <row r="33" spans="2:8" ht="15.75">
      <c r="B33"/>
      <c r="C33"/>
      <c r="D33"/>
      <c r="E33" s="461" t="s">
        <v>139</v>
      </c>
      <c r="F33" s="461"/>
      <c r="G33" s="461"/>
      <c r="H33" s="461"/>
    </row>
    <row r="34" spans="2:8" ht="15.75">
      <c r="B34"/>
      <c r="C34"/>
      <c r="D34"/>
      <c r="E34" s="461" t="s">
        <v>142</v>
      </c>
      <c r="F34" s="461"/>
      <c r="G34" s="461"/>
      <c r="H34" s="461"/>
    </row>
    <row r="35" spans="2:8" ht="15.75">
      <c r="B35" s="8"/>
      <c r="C35"/>
      <c r="D35"/>
      <c r="E35" s="461"/>
      <c r="F35" s="461"/>
      <c r="G35" s="461"/>
      <c r="H35" s="461"/>
    </row>
    <row r="36" spans="2:8" ht="15.75">
      <c r="B36"/>
      <c r="C36"/>
      <c r="D36"/>
      <c r="E36" s="461" t="s">
        <v>139</v>
      </c>
      <c r="F36" s="461"/>
      <c r="G36" s="461"/>
      <c r="H36" s="461"/>
    </row>
    <row r="37" spans="2:8" ht="15.75">
      <c r="B37"/>
      <c r="C37"/>
      <c r="D37"/>
      <c r="E37" s="461" t="s">
        <v>143</v>
      </c>
      <c r="F37" s="461"/>
      <c r="G37" s="461"/>
      <c r="H37" s="461"/>
    </row>
    <row r="38" spans="2:8" ht="15.75">
      <c r="B38" s="8"/>
      <c r="C38"/>
      <c r="D38"/>
      <c r="E38" s="461"/>
      <c r="F38" s="461"/>
      <c r="G38" s="461"/>
      <c r="H38" s="461"/>
    </row>
    <row r="39" spans="2:8" ht="15.75">
      <c r="B39"/>
      <c r="C39"/>
      <c r="D39"/>
      <c r="E39" s="461" t="s">
        <v>139</v>
      </c>
      <c r="F39" s="461"/>
      <c r="G39" s="461"/>
      <c r="H39" s="461"/>
    </row>
    <row r="40" spans="2:8" ht="15.75">
      <c r="B40"/>
      <c r="C40"/>
      <c r="D40"/>
      <c r="E40" s="461" t="s">
        <v>144</v>
      </c>
      <c r="F40" s="461"/>
      <c r="G40" s="461"/>
      <c r="H40" s="46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140</v>
      </c>
      <c r="E46" s="454"/>
      <c r="F46" s="454"/>
      <c r="G46" s="454"/>
      <c r="H46" s="454"/>
    </row>
    <row r="47" spans="2:8" ht="15.75">
      <c r="B47" s="3"/>
      <c r="E47" s="454"/>
      <c r="F47" s="454"/>
      <c r="G47" s="454"/>
      <c r="H47" s="454"/>
    </row>
    <row r="48" spans="5:8" ht="15.75">
      <c r="E48" s="454"/>
      <c r="F48" s="454"/>
      <c r="G48" s="454"/>
      <c r="H48" s="454"/>
    </row>
    <row r="49" spans="5:8" ht="15.75">
      <c r="E49" s="454"/>
      <c r="F49" s="454"/>
      <c r="G49" s="454"/>
      <c r="H49" s="454"/>
    </row>
    <row r="50" spans="2:8" ht="15.75">
      <c r="B50" s="3"/>
      <c r="E50" s="454"/>
      <c r="F50" s="454"/>
      <c r="G50" s="454"/>
      <c r="H50" s="454"/>
    </row>
    <row r="51" ht="15.75">
      <c r="B51" s="5"/>
    </row>
    <row r="52" ht="15.75">
      <c r="B52" s="5"/>
    </row>
    <row r="53" ht="15.75">
      <c r="B53" s="5"/>
    </row>
  </sheetData>
  <sheetProtection sheet="1" objects="1" scenarios="1"/>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headerFooter alignWithMargins="0">
    <oddFooter>&amp;Lrevised 8/06/07</oddFooter>
  </headerFooter>
</worksheet>
</file>

<file path=xl/worksheets/sheet16.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8" t="s">
        <v>339</v>
      </c>
      <c r="B3" s="358"/>
      <c r="C3" s="358"/>
      <c r="D3" s="358"/>
      <c r="E3" s="358"/>
      <c r="F3" s="358"/>
      <c r="G3" s="358"/>
      <c r="H3" s="358"/>
      <c r="I3" s="358"/>
      <c r="J3" s="358"/>
      <c r="K3" s="358"/>
      <c r="L3" s="358"/>
    </row>
    <row r="5" ht="15">
      <c r="A5" s="359" t="s">
        <v>340</v>
      </c>
    </row>
    <row r="6" ht="15">
      <c r="A6" s="359" t="str">
        <f>CONCATENATE(inputPrYr!D6-2," 'total expenditures' exceed your ",inputPrYr!D6-2," 'budget authority.'")</f>
        <v>2009 'total expenditures' exceed your 2009 'budget authority.'</v>
      </c>
    </row>
    <row r="7" ht="15">
      <c r="A7" s="359"/>
    </row>
    <row r="8" ht="15">
      <c r="A8" s="359" t="s">
        <v>341</v>
      </c>
    </row>
    <row r="9" ht="15">
      <c r="A9" s="359" t="s">
        <v>342</v>
      </c>
    </row>
    <row r="10" ht="15">
      <c r="A10" s="359" t="s">
        <v>343</v>
      </c>
    </row>
    <row r="11" ht="15">
      <c r="A11" s="359"/>
    </row>
    <row r="12" ht="15">
      <c r="A12" s="359"/>
    </row>
    <row r="13" ht="15">
      <c r="A13" s="360" t="s">
        <v>344</v>
      </c>
    </row>
    <row r="15" ht="15">
      <c r="A15" s="359" t="s">
        <v>345</v>
      </c>
    </row>
    <row r="16" ht="15">
      <c r="A16" s="359" t="str">
        <f>CONCATENATE("(i.e. an audit has not been completed, or the ",inputPrYr!D6," adopted")</f>
        <v>(i.e. an audit has not been completed, or the 2011 adopted</v>
      </c>
    </row>
    <row r="17" ht="15">
      <c r="A17" s="359" t="s">
        <v>346</v>
      </c>
    </row>
    <row r="18" ht="15">
      <c r="A18" s="359" t="s">
        <v>347</v>
      </c>
    </row>
    <row r="19" ht="15">
      <c r="A19" s="359" t="s">
        <v>348</v>
      </c>
    </row>
    <row r="21" ht="15">
      <c r="A21" s="360" t="s">
        <v>349</v>
      </c>
    </row>
    <row r="22" ht="15">
      <c r="A22" s="360"/>
    </row>
    <row r="23" ht="15">
      <c r="A23" s="359" t="s">
        <v>350</v>
      </c>
    </row>
    <row r="24" ht="15">
      <c r="A24" s="359" t="s">
        <v>351</v>
      </c>
    </row>
    <row r="25" ht="15">
      <c r="A25" s="359" t="str">
        <f>CONCATENATE("particular fund.  If your ",inputPrYr!D6-2," budget was amended, did you")</f>
        <v>particular fund.  If your 2009 budget was amended, did you</v>
      </c>
    </row>
    <row r="26" ht="15">
      <c r="A26" s="359" t="s">
        <v>352</v>
      </c>
    </row>
    <row r="27" ht="15">
      <c r="A27" s="359"/>
    </row>
    <row r="28" ht="15">
      <c r="A28" s="359" t="str">
        <f>CONCATENATE("Next, look to see if any of your ",inputPrYr!D6-2," expenditures can be")</f>
        <v>Next, look to see if any of your 2009 expenditures can be</v>
      </c>
    </row>
    <row r="29" ht="15">
      <c r="A29" s="359" t="s">
        <v>353</v>
      </c>
    </row>
    <row r="30" ht="15">
      <c r="A30" s="359" t="s">
        <v>354</v>
      </c>
    </row>
    <row r="31" ht="15">
      <c r="A31" s="359" t="s">
        <v>355</v>
      </c>
    </row>
    <row r="32" ht="15">
      <c r="A32" s="359"/>
    </row>
    <row r="33" ht="15">
      <c r="A33" s="359" t="str">
        <f>CONCATENATE("Additionally, do your ",inputPrYr!D6-2," receipts contain a reimbursement")</f>
        <v>Additionally, do your 2009 receipts contain a reimbursement</v>
      </c>
    </row>
    <row r="34" ht="15">
      <c r="A34" s="359" t="s">
        <v>356</v>
      </c>
    </row>
    <row r="35" ht="15">
      <c r="A35" s="359" t="s">
        <v>357</v>
      </c>
    </row>
    <row r="36" ht="15">
      <c r="A36" s="359"/>
    </row>
    <row r="37" ht="15">
      <c r="A37" s="359" t="s">
        <v>361</v>
      </c>
    </row>
    <row r="38" ht="15">
      <c r="A38" s="359" t="s">
        <v>362</v>
      </c>
    </row>
    <row r="39" ht="15">
      <c r="A39" s="359" t="s">
        <v>363</v>
      </c>
    </row>
    <row r="40" ht="15">
      <c r="A40" s="359"/>
    </row>
    <row r="41" ht="15">
      <c r="A41" s="360" t="s">
        <v>364</v>
      </c>
    </row>
    <row r="42" ht="15">
      <c r="A42" s="359"/>
    </row>
    <row r="43" ht="15">
      <c r="A43" s="359" t="s">
        <v>365</v>
      </c>
    </row>
    <row r="44" ht="15">
      <c r="A44" s="359" t="s">
        <v>366</v>
      </c>
    </row>
    <row r="45" ht="15">
      <c r="A45" s="359" t="s">
        <v>367</v>
      </c>
    </row>
    <row r="46" ht="15">
      <c r="A46" s="359" t="s">
        <v>368</v>
      </c>
    </row>
    <row r="47" ht="15">
      <c r="A47" s="359" t="s">
        <v>369</v>
      </c>
    </row>
    <row r="48" ht="15">
      <c r="A48" s="359" t="s">
        <v>370</v>
      </c>
    </row>
    <row r="49" ht="15">
      <c r="A49" s="359" t="s">
        <v>371</v>
      </c>
    </row>
    <row r="50" ht="15">
      <c r="A50" s="359" t="s">
        <v>372</v>
      </c>
    </row>
    <row r="51" ht="15">
      <c r="A51" s="359" t="s">
        <v>373</v>
      </c>
    </row>
    <row r="52" ht="15">
      <c r="A52" s="359" t="s">
        <v>374</v>
      </c>
    </row>
    <row r="53" ht="15">
      <c r="A53" s="359" t="s">
        <v>375</v>
      </c>
    </row>
    <row r="54" ht="15">
      <c r="A54" s="359" t="s">
        <v>376</v>
      </c>
    </row>
    <row r="55" ht="15">
      <c r="A55" s="359" t="s">
        <v>377</v>
      </c>
    </row>
    <row r="56" ht="15">
      <c r="A56" s="359"/>
    </row>
    <row r="57" ht="15">
      <c r="A57" s="359" t="s">
        <v>378</v>
      </c>
    </row>
    <row r="58" ht="15">
      <c r="A58" s="359" t="s">
        <v>379</v>
      </c>
    </row>
    <row r="59" ht="15">
      <c r="A59" s="359" t="s">
        <v>380</v>
      </c>
    </row>
    <row r="60" ht="15">
      <c r="A60" s="359"/>
    </row>
    <row r="61" ht="15">
      <c r="A61" s="360" t="str">
        <f>CONCATENATE("What if the ",inputPrYr!D6-2," financial records have been closed?")</f>
        <v>What if the 2009 financial records have been closed?</v>
      </c>
    </row>
    <row r="63" ht="15">
      <c r="A63" s="359" t="s">
        <v>381</v>
      </c>
    </row>
    <row r="64" ht="15">
      <c r="A64" s="359" t="str">
        <f>CONCATENATE("(i.e. an audit for ",inputPrYr!D6-2," has been completed, or the ",inputPrYr!D6)</f>
        <v>(i.e. an audit for 2009 has been completed, or the 2011</v>
      </c>
    </row>
    <row r="65" ht="15">
      <c r="A65" s="359" t="s">
        <v>382</v>
      </c>
    </row>
    <row r="66" ht="15">
      <c r="A66" s="359" t="s">
        <v>383</v>
      </c>
    </row>
    <row r="67" ht="15">
      <c r="A67" s="359"/>
    </row>
    <row r="68" ht="15">
      <c r="A68" s="359" t="s">
        <v>384</v>
      </c>
    </row>
    <row r="69" ht="15">
      <c r="A69" s="359" t="s">
        <v>385</v>
      </c>
    </row>
    <row r="70" ht="15">
      <c r="A70" s="359" t="s">
        <v>386</v>
      </c>
    </row>
    <row r="71" ht="15">
      <c r="A71" s="359"/>
    </row>
    <row r="72" ht="15">
      <c r="A72" s="359" t="s">
        <v>387</v>
      </c>
    </row>
  </sheetData>
  <sheetProtection sheet="1"/>
  <printOptions/>
  <pageMargins left="0.7" right="0.7" top="0.75" bottom="0.75" header="0.3" footer="0.3"/>
  <pageSetup horizontalDpi="600" verticalDpi="600" orientation="portrait" r:id="rId1"/>
  <headerFooter>
    <oddFooter>&amp;Lrevised 9/25/09</oddFooter>
  </headerFooter>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8" t="s">
        <v>388</v>
      </c>
      <c r="B3" s="358"/>
      <c r="C3" s="358"/>
      <c r="D3" s="358"/>
      <c r="E3" s="358"/>
      <c r="F3" s="358"/>
      <c r="G3" s="358"/>
      <c r="H3" s="361"/>
      <c r="I3" s="361"/>
      <c r="J3" s="361"/>
    </row>
    <row r="5" ht="15">
      <c r="A5" s="359" t="s">
        <v>389</v>
      </c>
    </row>
    <row r="6" ht="15">
      <c r="A6" t="str">
        <f>CONCATENATE(inputPrYr!D6-2," expenditures show that you finished the year with a ")</f>
        <v>2009 expenditures show that you finished the year with a </v>
      </c>
    </row>
    <row r="7" ht="15">
      <c r="A7" t="s">
        <v>390</v>
      </c>
    </row>
    <row r="9" ht="15">
      <c r="A9" t="s">
        <v>391</v>
      </c>
    </row>
    <row r="10" ht="15">
      <c r="A10" t="s">
        <v>392</v>
      </c>
    </row>
    <row r="11" ht="15">
      <c r="A11" t="s">
        <v>393</v>
      </c>
    </row>
    <row r="13" ht="15">
      <c r="A13" s="360" t="s">
        <v>394</v>
      </c>
    </row>
    <row r="14" ht="15">
      <c r="A14" s="360"/>
    </row>
    <row r="15" ht="15">
      <c r="A15" s="359" t="s">
        <v>395</v>
      </c>
    </row>
    <row r="16" ht="15">
      <c r="A16" s="359" t="s">
        <v>396</v>
      </c>
    </row>
    <row r="17" ht="15">
      <c r="A17" s="359" t="s">
        <v>397</v>
      </c>
    </row>
    <row r="18" ht="15">
      <c r="A18" s="359"/>
    </row>
    <row r="19" ht="15">
      <c r="A19" s="360" t="s">
        <v>398</v>
      </c>
    </row>
    <row r="20" ht="15">
      <c r="A20" s="360"/>
    </row>
    <row r="21" ht="15">
      <c r="A21" s="359" t="s">
        <v>399</v>
      </c>
    </row>
    <row r="22" ht="15">
      <c r="A22" s="359" t="s">
        <v>400</v>
      </c>
    </row>
    <row r="23" ht="15">
      <c r="A23" s="359" t="s">
        <v>401</v>
      </c>
    </row>
    <row r="24" ht="15">
      <c r="A24" s="359"/>
    </row>
    <row r="25" ht="15">
      <c r="A25" s="360" t="s">
        <v>402</v>
      </c>
    </row>
    <row r="26" ht="15">
      <c r="A26" s="360"/>
    </row>
    <row r="27" ht="15">
      <c r="A27" s="359" t="s">
        <v>403</v>
      </c>
    </row>
    <row r="28" ht="15">
      <c r="A28" s="359" t="s">
        <v>404</v>
      </c>
    </row>
    <row r="29" ht="15">
      <c r="A29" s="359" t="s">
        <v>405</v>
      </c>
    </row>
    <row r="30" ht="15">
      <c r="A30" s="359"/>
    </row>
    <row r="31" ht="15">
      <c r="A31" s="360" t="s">
        <v>406</v>
      </c>
    </row>
    <row r="32" ht="15">
      <c r="A32" s="360"/>
    </row>
    <row r="33" spans="1:8" ht="15">
      <c r="A33" s="359" t="str">
        <f>CONCATENATE("If your financial records for ",inputPrYr!D6-2," are not closed")</f>
        <v>If your financial records for 2009 are not closed</v>
      </c>
      <c r="B33" s="359"/>
      <c r="C33" s="359"/>
      <c r="D33" s="359"/>
      <c r="E33" s="359"/>
      <c r="F33" s="359"/>
      <c r="G33" s="359"/>
      <c r="H33" s="359"/>
    </row>
    <row r="34" spans="1:8" ht="15">
      <c r="A34" s="359" t="str">
        <f>CONCATENATE("(i.e. an audit has not been completed, or the ",inputPrYr!D6," adopted ")</f>
        <v>(i.e. an audit has not been completed, or the 2011 adopted </v>
      </c>
      <c r="B34" s="359"/>
      <c r="C34" s="359"/>
      <c r="D34" s="359"/>
      <c r="E34" s="359"/>
      <c r="F34" s="359"/>
      <c r="G34" s="359"/>
      <c r="H34" s="359"/>
    </row>
    <row r="35" spans="1:8" ht="15">
      <c r="A35" s="359" t="s">
        <v>407</v>
      </c>
      <c r="B35" s="359"/>
      <c r="C35" s="359"/>
      <c r="D35" s="359"/>
      <c r="E35" s="359"/>
      <c r="F35" s="359"/>
      <c r="G35" s="359"/>
      <c r="H35" s="359"/>
    </row>
    <row r="36" spans="1:8" ht="15">
      <c r="A36" s="359" t="s">
        <v>408</v>
      </c>
      <c r="B36" s="359"/>
      <c r="C36" s="359"/>
      <c r="D36" s="359"/>
      <c r="E36" s="359"/>
      <c r="F36" s="359"/>
      <c r="G36" s="359"/>
      <c r="H36" s="359"/>
    </row>
    <row r="37" spans="1:8" ht="15">
      <c r="A37" s="359" t="s">
        <v>409</v>
      </c>
      <c r="B37" s="359"/>
      <c r="C37" s="359"/>
      <c r="D37" s="359"/>
      <c r="E37" s="359"/>
      <c r="F37" s="359"/>
      <c r="G37" s="359"/>
      <c r="H37" s="359"/>
    </row>
    <row r="38" spans="1:8" ht="15">
      <c r="A38" s="359" t="s">
        <v>410</v>
      </c>
      <c r="B38" s="359"/>
      <c r="C38" s="359"/>
      <c r="D38" s="359"/>
      <c r="E38" s="359"/>
      <c r="F38" s="359"/>
      <c r="G38" s="359"/>
      <c r="H38" s="359"/>
    </row>
    <row r="39" spans="1:8" ht="15">
      <c r="A39" s="359" t="s">
        <v>411</v>
      </c>
      <c r="B39" s="359"/>
      <c r="C39" s="359"/>
      <c r="D39" s="359"/>
      <c r="E39" s="359"/>
      <c r="F39" s="359"/>
      <c r="G39" s="359"/>
      <c r="H39" s="359"/>
    </row>
    <row r="40" spans="1:8" ht="15">
      <c r="A40" s="359"/>
      <c r="B40" s="359"/>
      <c r="C40" s="359"/>
      <c r="D40" s="359"/>
      <c r="E40" s="359"/>
      <c r="F40" s="359"/>
      <c r="G40" s="359"/>
      <c r="H40" s="359"/>
    </row>
    <row r="41" spans="1:8" ht="15">
      <c r="A41" s="359" t="s">
        <v>412</v>
      </c>
      <c r="B41" s="359"/>
      <c r="C41" s="359"/>
      <c r="D41" s="359"/>
      <c r="E41" s="359"/>
      <c r="F41" s="359"/>
      <c r="G41" s="359"/>
      <c r="H41" s="359"/>
    </row>
    <row r="42" spans="1:8" ht="15">
      <c r="A42" s="359" t="s">
        <v>413</v>
      </c>
      <c r="B42" s="359"/>
      <c r="C42" s="359"/>
      <c r="D42" s="359"/>
      <c r="E42" s="359"/>
      <c r="F42" s="359"/>
      <c r="G42" s="359"/>
      <c r="H42" s="359"/>
    </row>
    <row r="43" spans="1:8" ht="15">
      <c r="A43" s="359" t="s">
        <v>414</v>
      </c>
      <c r="B43" s="359"/>
      <c r="C43" s="359"/>
      <c r="D43" s="359"/>
      <c r="E43" s="359"/>
      <c r="F43" s="359"/>
      <c r="G43" s="359"/>
      <c r="H43" s="359"/>
    </row>
    <row r="44" spans="1:8" ht="15">
      <c r="A44" s="359" t="s">
        <v>415</v>
      </c>
      <c r="B44" s="359"/>
      <c r="C44" s="359"/>
      <c r="D44" s="359"/>
      <c r="E44" s="359"/>
      <c r="F44" s="359"/>
      <c r="G44" s="359"/>
      <c r="H44" s="359"/>
    </row>
    <row r="45" spans="1:8" ht="15">
      <c r="A45" s="359"/>
      <c r="B45" s="359"/>
      <c r="C45" s="359"/>
      <c r="D45" s="359"/>
      <c r="E45" s="359"/>
      <c r="F45" s="359"/>
      <c r="G45" s="359"/>
      <c r="H45" s="359"/>
    </row>
    <row r="46" spans="1:8" ht="15">
      <c r="A46" s="359" t="s">
        <v>416</v>
      </c>
      <c r="B46" s="359"/>
      <c r="C46" s="359"/>
      <c r="D46" s="359"/>
      <c r="E46" s="359"/>
      <c r="F46" s="359"/>
      <c r="G46" s="359"/>
      <c r="H46" s="359"/>
    </row>
    <row r="47" spans="1:8" ht="15">
      <c r="A47" s="359" t="s">
        <v>417</v>
      </c>
      <c r="B47" s="359"/>
      <c r="C47" s="359"/>
      <c r="D47" s="359"/>
      <c r="E47" s="359"/>
      <c r="F47" s="359"/>
      <c r="G47" s="359"/>
      <c r="H47" s="359"/>
    </row>
    <row r="48" spans="1:8" ht="15">
      <c r="A48" s="359" t="s">
        <v>418</v>
      </c>
      <c r="B48" s="359"/>
      <c r="C48" s="359"/>
      <c r="D48" s="359"/>
      <c r="E48" s="359"/>
      <c r="F48" s="359"/>
      <c r="G48" s="359"/>
      <c r="H48" s="359"/>
    </row>
    <row r="49" spans="1:8" ht="15">
      <c r="A49" s="359" t="s">
        <v>419</v>
      </c>
      <c r="B49" s="359"/>
      <c r="C49" s="359"/>
      <c r="D49" s="359"/>
      <c r="E49" s="359"/>
      <c r="F49" s="359"/>
      <c r="G49" s="359"/>
      <c r="H49" s="359"/>
    </row>
    <row r="50" spans="1:8" ht="15">
      <c r="A50" s="359" t="s">
        <v>420</v>
      </c>
      <c r="B50" s="359"/>
      <c r="C50" s="359"/>
      <c r="D50" s="359"/>
      <c r="E50" s="359"/>
      <c r="F50" s="359"/>
      <c r="G50" s="359"/>
      <c r="H50" s="359"/>
    </row>
    <row r="51" spans="1:8" ht="15">
      <c r="A51" s="359"/>
      <c r="B51" s="359"/>
      <c r="C51" s="359"/>
      <c r="D51" s="359"/>
      <c r="E51" s="359"/>
      <c r="F51" s="359"/>
      <c r="G51" s="359"/>
      <c r="H51" s="359"/>
    </row>
    <row r="52" spans="1:8" ht="15">
      <c r="A52" s="360" t="s">
        <v>421</v>
      </c>
      <c r="B52" s="360"/>
      <c r="C52" s="360"/>
      <c r="D52" s="360"/>
      <c r="E52" s="360"/>
      <c r="F52" s="360"/>
      <c r="G52" s="360"/>
      <c r="H52" s="359"/>
    </row>
    <row r="53" spans="1:8" ht="15">
      <c r="A53" s="360" t="s">
        <v>422</v>
      </c>
      <c r="B53" s="360"/>
      <c r="C53" s="360"/>
      <c r="D53" s="360"/>
      <c r="E53" s="360"/>
      <c r="F53" s="360"/>
      <c r="G53" s="360"/>
      <c r="H53" s="359"/>
    </row>
    <row r="54" spans="1:8" ht="15">
      <c r="A54" s="359"/>
      <c r="B54" s="359"/>
      <c r="C54" s="359"/>
      <c r="D54" s="359"/>
      <c r="E54" s="359"/>
      <c r="F54" s="359"/>
      <c r="G54" s="359"/>
      <c r="H54" s="359"/>
    </row>
    <row r="55" spans="1:8" ht="15">
      <c r="A55" s="359" t="s">
        <v>423</v>
      </c>
      <c r="B55" s="359"/>
      <c r="C55" s="359"/>
      <c r="D55" s="359"/>
      <c r="E55" s="359"/>
      <c r="F55" s="359"/>
      <c r="G55" s="359"/>
      <c r="H55" s="359"/>
    </row>
    <row r="56" spans="1:8" ht="15">
      <c r="A56" s="359" t="s">
        <v>424</v>
      </c>
      <c r="B56" s="359"/>
      <c r="C56" s="359"/>
      <c r="D56" s="359"/>
      <c r="E56" s="359"/>
      <c r="F56" s="359"/>
      <c r="G56" s="359"/>
      <c r="H56" s="359"/>
    </row>
    <row r="57" spans="1:8" ht="15">
      <c r="A57" s="359" t="s">
        <v>425</v>
      </c>
      <c r="B57" s="359"/>
      <c r="C57" s="359"/>
      <c r="D57" s="359"/>
      <c r="E57" s="359"/>
      <c r="F57" s="359"/>
      <c r="G57" s="359"/>
      <c r="H57" s="359"/>
    </row>
    <row r="58" spans="1:8" ht="15">
      <c r="A58" s="359" t="s">
        <v>426</v>
      </c>
      <c r="B58" s="359"/>
      <c r="C58" s="359"/>
      <c r="D58" s="359"/>
      <c r="E58" s="359"/>
      <c r="F58" s="359"/>
      <c r="G58" s="359"/>
      <c r="H58" s="359"/>
    </row>
    <row r="59" spans="1:8" ht="15">
      <c r="A59" s="359"/>
      <c r="B59" s="359"/>
      <c r="C59" s="359"/>
      <c r="D59" s="359"/>
      <c r="E59" s="359"/>
      <c r="F59" s="359"/>
      <c r="G59" s="359"/>
      <c r="H59" s="359"/>
    </row>
    <row r="60" spans="1:8" ht="15">
      <c r="A60" s="359" t="s">
        <v>427</v>
      </c>
      <c r="B60" s="359"/>
      <c r="C60" s="359"/>
      <c r="D60" s="359"/>
      <c r="E60" s="359"/>
      <c r="F60" s="359"/>
      <c r="G60" s="359"/>
      <c r="H60" s="359"/>
    </row>
    <row r="61" spans="1:8" ht="15">
      <c r="A61" s="359" t="s">
        <v>428</v>
      </c>
      <c r="B61" s="359"/>
      <c r="C61" s="359"/>
      <c r="D61" s="359"/>
      <c r="E61" s="359"/>
      <c r="F61" s="359"/>
      <c r="G61" s="359"/>
      <c r="H61" s="359"/>
    </row>
    <row r="62" spans="1:8" ht="15">
      <c r="A62" s="359" t="s">
        <v>429</v>
      </c>
      <c r="B62" s="359"/>
      <c r="C62" s="359"/>
      <c r="D62" s="359"/>
      <c r="E62" s="359"/>
      <c r="F62" s="359"/>
      <c r="G62" s="359"/>
      <c r="H62" s="359"/>
    </row>
    <row r="63" spans="1:8" ht="15">
      <c r="A63" s="359" t="s">
        <v>430</v>
      </c>
      <c r="B63" s="359"/>
      <c r="C63" s="359"/>
      <c r="D63" s="359"/>
      <c r="E63" s="359"/>
      <c r="F63" s="359"/>
      <c r="G63" s="359"/>
      <c r="H63" s="359"/>
    </row>
    <row r="64" spans="1:8" ht="15">
      <c r="A64" s="359" t="s">
        <v>431</v>
      </c>
      <c r="B64" s="359"/>
      <c r="C64" s="359"/>
      <c r="D64" s="359"/>
      <c r="E64" s="359"/>
      <c r="F64" s="359"/>
      <c r="G64" s="359"/>
      <c r="H64" s="359"/>
    </row>
    <row r="65" spans="1:8" ht="15">
      <c r="A65" s="359" t="s">
        <v>432</v>
      </c>
      <c r="B65" s="359"/>
      <c r="C65" s="359"/>
      <c r="D65" s="359"/>
      <c r="E65" s="359"/>
      <c r="F65" s="359"/>
      <c r="G65" s="359"/>
      <c r="H65" s="359"/>
    </row>
    <row r="66" spans="1:8" ht="15">
      <c r="A66" s="359"/>
      <c r="B66" s="359"/>
      <c r="C66" s="359"/>
      <c r="D66" s="359"/>
      <c r="E66" s="359"/>
      <c r="F66" s="359"/>
      <c r="G66" s="359"/>
      <c r="H66" s="359"/>
    </row>
    <row r="67" spans="1:8" ht="15">
      <c r="A67" s="359" t="s">
        <v>433</v>
      </c>
      <c r="B67" s="359"/>
      <c r="C67" s="359"/>
      <c r="D67" s="359"/>
      <c r="E67" s="359"/>
      <c r="F67" s="359"/>
      <c r="G67" s="359"/>
      <c r="H67" s="359"/>
    </row>
    <row r="68" spans="1:8" ht="15">
      <c r="A68" s="359" t="s">
        <v>434</v>
      </c>
      <c r="B68" s="359"/>
      <c r="C68" s="359"/>
      <c r="D68" s="359"/>
      <c r="E68" s="359"/>
      <c r="F68" s="359"/>
      <c r="G68" s="359"/>
      <c r="H68" s="359"/>
    </row>
    <row r="69" spans="1:8" ht="15">
      <c r="A69" s="359" t="s">
        <v>435</v>
      </c>
      <c r="B69" s="359"/>
      <c r="C69" s="359"/>
      <c r="D69" s="359"/>
      <c r="E69" s="359"/>
      <c r="F69" s="359"/>
      <c r="G69" s="359"/>
      <c r="H69" s="359"/>
    </row>
    <row r="70" spans="1:8" ht="15">
      <c r="A70" s="359" t="s">
        <v>436</v>
      </c>
      <c r="B70" s="359"/>
      <c r="C70" s="359"/>
      <c r="D70" s="359"/>
      <c r="E70" s="359"/>
      <c r="F70" s="359"/>
      <c r="G70" s="359"/>
      <c r="H70" s="359"/>
    </row>
    <row r="71" spans="1:8" ht="15">
      <c r="A71" s="359" t="s">
        <v>437</v>
      </c>
      <c r="B71" s="359"/>
      <c r="C71" s="359"/>
      <c r="D71" s="359"/>
      <c r="E71" s="359"/>
      <c r="F71" s="359"/>
      <c r="G71" s="359"/>
      <c r="H71" s="359"/>
    </row>
    <row r="72" spans="1:8" ht="15">
      <c r="A72" s="359" t="s">
        <v>438</v>
      </c>
      <c r="B72" s="359"/>
      <c r="C72" s="359"/>
      <c r="D72" s="359"/>
      <c r="E72" s="359"/>
      <c r="F72" s="359"/>
      <c r="G72" s="359"/>
      <c r="H72" s="359"/>
    </row>
    <row r="73" spans="1:8" ht="15">
      <c r="A73" s="359" t="s">
        <v>439</v>
      </c>
      <c r="B73" s="359"/>
      <c r="C73" s="359"/>
      <c r="D73" s="359"/>
      <c r="E73" s="359"/>
      <c r="F73" s="359"/>
      <c r="G73" s="359"/>
      <c r="H73" s="359"/>
    </row>
    <row r="74" spans="1:8" ht="15">
      <c r="A74" s="359"/>
      <c r="B74" s="359"/>
      <c r="C74" s="359"/>
      <c r="D74" s="359"/>
      <c r="E74" s="359"/>
      <c r="F74" s="359"/>
      <c r="G74" s="359"/>
      <c r="H74" s="359"/>
    </row>
    <row r="75" spans="1:8" ht="15">
      <c r="A75" s="359" t="s">
        <v>440</v>
      </c>
      <c r="B75" s="359"/>
      <c r="C75" s="359"/>
      <c r="D75" s="359"/>
      <c r="E75" s="359"/>
      <c r="F75" s="359"/>
      <c r="G75" s="359"/>
      <c r="H75" s="359"/>
    </row>
    <row r="76" spans="1:8" ht="15">
      <c r="A76" s="359" t="s">
        <v>441</v>
      </c>
      <c r="B76" s="359"/>
      <c r="C76" s="359"/>
      <c r="D76" s="359"/>
      <c r="E76" s="359"/>
      <c r="F76" s="359"/>
      <c r="G76" s="359"/>
      <c r="H76" s="359"/>
    </row>
    <row r="77" spans="1:8" ht="15">
      <c r="A77" s="359" t="s">
        <v>442</v>
      </c>
      <c r="B77" s="359"/>
      <c r="C77" s="359"/>
      <c r="D77" s="359"/>
      <c r="E77" s="359"/>
      <c r="F77" s="359"/>
      <c r="G77" s="359"/>
      <c r="H77" s="359"/>
    </row>
    <row r="78" spans="1:8" ht="15">
      <c r="A78" s="359"/>
      <c r="B78" s="359"/>
      <c r="C78" s="359"/>
      <c r="D78" s="359"/>
      <c r="E78" s="359"/>
      <c r="F78" s="359"/>
      <c r="G78" s="359"/>
      <c r="H78" s="359"/>
    </row>
    <row r="79" ht="15">
      <c r="A79" s="359" t="s">
        <v>387</v>
      </c>
    </row>
    <row r="80" ht="15">
      <c r="A80" s="360"/>
    </row>
    <row r="81" ht="15">
      <c r="A81" s="359"/>
    </row>
    <row r="82" ht="15">
      <c r="A82" s="359"/>
    </row>
    <row r="83" ht="15">
      <c r="A83" s="359"/>
    </row>
    <row r="84" ht="15">
      <c r="A84" s="359"/>
    </row>
    <row r="85" ht="15">
      <c r="A85" s="359"/>
    </row>
    <row r="86" ht="15">
      <c r="A86" s="359"/>
    </row>
    <row r="87" ht="15">
      <c r="A87" s="359"/>
    </row>
    <row r="88" ht="15">
      <c r="A88" s="359"/>
    </row>
    <row r="89" ht="15">
      <c r="A89" s="359"/>
    </row>
    <row r="90" ht="15">
      <c r="A90" s="359"/>
    </row>
    <row r="91" ht="15">
      <c r="A91" s="359"/>
    </row>
    <row r="92" ht="15">
      <c r="A92" s="359"/>
    </row>
    <row r="93" ht="15">
      <c r="A93" s="359"/>
    </row>
    <row r="94" ht="15">
      <c r="A94" s="359"/>
    </row>
    <row r="95" ht="15">
      <c r="A95" s="359"/>
    </row>
    <row r="96" ht="15">
      <c r="A96" s="359"/>
    </row>
    <row r="97" ht="15">
      <c r="A97" s="359"/>
    </row>
    <row r="98" ht="15">
      <c r="A98" s="359"/>
    </row>
    <row r="99" ht="15">
      <c r="A99" s="359"/>
    </row>
    <row r="100" ht="15">
      <c r="A100" s="359"/>
    </row>
    <row r="101" ht="15">
      <c r="A101" s="359"/>
    </row>
    <row r="103" ht="15">
      <c r="A103" s="359"/>
    </row>
    <row r="104" ht="15">
      <c r="A104" s="359"/>
    </row>
    <row r="105" ht="15">
      <c r="A105" s="359"/>
    </row>
    <row r="107" ht="15">
      <c r="A107" s="360"/>
    </row>
    <row r="108" ht="15">
      <c r="A108" s="360"/>
    </row>
    <row r="109" ht="15">
      <c r="A109" s="360"/>
    </row>
  </sheetData>
  <sheetProtection sheet="1"/>
  <printOptions/>
  <pageMargins left="0.7" right="0.7" top="0.75" bottom="0.75" header="0.3" footer="0.3"/>
  <pageSetup horizontalDpi="600" verticalDpi="600" orientation="portrait" r:id="rId1"/>
  <headerFooter>
    <oddFooter>&amp;Lrevised 9/25/09</oddFooter>
  </headerFooter>
</worksheet>
</file>

<file path=xl/worksheets/sheet18.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8" t="s">
        <v>443</v>
      </c>
      <c r="B3" s="358"/>
      <c r="C3" s="358"/>
      <c r="D3" s="358"/>
      <c r="E3" s="358"/>
      <c r="F3" s="358"/>
      <c r="G3" s="358"/>
      <c r="H3" s="358"/>
      <c r="I3" s="358"/>
      <c r="J3" s="358"/>
      <c r="K3" s="358"/>
      <c r="L3" s="358"/>
    </row>
    <row r="4" spans="1:12" ht="15">
      <c r="A4" s="358"/>
      <c r="B4" s="358"/>
      <c r="C4" s="358"/>
      <c r="D4" s="358"/>
      <c r="E4" s="358"/>
      <c r="F4" s="358"/>
      <c r="G4" s="358"/>
      <c r="H4" s="358"/>
      <c r="I4" s="358"/>
      <c r="J4" s="358"/>
      <c r="K4" s="358"/>
      <c r="L4" s="358"/>
    </row>
    <row r="5" spans="1:12" ht="15">
      <c r="A5" s="359" t="s">
        <v>340</v>
      </c>
      <c r="I5" s="358"/>
      <c r="J5" s="358"/>
      <c r="K5" s="358"/>
      <c r="L5" s="358"/>
    </row>
    <row r="6" spans="1:12" ht="15">
      <c r="A6" s="359" t="str">
        <f>CONCATENATE("estimated ",inputPrYr!D6-1," 'total expenditures' exceed your ",inputPrYr!D6-1,"")</f>
        <v>estimated 2010 'total expenditures' exceed your 2010</v>
      </c>
      <c r="I6" s="358"/>
      <c r="J6" s="358"/>
      <c r="K6" s="358"/>
      <c r="L6" s="358"/>
    </row>
    <row r="7" spans="1:12" ht="15">
      <c r="A7" s="362" t="s">
        <v>444</v>
      </c>
      <c r="I7" s="358"/>
      <c r="J7" s="358"/>
      <c r="K7" s="358"/>
      <c r="L7" s="358"/>
    </row>
    <row r="8" spans="1:12" ht="15">
      <c r="A8" s="359"/>
      <c r="I8" s="358"/>
      <c r="J8" s="358"/>
      <c r="K8" s="358"/>
      <c r="L8" s="358"/>
    </row>
    <row r="9" spans="1:12" ht="15">
      <c r="A9" s="359" t="s">
        <v>445</v>
      </c>
      <c r="I9" s="358"/>
      <c r="J9" s="358"/>
      <c r="K9" s="358"/>
      <c r="L9" s="358"/>
    </row>
    <row r="10" spans="1:12" ht="15">
      <c r="A10" s="359" t="s">
        <v>446</v>
      </c>
      <c r="I10" s="358"/>
      <c r="J10" s="358"/>
      <c r="K10" s="358"/>
      <c r="L10" s="358"/>
    </row>
    <row r="11" spans="1:12" ht="15">
      <c r="A11" s="359" t="s">
        <v>447</v>
      </c>
      <c r="I11" s="358"/>
      <c r="J11" s="358"/>
      <c r="K11" s="358"/>
      <c r="L11" s="358"/>
    </row>
    <row r="12" spans="1:12" ht="15">
      <c r="A12" s="359" t="s">
        <v>448</v>
      </c>
      <c r="I12" s="358"/>
      <c r="J12" s="358"/>
      <c r="K12" s="358"/>
      <c r="L12" s="358"/>
    </row>
    <row r="13" spans="1:12" ht="15">
      <c r="A13" s="359" t="s">
        <v>449</v>
      </c>
      <c r="I13" s="358"/>
      <c r="J13" s="358"/>
      <c r="K13" s="358"/>
      <c r="L13" s="358"/>
    </row>
    <row r="14" spans="1:12" ht="15">
      <c r="A14" s="358"/>
      <c r="B14" s="358"/>
      <c r="C14" s="358"/>
      <c r="D14" s="358"/>
      <c r="E14" s="358"/>
      <c r="F14" s="358"/>
      <c r="G14" s="358"/>
      <c r="H14" s="358"/>
      <c r="I14" s="358"/>
      <c r="J14" s="358"/>
      <c r="K14" s="358"/>
      <c r="L14" s="358"/>
    </row>
    <row r="15" ht="15">
      <c r="A15" s="360" t="s">
        <v>450</v>
      </c>
    </row>
    <row r="16" ht="15">
      <c r="A16" s="360" t="s">
        <v>451</v>
      </c>
    </row>
    <row r="17" ht="15">
      <c r="A17" s="360"/>
    </row>
    <row r="18" spans="1:7" ht="15">
      <c r="A18" s="359" t="s">
        <v>452</v>
      </c>
      <c r="B18" s="359"/>
      <c r="C18" s="359"/>
      <c r="D18" s="359"/>
      <c r="E18" s="359"/>
      <c r="F18" s="359"/>
      <c r="G18" s="359"/>
    </row>
    <row r="19" spans="1:7" ht="15">
      <c r="A19" s="359" t="str">
        <f>CONCATENATE("your ",inputPrYr!D6-1," numbers to see what steps might be necessary to")</f>
        <v>your 2010 numbers to see what steps might be necessary to</v>
      </c>
      <c r="B19" s="359"/>
      <c r="C19" s="359"/>
      <c r="D19" s="359"/>
      <c r="E19" s="359"/>
      <c r="F19" s="359"/>
      <c r="G19" s="359"/>
    </row>
    <row r="20" spans="1:7" ht="15">
      <c r="A20" s="359" t="s">
        <v>453</v>
      </c>
      <c r="B20" s="359"/>
      <c r="C20" s="359"/>
      <c r="D20" s="359"/>
      <c r="E20" s="359"/>
      <c r="F20" s="359"/>
      <c r="G20" s="359"/>
    </row>
    <row r="21" spans="1:7" ht="15">
      <c r="A21" s="359" t="s">
        <v>454</v>
      </c>
      <c r="B21" s="359"/>
      <c r="C21" s="359"/>
      <c r="D21" s="359"/>
      <c r="E21" s="359"/>
      <c r="F21" s="359"/>
      <c r="G21" s="359"/>
    </row>
    <row r="22" ht="15">
      <c r="A22" s="359"/>
    </row>
    <row r="23" ht="15">
      <c r="A23" s="360" t="s">
        <v>455</v>
      </c>
    </row>
    <row r="24" ht="15">
      <c r="A24" s="360"/>
    </row>
    <row r="25" ht="15">
      <c r="A25" s="359" t="s">
        <v>456</v>
      </c>
    </row>
    <row r="26" spans="1:6" ht="15">
      <c r="A26" s="359" t="s">
        <v>457</v>
      </c>
      <c r="B26" s="359"/>
      <c r="C26" s="359"/>
      <c r="D26" s="359"/>
      <c r="E26" s="359"/>
      <c r="F26" s="359"/>
    </row>
    <row r="27" spans="1:6" ht="15">
      <c r="A27" s="359" t="s">
        <v>458</v>
      </c>
      <c r="B27" s="359"/>
      <c r="C27" s="359"/>
      <c r="D27" s="359"/>
      <c r="E27" s="359"/>
      <c r="F27" s="359"/>
    </row>
    <row r="28" spans="1:6" ht="15">
      <c r="A28" s="359" t="s">
        <v>459</v>
      </c>
      <c r="B28" s="359"/>
      <c r="C28" s="359"/>
      <c r="D28" s="359"/>
      <c r="E28" s="359"/>
      <c r="F28" s="359"/>
    </row>
    <row r="29" spans="1:6" ht="15">
      <c r="A29" s="359"/>
      <c r="B29" s="359"/>
      <c r="C29" s="359"/>
      <c r="D29" s="359"/>
      <c r="E29" s="359"/>
      <c r="F29" s="359"/>
    </row>
    <row r="30" spans="1:7" ht="15">
      <c r="A30" s="360" t="s">
        <v>460</v>
      </c>
      <c r="B30" s="360"/>
      <c r="C30" s="360"/>
      <c r="D30" s="360"/>
      <c r="E30" s="360"/>
      <c r="F30" s="360"/>
      <c r="G30" s="360"/>
    </row>
    <row r="31" spans="1:7" ht="15">
      <c r="A31" s="360" t="s">
        <v>461</v>
      </c>
      <c r="B31" s="360"/>
      <c r="C31" s="360"/>
      <c r="D31" s="360"/>
      <c r="E31" s="360"/>
      <c r="F31" s="360"/>
      <c r="G31" s="360"/>
    </row>
    <row r="32" spans="1:6" ht="15">
      <c r="A32" s="359"/>
      <c r="B32" s="359"/>
      <c r="C32" s="359"/>
      <c r="D32" s="359"/>
      <c r="E32" s="359"/>
      <c r="F32" s="359"/>
    </row>
    <row r="33" spans="1:6" ht="15">
      <c r="A33" s="351" t="str">
        <f>CONCATENATE("Well, let's look to see if any of your ",inputPrYr!D6-1," expenditures can")</f>
        <v>Well, let's look to see if any of your 2010 expenditures can</v>
      </c>
      <c r="B33" s="359"/>
      <c r="C33" s="359"/>
      <c r="D33" s="359"/>
      <c r="E33" s="359"/>
      <c r="F33" s="359"/>
    </row>
    <row r="34" spans="1:6" ht="15">
      <c r="A34" s="351" t="s">
        <v>462</v>
      </c>
      <c r="B34" s="359"/>
      <c r="C34" s="359"/>
      <c r="D34" s="359"/>
      <c r="E34" s="359"/>
      <c r="F34" s="359"/>
    </row>
    <row r="35" spans="1:6" ht="15">
      <c r="A35" s="351" t="s">
        <v>354</v>
      </c>
      <c r="B35" s="359"/>
      <c r="C35" s="359"/>
      <c r="D35" s="359"/>
      <c r="E35" s="359"/>
      <c r="F35" s="359"/>
    </row>
    <row r="36" spans="1:6" ht="15">
      <c r="A36" s="351" t="s">
        <v>355</v>
      </c>
      <c r="B36" s="359"/>
      <c r="C36" s="359"/>
      <c r="D36" s="359"/>
      <c r="E36" s="359"/>
      <c r="F36" s="359"/>
    </row>
    <row r="37" spans="1:6" ht="15">
      <c r="A37" s="351"/>
      <c r="B37" s="359"/>
      <c r="C37" s="359"/>
      <c r="D37" s="359"/>
      <c r="E37" s="359"/>
      <c r="F37" s="359"/>
    </row>
    <row r="38" spans="1:6" ht="15">
      <c r="A38" s="351" t="str">
        <f>CONCATENATE("Additionally, do your ",inputPrYr!D6-1," receipts contain a reimbursement")</f>
        <v>Additionally, do your 2010 receipts contain a reimbursement</v>
      </c>
      <c r="B38" s="359"/>
      <c r="C38" s="359"/>
      <c r="D38" s="359"/>
      <c r="E38" s="359"/>
      <c r="F38" s="359"/>
    </row>
    <row r="39" spans="1:6" ht="15">
      <c r="A39" s="351" t="s">
        <v>356</v>
      </c>
      <c r="B39" s="359"/>
      <c r="C39" s="359"/>
      <c r="D39" s="359"/>
      <c r="E39" s="359"/>
      <c r="F39" s="359"/>
    </row>
    <row r="40" spans="1:6" ht="15">
      <c r="A40" s="351" t="s">
        <v>357</v>
      </c>
      <c r="B40" s="359"/>
      <c r="C40" s="359"/>
      <c r="D40" s="359"/>
      <c r="E40" s="359"/>
      <c r="F40" s="359"/>
    </row>
    <row r="41" spans="1:6" ht="15">
      <c r="A41" s="351"/>
      <c r="B41" s="359"/>
      <c r="C41" s="359"/>
      <c r="D41" s="359"/>
      <c r="E41" s="359"/>
      <c r="F41" s="359"/>
    </row>
    <row r="42" spans="1:6" ht="15">
      <c r="A42" s="351" t="s">
        <v>463</v>
      </c>
      <c r="B42" s="359"/>
      <c r="C42" s="359"/>
      <c r="D42" s="359"/>
      <c r="E42" s="359"/>
      <c r="F42" s="359"/>
    </row>
    <row r="43" spans="1:6" ht="15">
      <c r="A43" s="351" t="s">
        <v>464</v>
      </c>
      <c r="B43" s="359"/>
      <c r="C43" s="359"/>
      <c r="D43" s="359"/>
      <c r="E43" s="359"/>
      <c r="F43" s="359"/>
    </row>
    <row r="44" spans="1:6" ht="15">
      <c r="A44" s="351" t="s">
        <v>465</v>
      </c>
      <c r="B44" s="359"/>
      <c r="C44" s="359"/>
      <c r="D44" s="359"/>
      <c r="E44" s="359"/>
      <c r="F44" s="359"/>
    </row>
    <row r="45" spans="1:6" ht="15">
      <c r="A45" s="351" t="s">
        <v>466</v>
      </c>
      <c r="B45" s="359"/>
      <c r="C45" s="359"/>
      <c r="D45" s="359"/>
      <c r="E45" s="359"/>
      <c r="F45" s="359"/>
    </row>
    <row r="46" spans="1:6" ht="15">
      <c r="A46" s="351" t="s">
        <v>467</v>
      </c>
      <c r="B46" s="359"/>
      <c r="C46" s="359"/>
      <c r="D46" s="359"/>
      <c r="E46" s="359"/>
      <c r="F46" s="359"/>
    </row>
    <row r="47" spans="1:6" ht="15">
      <c r="A47" s="351"/>
      <c r="B47" s="359"/>
      <c r="C47" s="359"/>
      <c r="D47" s="359"/>
      <c r="E47" s="359"/>
      <c r="F47" s="359"/>
    </row>
    <row r="48" spans="1:6" ht="15">
      <c r="A48" s="352" t="s">
        <v>468</v>
      </c>
      <c r="B48" s="359"/>
      <c r="C48" s="359"/>
      <c r="D48" s="359"/>
      <c r="E48" s="359"/>
      <c r="F48" s="359"/>
    </row>
    <row r="49" spans="1:6" ht="15">
      <c r="A49" s="352" t="s">
        <v>469</v>
      </c>
      <c r="B49" s="359"/>
      <c r="C49" s="359"/>
      <c r="D49" s="359"/>
      <c r="E49" s="359"/>
      <c r="F49" s="359"/>
    </row>
    <row r="50" spans="1:6" ht="15">
      <c r="A50" s="352" t="s">
        <v>470</v>
      </c>
      <c r="B50" s="359"/>
      <c r="C50" s="359"/>
      <c r="D50" s="359"/>
      <c r="E50" s="359"/>
      <c r="F50" s="359"/>
    </row>
    <row r="51" ht="15">
      <c r="A51" s="352" t="s">
        <v>471</v>
      </c>
    </row>
    <row r="52" ht="15">
      <c r="A52" s="352" t="s">
        <v>472</v>
      </c>
    </row>
    <row r="53" ht="15">
      <c r="A53" s="352" t="s">
        <v>473</v>
      </c>
    </row>
    <row r="55" ht="15">
      <c r="A55" s="359" t="s">
        <v>474</v>
      </c>
    </row>
    <row r="56" ht="15">
      <c r="A56" s="359" t="s">
        <v>475</v>
      </c>
    </row>
    <row r="57" ht="15">
      <c r="A57" s="359" t="s">
        <v>476</v>
      </c>
    </row>
    <row r="58" ht="15">
      <c r="A58" s="359" t="s">
        <v>477</v>
      </c>
    </row>
    <row r="59" ht="15">
      <c r="A59" s="359" t="s">
        <v>478</v>
      </c>
    </row>
    <row r="60" ht="15">
      <c r="A60" s="359" t="s">
        <v>479</v>
      </c>
    </row>
    <row r="62" ht="15">
      <c r="A62" s="359" t="s">
        <v>387</v>
      </c>
    </row>
  </sheetData>
  <sheetProtection sheet="1"/>
  <printOptions/>
  <pageMargins left="0.7" right="0.7" top="0.75" bottom="0.75" header="0.3" footer="0.3"/>
  <pageSetup blackAndWhite="1" horizontalDpi="600" verticalDpi="600" orientation="portrait" r:id="rId1"/>
  <headerFooter>
    <oddFooter>&amp;Lrevised 9/25/09</oddFooter>
  </headerFooter>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8" t="s">
        <v>480</v>
      </c>
      <c r="B3" s="358"/>
      <c r="C3" s="358"/>
      <c r="D3" s="358"/>
      <c r="E3" s="358"/>
      <c r="F3" s="358"/>
      <c r="G3" s="358"/>
    </row>
    <row r="4" spans="1:7" ht="15">
      <c r="A4" s="358"/>
      <c r="B4" s="358"/>
      <c r="C4" s="358"/>
      <c r="D4" s="358"/>
      <c r="E4" s="358"/>
      <c r="F4" s="358"/>
      <c r="G4" s="358"/>
    </row>
    <row r="5" ht="15">
      <c r="A5" s="359" t="s">
        <v>389</v>
      </c>
    </row>
    <row r="6" ht="15">
      <c r="A6" s="359" t="str">
        <f>CONCATENATE(inputPrYr!D6-1," estimated expenditures show that at the end of this year")</f>
        <v>2010 estimated expenditures show that at the end of this year</v>
      </c>
    </row>
    <row r="7" ht="15">
      <c r="A7" s="359" t="s">
        <v>481</v>
      </c>
    </row>
    <row r="8" ht="15">
      <c r="A8" s="359" t="s">
        <v>482</v>
      </c>
    </row>
    <row r="10" ht="15">
      <c r="A10" t="s">
        <v>391</v>
      </c>
    </row>
    <row r="11" ht="15">
      <c r="A11" t="s">
        <v>392</v>
      </c>
    </row>
    <row r="12" ht="15">
      <c r="A12" t="s">
        <v>393</v>
      </c>
    </row>
    <row r="13" spans="1:7" ht="15">
      <c r="A13" s="358"/>
      <c r="B13" s="358"/>
      <c r="C13" s="358"/>
      <c r="D13" s="358"/>
      <c r="E13" s="358"/>
      <c r="F13" s="358"/>
      <c r="G13" s="358"/>
    </row>
    <row r="14" ht="15">
      <c r="A14" s="360" t="s">
        <v>483</v>
      </c>
    </row>
    <row r="15" ht="15">
      <c r="A15" s="359"/>
    </row>
    <row r="16" ht="15">
      <c r="A16" s="359" t="s">
        <v>484</v>
      </c>
    </row>
    <row r="17" ht="15">
      <c r="A17" s="359" t="s">
        <v>485</v>
      </c>
    </row>
    <row r="18" ht="15">
      <c r="A18" s="359" t="s">
        <v>486</v>
      </c>
    </row>
    <row r="19" ht="15">
      <c r="A19" s="359"/>
    </row>
    <row r="20" ht="15">
      <c r="A20" s="359" t="s">
        <v>487</v>
      </c>
    </row>
    <row r="21" ht="15">
      <c r="A21" s="359" t="s">
        <v>488</v>
      </c>
    </row>
    <row r="22" ht="15">
      <c r="A22" s="359" t="s">
        <v>489</v>
      </c>
    </row>
    <row r="23" ht="15">
      <c r="A23" s="359" t="s">
        <v>490</v>
      </c>
    </row>
    <row r="24" ht="15">
      <c r="A24" s="359"/>
    </row>
    <row r="25" ht="15">
      <c r="A25" s="360" t="s">
        <v>455</v>
      </c>
    </row>
    <row r="26" ht="15">
      <c r="A26" s="360"/>
    </row>
    <row r="27" ht="15">
      <c r="A27" s="359" t="s">
        <v>456</v>
      </c>
    </row>
    <row r="28" spans="1:6" ht="15">
      <c r="A28" s="359" t="s">
        <v>457</v>
      </c>
      <c r="B28" s="359"/>
      <c r="C28" s="359"/>
      <c r="D28" s="359"/>
      <c r="E28" s="359"/>
      <c r="F28" s="359"/>
    </row>
    <row r="29" spans="1:6" ht="15">
      <c r="A29" s="359" t="s">
        <v>458</v>
      </c>
      <c r="B29" s="359"/>
      <c r="C29" s="359"/>
      <c r="D29" s="359"/>
      <c r="E29" s="359"/>
      <c r="F29" s="359"/>
    </row>
    <row r="30" spans="1:6" ht="15">
      <c r="A30" s="359" t="s">
        <v>459</v>
      </c>
      <c r="B30" s="359"/>
      <c r="C30" s="359"/>
      <c r="D30" s="359"/>
      <c r="E30" s="359"/>
      <c r="F30" s="359"/>
    </row>
    <row r="31" ht="15">
      <c r="A31" s="359"/>
    </row>
    <row r="32" spans="1:7" ht="15">
      <c r="A32" s="360" t="s">
        <v>460</v>
      </c>
      <c r="B32" s="360"/>
      <c r="C32" s="360"/>
      <c r="D32" s="360"/>
      <c r="E32" s="360"/>
      <c r="F32" s="360"/>
      <c r="G32" s="360"/>
    </row>
    <row r="33" spans="1:7" ht="15">
      <c r="A33" s="360" t="s">
        <v>461</v>
      </c>
      <c r="B33" s="360"/>
      <c r="C33" s="360"/>
      <c r="D33" s="360"/>
      <c r="E33" s="360"/>
      <c r="F33" s="360"/>
      <c r="G33" s="360"/>
    </row>
    <row r="34" spans="1:7" ht="15">
      <c r="A34" s="360"/>
      <c r="B34" s="360"/>
      <c r="C34" s="360"/>
      <c r="D34" s="360"/>
      <c r="E34" s="360"/>
      <c r="F34" s="360"/>
      <c r="G34" s="360"/>
    </row>
    <row r="35" spans="1:7" ht="15">
      <c r="A35" s="359" t="s">
        <v>491</v>
      </c>
      <c r="B35" s="359"/>
      <c r="C35" s="359"/>
      <c r="D35" s="359"/>
      <c r="E35" s="359"/>
      <c r="F35" s="359"/>
      <c r="G35" s="359"/>
    </row>
    <row r="36" spans="1:7" ht="15">
      <c r="A36" s="359" t="s">
        <v>492</v>
      </c>
      <c r="B36" s="359"/>
      <c r="C36" s="359"/>
      <c r="D36" s="359"/>
      <c r="E36" s="359"/>
      <c r="F36" s="359"/>
      <c r="G36" s="359"/>
    </row>
    <row r="37" spans="1:7" ht="15">
      <c r="A37" s="359" t="s">
        <v>493</v>
      </c>
      <c r="B37" s="359"/>
      <c r="C37" s="359"/>
      <c r="D37" s="359"/>
      <c r="E37" s="359"/>
      <c r="F37" s="359"/>
      <c r="G37" s="359"/>
    </row>
    <row r="38" spans="1:7" ht="15">
      <c r="A38" s="359" t="s">
        <v>494</v>
      </c>
      <c r="B38" s="359"/>
      <c r="C38" s="359"/>
      <c r="D38" s="359"/>
      <c r="E38" s="359"/>
      <c r="F38" s="359"/>
      <c r="G38" s="359"/>
    </row>
    <row r="39" spans="1:7" ht="15">
      <c r="A39" s="359" t="s">
        <v>495</v>
      </c>
      <c r="B39" s="359"/>
      <c r="C39" s="359"/>
      <c r="D39" s="359"/>
      <c r="E39" s="359"/>
      <c r="F39" s="359"/>
      <c r="G39" s="359"/>
    </row>
    <row r="40" spans="1:7" ht="15">
      <c r="A40" s="360"/>
      <c r="B40" s="360"/>
      <c r="C40" s="360"/>
      <c r="D40" s="360"/>
      <c r="E40" s="360"/>
      <c r="F40" s="360"/>
      <c r="G40" s="360"/>
    </row>
    <row r="41" spans="1:6" ht="15">
      <c r="A41" s="351" t="str">
        <f>CONCATENATE("So, let's look to see if any of your ",inputPrYr!D6-1," expenditures can")</f>
        <v>So, let's look to see if any of your 2010 expenditures can</v>
      </c>
      <c r="B41" s="359"/>
      <c r="C41" s="359"/>
      <c r="D41" s="359"/>
      <c r="E41" s="359"/>
      <c r="F41" s="359"/>
    </row>
    <row r="42" spans="1:6" ht="15">
      <c r="A42" s="351" t="s">
        <v>462</v>
      </c>
      <c r="B42" s="359"/>
      <c r="C42" s="359"/>
      <c r="D42" s="359"/>
      <c r="E42" s="359"/>
      <c r="F42" s="359"/>
    </row>
    <row r="43" spans="1:6" ht="15">
      <c r="A43" s="351" t="s">
        <v>354</v>
      </c>
      <c r="B43" s="359"/>
      <c r="C43" s="359"/>
      <c r="D43" s="359"/>
      <c r="E43" s="359"/>
      <c r="F43" s="359"/>
    </row>
    <row r="44" spans="1:6" ht="15">
      <c r="A44" s="351" t="s">
        <v>355</v>
      </c>
      <c r="B44" s="359"/>
      <c r="C44" s="359"/>
      <c r="D44" s="359"/>
      <c r="E44" s="359"/>
      <c r="F44" s="359"/>
    </row>
    <row r="45" ht="15">
      <c r="A45" s="359"/>
    </row>
    <row r="46" spans="1:6" ht="15">
      <c r="A46" s="351" t="str">
        <f>CONCATENATE("Additionally, do your ",inputPrYr!D6-1," receipts contain a reimbursement")</f>
        <v>Additionally, do your 2010 receipts contain a reimbursement</v>
      </c>
      <c r="B46" s="359"/>
      <c r="C46" s="359"/>
      <c r="D46" s="359"/>
      <c r="E46" s="359"/>
      <c r="F46" s="359"/>
    </row>
    <row r="47" spans="1:6" ht="15">
      <c r="A47" s="351" t="s">
        <v>356</v>
      </c>
      <c r="B47" s="359"/>
      <c r="C47" s="359"/>
      <c r="D47" s="359"/>
      <c r="E47" s="359"/>
      <c r="F47" s="359"/>
    </row>
    <row r="48" spans="1:6" ht="15">
      <c r="A48" s="351" t="s">
        <v>357</v>
      </c>
      <c r="B48" s="359"/>
      <c r="C48" s="359"/>
      <c r="D48" s="359"/>
      <c r="E48" s="359"/>
      <c r="F48" s="359"/>
    </row>
    <row r="49" spans="1:7" ht="15">
      <c r="A49" s="359"/>
      <c r="B49" s="359"/>
      <c r="C49" s="359"/>
      <c r="D49" s="359"/>
      <c r="E49" s="359"/>
      <c r="F49" s="359"/>
      <c r="G49" s="359"/>
    </row>
    <row r="50" spans="1:7" ht="15">
      <c r="A50" s="359" t="s">
        <v>416</v>
      </c>
      <c r="B50" s="359"/>
      <c r="C50" s="359"/>
      <c r="D50" s="359"/>
      <c r="E50" s="359"/>
      <c r="F50" s="359"/>
      <c r="G50" s="359"/>
    </row>
    <row r="51" spans="1:7" ht="15">
      <c r="A51" s="359" t="s">
        <v>417</v>
      </c>
      <c r="B51" s="359"/>
      <c r="C51" s="359"/>
      <c r="D51" s="359"/>
      <c r="E51" s="359"/>
      <c r="F51" s="359"/>
      <c r="G51" s="359"/>
    </row>
    <row r="52" spans="1:7" ht="15">
      <c r="A52" s="359" t="s">
        <v>418</v>
      </c>
      <c r="B52" s="359"/>
      <c r="C52" s="359"/>
      <c r="D52" s="359"/>
      <c r="E52" s="359"/>
      <c r="F52" s="359"/>
      <c r="G52" s="359"/>
    </row>
    <row r="53" spans="1:7" ht="15">
      <c r="A53" s="359" t="s">
        <v>419</v>
      </c>
      <c r="B53" s="359"/>
      <c r="C53" s="359"/>
      <c r="D53" s="359"/>
      <c r="E53" s="359"/>
      <c r="F53" s="359"/>
      <c r="G53" s="359"/>
    </row>
    <row r="54" spans="1:7" ht="15">
      <c r="A54" s="359" t="s">
        <v>420</v>
      </c>
      <c r="B54" s="359"/>
      <c r="C54" s="359"/>
      <c r="D54" s="359"/>
      <c r="E54" s="359"/>
      <c r="F54" s="359"/>
      <c r="G54" s="359"/>
    </row>
    <row r="55" spans="1:7" ht="15">
      <c r="A55" s="359"/>
      <c r="B55" s="359"/>
      <c r="C55" s="359"/>
      <c r="D55" s="359"/>
      <c r="E55" s="359"/>
      <c r="F55" s="359"/>
      <c r="G55" s="359"/>
    </row>
    <row r="56" spans="1:6" ht="15">
      <c r="A56" s="351" t="s">
        <v>358</v>
      </c>
      <c r="B56" s="359"/>
      <c r="C56" s="359"/>
      <c r="D56" s="359"/>
      <c r="E56" s="359"/>
      <c r="F56" s="359"/>
    </row>
    <row r="57" spans="1:6" ht="15">
      <c r="A57" s="351" t="s">
        <v>359</v>
      </c>
      <c r="B57" s="359"/>
      <c r="C57" s="359"/>
      <c r="D57" s="359"/>
      <c r="E57" s="359"/>
      <c r="F57" s="359"/>
    </row>
    <row r="58" spans="1:6" ht="15">
      <c r="A58" s="351" t="s">
        <v>360</v>
      </c>
      <c r="B58" s="359"/>
      <c r="C58" s="359"/>
      <c r="D58" s="359"/>
      <c r="E58" s="359"/>
      <c r="F58" s="359"/>
    </row>
    <row r="59" spans="1:6" ht="15">
      <c r="A59" s="351"/>
      <c r="B59" s="359"/>
      <c r="C59" s="359"/>
      <c r="D59" s="359"/>
      <c r="E59" s="359"/>
      <c r="F59" s="359"/>
    </row>
    <row r="60" spans="1:7" ht="15">
      <c r="A60" s="359" t="s">
        <v>496</v>
      </c>
      <c r="B60" s="359"/>
      <c r="C60" s="359"/>
      <c r="D60" s="359"/>
      <c r="E60" s="359"/>
      <c r="F60" s="359"/>
      <c r="G60" s="359"/>
    </row>
    <row r="61" spans="1:7" ht="15">
      <c r="A61" s="359" t="s">
        <v>497</v>
      </c>
      <c r="B61" s="359"/>
      <c r="C61" s="359"/>
      <c r="D61" s="359"/>
      <c r="E61" s="359"/>
      <c r="F61" s="359"/>
      <c r="G61" s="359"/>
    </row>
    <row r="62" spans="1:7" ht="15">
      <c r="A62" s="359" t="s">
        <v>498</v>
      </c>
      <c r="B62" s="359"/>
      <c r="C62" s="359"/>
      <c r="D62" s="359"/>
      <c r="E62" s="359"/>
      <c r="F62" s="359"/>
      <c r="G62" s="359"/>
    </row>
    <row r="63" spans="1:7" ht="15">
      <c r="A63" s="359" t="s">
        <v>499</v>
      </c>
      <c r="B63" s="359"/>
      <c r="C63" s="359"/>
      <c r="D63" s="359"/>
      <c r="E63" s="359"/>
      <c r="F63" s="359"/>
      <c r="G63" s="359"/>
    </row>
    <row r="64" spans="1:7" ht="15">
      <c r="A64" s="359" t="s">
        <v>500</v>
      </c>
      <c r="B64" s="359"/>
      <c r="C64" s="359"/>
      <c r="D64" s="359"/>
      <c r="E64" s="359"/>
      <c r="F64" s="359"/>
      <c r="G64" s="359"/>
    </row>
    <row r="66" spans="1:6" ht="15">
      <c r="A66" s="351" t="s">
        <v>463</v>
      </c>
      <c r="B66" s="359"/>
      <c r="C66" s="359"/>
      <c r="D66" s="359"/>
      <c r="E66" s="359"/>
      <c r="F66" s="359"/>
    </row>
    <row r="67" spans="1:6" ht="15">
      <c r="A67" s="351" t="s">
        <v>464</v>
      </c>
      <c r="B67" s="359"/>
      <c r="C67" s="359"/>
      <c r="D67" s="359"/>
      <c r="E67" s="359"/>
      <c r="F67" s="359"/>
    </row>
    <row r="68" spans="1:6" ht="15">
      <c r="A68" s="351" t="s">
        <v>465</v>
      </c>
      <c r="B68" s="359"/>
      <c r="C68" s="359"/>
      <c r="D68" s="359"/>
      <c r="E68" s="359"/>
      <c r="F68" s="359"/>
    </row>
    <row r="69" spans="1:6" ht="15">
      <c r="A69" s="351" t="s">
        <v>466</v>
      </c>
      <c r="B69" s="359"/>
      <c r="C69" s="359"/>
      <c r="D69" s="359"/>
      <c r="E69" s="359"/>
      <c r="F69" s="359"/>
    </row>
    <row r="70" spans="1:6" ht="15">
      <c r="A70" s="351" t="s">
        <v>467</v>
      </c>
      <c r="B70" s="359"/>
      <c r="C70" s="359"/>
      <c r="D70" s="359"/>
      <c r="E70" s="359"/>
      <c r="F70" s="359"/>
    </row>
    <row r="71" ht="15">
      <c r="A71" s="359"/>
    </row>
    <row r="72" ht="15">
      <c r="A72" s="359" t="s">
        <v>387</v>
      </c>
    </row>
    <row r="73" ht="15">
      <c r="A73" s="359"/>
    </row>
    <row r="74" ht="15">
      <c r="A74" s="359"/>
    </row>
    <row r="75" ht="15">
      <c r="A75" s="359"/>
    </row>
    <row r="78" ht="15">
      <c r="A78" s="360"/>
    </row>
    <row r="80" ht="15">
      <c r="A80" s="359"/>
    </row>
    <row r="81" ht="15">
      <c r="A81" s="359"/>
    </row>
    <row r="82" ht="15">
      <c r="A82" s="359"/>
    </row>
    <row r="83" ht="15">
      <c r="A83" s="359"/>
    </row>
    <row r="84" ht="15">
      <c r="A84" s="359"/>
    </row>
    <row r="85" ht="15">
      <c r="A85" s="359"/>
    </row>
    <row r="86" ht="15">
      <c r="A86" s="359"/>
    </row>
    <row r="87" ht="15">
      <c r="A87" s="359"/>
    </row>
    <row r="88" ht="15">
      <c r="A88" s="359"/>
    </row>
    <row r="89" ht="15">
      <c r="A89" s="359"/>
    </row>
    <row r="90" ht="15">
      <c r="A90" s="359"/>
    </row>
    <row r="92" ht="15">
      <c r="A92" s="359"/>
    </row>
    <row r="93" ht="15">
      <c r="A93" s="359"/>
    </row>
    <row r="94" ht="15">
      <c r="A94" s="359"/>
    </row>
    <row r="95" ht="15">
      <c r="A95" s="359"/>
    </row>
    <row r="96" ht="15">
      <c r="A96" s="359"/>
    </row>
    <row r="97" ht="15">
      <c r="A97" s="359"/>
    </row>
    <row r="98" ht="15">
      <c r="A98" s="359"/>
    </row>
    <row r="99" ht="15">
      <c r="A99" s="359"/>
    </row>
    <row r="100" ht="15">
      <c r="A100" s="359"/>
    </row>
    <row r="101" ht="15">
      <c r="A101" s="359"/>
    </row>
    <row r="102" ht="15">
      <c r="A102" s="359"/>
    </row>
    <row r="103" ht="15">
      <c r="A103" s="359"/>
    </row>
    <row r="104" ht="15">
      <c r="A104" s="359"/>
    </row>
    <row r="105" ht="15">
      <c r="A105" s="359"/>
    </row>
    <row r="106" ht="15">
      <c r="A106" s="359"/>
    </row>
  </sheetData>
  <sheetProtection sheet="1"/>
  <printOptions/>
  <pageMargins left="0.7" right="0.7" top="0.75" bottom="0.75" header="0.3" footer="0.3"/>
  <pageSetup horizontalDpi="600" verticalDpi="600" orientation="portrait" r:id="rId1"/>
  <headerFooter>
    <oddFooter>&amp;Lrevised 9/25/09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381" t="s">
        <v>7</v>
      </c>
      <c r="B1" s="382"/>
      <c r="C1" s="382"/>
      <c r="D1" s="382"/>
      <c r="E1" s="382"/>
    </row>
    <row r="2" spans="1:5" ht="15.75">
      <c r="A2" s="17"/>
      <c r="B2" s="18"/>
      <c r="C2" s="18"/>
      <c r="D2" s="18"/>
      <c r="E2" s="18"/>
    </row>
    <row r="3" spans="1:5" ht="15.75">
      <c r="A3" s="19" t="s">
        <v>132</v>
      </c>
      <c r="B3" s="18"/>
      <c r="C3" s="18"/>
      <c r="D3" s="20" t="s">
        <v>584</v>
      </c>
      <c r="E3" s="21"/>
    </row>
    <row r="4" spans="1:5" ht="15.75">
      <c r="A4" s="19" t="s">
        <v>239</v>
      </c>
      <c r="B4" s="18"/>
      <c r="C4" s="18"/>
      <c r="D4" s="22" t="s">
        <v>585</v>
      </c>
      <c r="E4" s="21"/>
    </row>
    <row r="5" spans="1:5" ht="15.75">
      <c r="A5" s="17"/>
      <c r="B5" s="18"/>
      <c r="C5" s="18"/>
      <c r="D5" s="23"/>
      <c r="E5" s="21"/>
    </row>
    <row r="6" spans="1:5" ht="15.75">
      <c r="A6" s="19" t="s">
        <v>155</v>
      </c>
      <c r="B6" s="18"/>
      <c r="C6" s="18"/>
      <c r="D6" s="24">
        <v>2011</v>
      </c>
      <c r="E6" s="21"/>
    </row>
    <row r="7" spans="1:5" ht="15.75">
      <c r="A7" s="18"/>
      <c r="B7" s="18"/>
      <c r="C7" s="18"/>
      <c r="D7" s="18"/>
      <c r="E7" s="18"/>
    </row>
    <row r="8" spans="1:5" ht="15.75">
      <c r="A8" s="383" t="s">
        <v>214</v>
      </c>
      <c r="B8" s="384"/>
      <c r="C8" s="384"/>
      <c r="D8" s="384"/>
      <c r="E8" s="384"/>
    </row>
    <row r="9" spans="1:5" ht="15.75">
      <c r="A9" s="25" t="s">
        <v>81</v>
      </c>
      <c r="B9" s="26"/>
      <c r="C9" s="26"/>
      <c r="D9" s="26"/>
      <c r="E9" s="26"/>
    </row>
    <row r="10" spans="1:5" ht="15.75">
      <c r="A10" s="385" t="s">
        <v>213</v>
      </c>
      <c r="B10" s="386"/>
      <c r="C10" s="386"/>
      <c r="D10" s="386"/>
      <c r="E10" s="386"/>
    </row>
    <row r="11" spans="1:5" ht="15.75">
      <c r="A11" s="27"/>
      <c r="B11" s="18"/>
      <c r="C11" s="18"/>
      <c r="D11" s="18"/>
      <c r="E11" s="18"/>
    </row>
    <row r="12" spans="1:5" ht="15.75">
      <c r="A12" s="379" t="s">
        <v>200</v>
      </c>
      <c r="B12" s="380"/>
      <c r="C12" s="380"/>
      <c r="D12" s="380"/>
      <c r="E12" s="380"/>
    </row>
    <row r="13" spans="1:5" ht="15.75">
      <c r="A13" s="27"/>
      <c r="B13" s="18"/>
      <c r="C13" s="18"/>
      <c r="D13" s="18"/>
      <c r="E13" s="18"/>
    </row>
    <row r="14" spans="1:5" ht="15.75">
      <c r="A14" s="28" t="s">
        <v>160</v>
      </c>
      <c r="B14" s="29"/>
      <c r="C14" s="18"/>
      <c r="D14" s="18"/>
      <c r="E14" s="18"/>
    </row>
    <row r="15" spans="1:5" ht="15.75">
      <c r="A15" s="30" t="str">
        <f>CONCATENATE("the ",D6-1," Budget, Certificate Page:")</f>
        <v>the 2010 Budget, Certificate Page:</v>
      </c>
      <c r="B15" s="31"/>
      <c r="C15" s="18"/>
      <c r="D15" s="18"/>
      <c r="E15" s="18"/>
    </row>
    <row r="16" spans="1:5" ht="15.75">
      <c r="A16" s="30" t="s">
        <v>277</v>
      </c>
      <c r="B16" s="31"/>
      <c r="C16" s="18"/>
      <c r="D16" s="18"/>
      <c r="E16" s="18"/>
    </row>
    <row r="17" spans="1:5" ht="15.75">
      <c r="A17" s="18"/>
      <c r="B17" s="18"/>
      <c r="C17" s="32"/>
      <c r="D17" s="33">
        <f>D6-1</f>
        <v>2010</v>
      </c>
      <c r="E17" s="387" t="str">
        <f>CONCATENATE("Amount of ",D6-2,"     Ad Valorem Tax")</f>
        <v>Amount of 2009     Ad Valorem Tax</v>
      </c>
    </row>
    <row r="18" spans="1:5" ht="15.75">
      <c r="A18" s="17" t="s">
        <v>8</v>
      </c>
      <c r="B18" s="18"/>
      <c r="C18" s="32" t="s">
        <v>9</v>
      </c>
      <c r="D18" s="34" t="s">
        <v>278</v>
      </c>
      <c r="E18" s="388"/>
    </row>
    <row r="19" spans="1:5" ht="15.75">
      <c r="A19" s="18"/>
      <c r="B19" s="35" t="s">
        <v>10</v>
      </c>
      <c r="C19" s="36" t="s">
        <v>586</v>
      </c>
      <c r="D19" s="37">
        <v>19152</v>
      </c>
      <c r="E19" s="37">
        <v>5615</v>
      </c>
    </row>
    <row r="20" spans="1:5" ht="15.75">
      <c r="A20" s="18"/>
      <c r="B20" s="35"/>
      <c r="C20" s="38"/>
      <c r="D20" s="37"/>
      <c r="E20" s="37"/>
    </row>
    <row r="21" spans="1:5" ht="15.75">
      <c r="A21" s="17" t="s">
        <v>11</v>
      </c>
      <c r="B21" s="18"/>
      <c r="C21" s="18"/>
      <c r="D21" s="39"/>
      <c r="E21" s="40"/>
    </row>
    <row r="22" spans="1:5" ht="15.75">
      <c r="A22" s="18"/>
      <c r="B22" s="36"/>
      <c r="C22" s="36"/>
      <c r="D22" s="37"/>
      <c r="E22" s="37"/>
    </row>
    <row r="23" spans="1:5" ht="15.75">
      <c r="A23" s="18"/>
      <c r="B23" s="36"/>
      <c r="C23" s="36"/>
      <c r="D23" s="37"/>
      <c r="E23" s="37"/>
    </row>
    <row r="24" spans="1:5" ht="15.75">
      <c r="A24" s="41" t="str">
        <f>CONCATENATE("Total Ad Valorem Tax for ",D6-1," Budgeted Year")</f>
        <v>Total Ad Valorem Tax for 2010 Budgeted Year</v>
      </c>
      <c r="B24" s="42"/>
      <c r="C24" s="42"/>
      <c r="D24" s="43"/>
      <c r="E24" s="44">
        <f>SUM(E19:E20,E22:E23)</f>
        <v>5615</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2010 Budgeted Year</v>
      </c>
      <c r="B28" s="42"/>
      <c r="C28" s="46"/>
      <c r="D28" s="47">
        <f>SUM(D19:D20,D22:D23,D26:D27)</f>
        <v>19152</v>
      </c>
      <c r="E28" s="39"/>
    </row>
    <row r="29" spans="1:5" ht="15.75">
      <c r="A29" s="18" t="s">
        <v>245</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160</v>
      </c>
      <c r="B36" s="29"/>
      <c r="C36" s="18"/>
      <c r="D36" s="377" t="str">
        <f>CONCATENATE("",D6-3," Tax Rate          (",D6-2," Column)")</f>
        <v>2008 Tax Rate          (2009 Column)</v>
      </c>
      <c r="E36" s="39"/>
    </row>
    <row r="37" spans="1:5" ht="15.75">
      <c r="A37" s="30" t="str">
        <f>CONCATENATE("the ",D6-1," Budget, Budget Summary Page:")</f>
        <v>the 2010 Budget, Budget Summary Page:</v>
      </c>
      <c r="B37" s="31"/>
      <c r="C37" s="18"/>
      <c r="D37" s="378"/>
      <c r="E37" s="39"/>
    </row>
    <row r="38" spans="1:5" ht="15.75">
      <c r="A38" s="18"/>
      <c r="B38" s="38" t="str">
        <f>B19</f>
        <v>General</v>
      </c>
      <c r="C38" s="18"/>
      <c r="D38" s="49">
        <v>0.815</v>
      </c>
      <c r="E38" s="39"/>
    </row>
    <row r="39" spans="1:5" ht="15.75">
      <c r="A39" s="18"/>
      <c r="B39" s="38">
        <f>B20</f>
        <v>0</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0.815</v>
      </c>
      <c r="E42" s="39"/>
    </row>
    <row r="43" spans="1:5" ht="16.5" thickTop="1">
      <c r="A43" s="18"/>
      <c r="B43" s="18"/>
      <c r="C43" s="18"/>
      <c r="D43" s="18"/>
      <c r="E43" s="39"/>
    </row>
    <row r="44" spans="1:5" ht="15.75">
      <c r="A44" s="51" t="str">
        <f>CONCATENATE("Total Tax Levied (",D6-2," budget column)")</f>
        <v>Total Tax Levied (2009 budget column)</v>
      </c>
      <c r="B44" s="29"/>
      <c r="C44" s="18"/>
      <c r="D44" s="18"/>
      <c r="E44" s="52">
        <v>5630</v>
      </c>
    </row>
    <row r="45" spans="1:5" ht="15.75">
      <c r="A45" s="51" t="str">
        <f>CONCATENATE("Assessed Valuation (",D6-2," budget column)")</f>
        <v>Assessed Valuation (2009 budget column)</v>
      </c>
      <c r="B45" s="29"/>
      <c r="C45" s="18"/>
      <c r="D45" s="18"/>
      <c r="E45" s="53">
        <v>6905795</v>
      </c>
    </row>
    <row r="46" spans="1:5" ht="15.75">
      <c r="A46" s="18"/>
      <c r="B46" s="18"/>
      <c r="C46" s="18"/>
      <c r="D46" s="18"/>
      <c r="E46" s="39"/>
    </row>
    <row r="47" spans="1:5" ht="15.75">
      <c r="A47" s="29" t="s">
        <v>215</v>
      </c>
      <c r="B47" s="29"/>
      <c r="C47" s="54"/>
      <c r="D47" s="55">
        <f>D6-3</f>
        <v>2008</v>
      </c>
      <c r="E47" s="55">
        <f>D6-2</f>
        <v>2009</v>
      </c>
    </row>
    <row r="48" spans="1:5" ht="15.75">
      <c r="A48" s="56" t="s">
        <v>156</v>
      </c>
      <c r="B48" s="56"/>
      <c r="C48" s="57"/>
      <c r="D48" s="58">
        <v>0</v>
      </c>
      <c r="E48" s="58">
        <v>0</v>
      </c>
    </row>
    <row r="49" spans="1:5" ht="15.75">
      <c r="A49" s="59" t="s">
        <v>157</v>
      </c>
      <c r="B49" s="59"/>
      <c r="C49" s="60"/>
      <c r="D49" s="58">
        <v>0</v>
      </c>
      <c r="E49" s="58">
        <v>0</v>
      </c>
    </row>
    <row r="50" spans="1:5" ht="15.75">
      <c r="A50" s="59" t="s">
        <v>159</v>
      </c>
      <c r="B50" s="59"/>
      <c r="C50" s="60"/>
      <c r="D50" s="58">
        <v>0</v>
      </c>
      <c r="E50" s="58">
        <v>0</v>
      </c>
    </row>
    <row r="51" spans="1:5" ht="15.75">
      <c r="A51" s="59" t="s">
        <v>158</v>
      </c>
      <c r="B51" s="59"/>
      <c r="C51" s="60"/>
      <c r="D51" s="58">
        <v>0</v>
      </c>
      <c r="E51" s="58">
        <v>0</v>
      </c>
    </row>
    <row r="52" spans="1:5" ht="15.75">
      <c r="A52" s="59"/>
      <c r="B52" s="59"/>
      <c r="C52" s="61"/>
      <c r="D52" s="58"/>
      <c r="E52" s="58"/>
    </row>
  </sheetData>
  <sheetProtection/>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5" r:id="rId1"/>
  <headerFooter alignWithMargins="0">
    <oddFooter>&amp;Lrevised 9/22/09</oddFooter>
  </headerFooter>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8" t="s">
        <v>501</v>
      </c>
      <c r="B3" s="358"/>
      <c r="C3" s="358"/>
      <c r="D3" s="358"/>
      <c r="E3" s="358"/>
      <c r="F3" s="358"/>
      <c r="G3" s="358"/>
    </row>
    <row r="4" spans="1:7" ht="15">
      <c r="A4" s="358" t="s">
        <v>502</v>
      </c>
      <c r="B4" s="358"/>
      <c r="C4" s="358"/>
      <c r="D4" s="358"/>
      <c r="E4" s="358"/>
      <c r="F4" s="358"/>
      <c r="G4" s="358"/>
    </row>
    <row r="5" spans="1:7" ht="15">
      <c r="A5" s="358"/>
      <c r="B5" s="358"/>
      <c r="C5" s="358"/>
      <c r="D5" s="358"/>
      <c r="E5" s="358"/>
      <c r="F5" s="358"/>
      <c r="G5" s="358"/>
    </row>
    <row r="6" spans="1:7" ht="15">
      <c r="A6" s="358"/>
      <c r="B6" s="358"/>
      <c r="C6" s="358"/>
      <c r="D6" s="358"/>
      <c r="E6" s="358"/>
      <c r="F6" s="358"/>
      <c r="G6" s="358"/>
    </row>
    <row r="7" ht="15">
      <c r="A7" s="359" t="s">
        <v>340</v>
      </c>
    </row>
    <row r="8" ht="15">
      <c r="A8" s="359" t="str">
        <f>CONCATENATE("estimated ",inputPrYr!D6," 'total expenditures' exceed your ",inputPrYr!D6,"")</f>
        <v>estimated 2011 'total expenditures' exceed your 2011</v>
      </c>
    </row>
    <row r="9" ht="15">
      <c r="A9" s="362" t="s">
        <v>503</v>
      </c>
    </row>
    <row r="10" ht="15">
      <c r="A10" s="359"/>
    </row>
    <row r="11" ht="15">
      <c r="A11" s="359" t="s">
        <v>504</v>
      </c>
    </row>
    <row r="12" ht="15">
      <c r="A12" s="359" t="s">
        <v>505</v>
      </c>
    </row>
    <row r="13" ht="15">
      <c r="A13" s="359" t="s">
        <v>506</v>
      </c>
    </row>
    <row r="14" ht="15">
      <c r="A14" s="359"/>
    </row>
    <row r="15" ht="15">
      <c r="A15" s="360" t="s">
        <v>507</v>
      </c>
    </row>
    <row r="16" spans="1:7" ht="15">
      <c r="A16" s="358"/>
      <c r="B16" s="358"/>
      <c r="C16" s="358"/>
      <c r="D16" s="358"/>
      <c r="E16" s="358"/>
      <c r="F16" s="358"/>
      <c r="G16" s="358"/>
    </row>
    <row r="17" spans="1:8" ht="15">
      <c r="A17" s="363" t="s">
        <v>508</v>
      </c>
      <c r="B17" s="355"/>
      <c r="C17" s="355"/>
      <c r="D17" s="355"/>
      <c r="E17" s="355"/>
      <c r="F17" s="355"/>
      <c r="G17" s="355"/>
      <c r="H17" s="355"/>
    </row>
    <row r="18" spans="1:7" ht="15">
      <c r="A18" s="359" t="s">
        <v>509</v>
      </c>
      <c r="B18" s="364"/>
      <c r="C18" s="364"/>
      <c r="D18" s="364"/>
      <c r="E18" s="364"/>
      <c r="F18" s="364"/>
      <c r="G18" s="364"/>
    </row>
    <row r="19" ht="15">
      <c r="A19" s="359" t="s">
        <v>510</v>
      </c>
    </row>
    <row r="20" ht="15">
      <c r="A20" s="359" t="s">
        <v>511</v>
      </c>
    </row>
    <row r="22" ht="15">
      <c r="A22" s="360" t="s">
        <v>512</v>
      </c>
    </row>
    <row r="24" ht="15">
      <c r="A24" s="359" t="s">
        <v>513</v>
      </c>
    </row>
    <row r="25" ht="15">
      <c r="A25" s="359" t="s">
        <v>514</v>
      </c>
    </row>
    <row r="26" ht="15">
      <c r="A26" s="359" t="s">
        <v>515</v>
      </c>
    </row>
    <row r="28" ht="15">
      <c r="A28" s="360" t="s">
        <v>516</v>
      </c>
    </row>
    <row r="30" ht="15">
      <c r="A30" t="s">
        <v>517</v>
      </c>
    </row>
    <row r="31" ht="15">
      <c r="A31" t="s">
        <v>518</v>
      </c>
    </row>
    <row r="32" ht="15">
      <c r="A32" t="s">
        <v>519</v>
      </c>
    </row>
    <row r="33" ht="15">
      <c r="A33" s="359" t="s">
        <v>520</v>
      </c>
    </row>
    <row r="35" ht="15">
      <c r="A35" t="s">
        <v>521</v>
      </c>
    </row>
    <row r="36" ht="15">
      <c r="A36" t="s">
        <v>522</v>
      </c>
    </row>
    <row r="37" ht="15">
      <c r="A37" t="s">
        <v>523</v>
      </c>
    </row>
    <row r="38" ht="15">
      <c r="A38" t="s">
        <v>524</v>
      </c>
    </row>
    <row r="40" ht="15">
      <c r="A40" t="s">
        <v>525</v>
      </c>
    </row>
    <row r="41" ht="15">
      <c r="A41" t="s">
        <v>526</v>
      </c>
    </row>
    <row r="42" ht="15">
      <c r="A42" t="s">
        <v>527</v>
      </c>
    </row>
    <row r="43" ht="15">
      <c r="A43" t="s">
        <v>528</v>
      </c>
    </row>
    <row r="44" ht="15">
      <c r="A44" t="s">
        <v>529</v>
      </c>
    </row>
    <row r="45" ht="15">
      <c r="A45" t="s">
        <v>530</v>
      </c>
    </row>
    <row r="47" ht="15">
      <c r="A47" t="s">
        <v>531</v>
      </c>
    </row>
    <row r="48" ht="15">
      <c r="A48" t="s">
        <v>532</v>
      </c>
    </row>
    <row r="49" ht="15">
      <c r="A49" s="359" t="s">
        <v>533</v>
      </c>
    </row>
    <row r="50" ht="15">
      <c r="A50" s="359" t="s">
        <v>534</v>
      </c>
    </row>
    <row r="52" ht="15">
      <c r="A52" t="s">
        <v>387</v>
      </c>
    </row>
  </sheetData>
  <sheetProtection sheet="1"/>
  <printOptions/>
  <pageMargins left="0.7" right="0.7" top="0.75" bottom="0.75" header="0.3" footer="0.3"/>
  <pageSetup horizontalDpi="600" verticalDpi="600" orientation="portrait" r:id="rId1"/>
  <headerFooter>
    <oddFooter>&amp;Lrevised 9/25/09</oddFooter>
  </headerFooter>
</worksheet>
</file>

<file path=xl/worksheets/sheet21.xml><?xml version="1.0" encoding="utf-8"?>
<worksheet xmlns="http://schemas.openxmlformats.org/spreadsheetml/2006/main" xmlns:r="http://schemas.openxmlformats.org/officeDocument/2006/relationships">
  <dimension ref="A1:A84"/>
  <sheetViews>
    <sheetView zoomScalePageLayoutView="0" workbookViewId="0" topLeftCell="A1">
      <selection activeCell="A5" sqref="A5"/>
    </sheetView>
  </sheetViews>
  <sheetFormatPr defaultColWidth="8.796875" defaultRowHeight="15"/>
  <cols>
    <col min="1" max="1" width="67.296875" style="99" customWidth="1"/>
    <col min="2" max="2" width="14.59765625" style="99" customWidth="1"/>
    <col min="3" max="3" width="14.19921875" style="99" customWidth="1"/>
    <col min="4" max="16384" width="8.8984375" style="99" customWidth="1"/>
  </cols>
  <sheetData>
    <row r="1" ht="15.75">
      <c r="A1" s="356" t="s">
        <v>580</v>
      </c>
    </row>
    <row r="2" ht="15.75">
      <c r="A2" s="99" t="s">
        <v>583</v>
      </c>
    </row>
    <row r="3" ht="15.75">
      <c r="A3" s="99" t="s">
        <v>581</v>
      </c>
    </row>
    <row r="4" ht="15.75">
      <c r="A4" s="99" t="s">
        <v>582</v>
      </c>
    </row>
    <row r="6" ht="15.75">
      <c r="A6" s="369" t="s">
        <v>572</v>
      </c>
    </row>
    <row r="7" ht="15.75">
      <c r="A7" s="99" t="s">
        <v>579</v>
      </c>
    </row>
    <row r="9" ht="15.75">
      <c r="A9" s="356" t="s">
        <v>334</v>
      </c>
    </row>
    <row r="10" ht="15.75">
      <c r="A10" s="357" t="s">
        <v>335</v>
      </c>
    </row>
    <row r="11" ht="15.75">
      <c r="A11" s="357" t="s">
        <v>336</v>
      </c>
    </row>
    <row r="12" ht="15.75">
      <c r="A12" s="357" t="s">
        <v>337</v>
      </c>
    </row>
    <row r="13" ht="15.75">
      <c r="A13" s="99" t="s">
        <v>338</v>
      </c>
    </row>
    <row r="15" ht="15.75">
      <c r="A15" s="315" t="s">
        <v>288</v>
      </c>
    </row>
    <row r="16" ht="15.75">
      <c r="A16" s="99" t="s">
        <v>279</v>
      </c>
    </row>
    <row r="17" ht="15.75">
      <c r="A17" s="99" t="s">
        <v>280</v>
      </c>
    </row>
    <row r="18" ht="15.75">
      <c r="A18" s="99" t="s">
        <v>281</v>
      </c>
    </row>
    <row r="19" ht="15.75">
      <c r="A19" s="99" t="s">
        <v>282</v>
      </c>
    </row>
    <row r="20" ht="15.75">
      <c r="A20" s="99" t="s">
        <v>283</v>
      </c>
    </row>
    <row r="21" ht="15.75">
      <c r="A21" s="99" t="s">
        <v>284</v>
      </c>
    </row>
    <row r="22" ht="15.75">
      <c r="A22" s="99" t="s">
        <v>302</v>
      </c>
    </row>
    <row r="23" ht="15.75">
      <c r="A23" s="99" t="s">
        <v>303</v>
      </c>
    </row>
    <row r="24" ht="15.75">
      <c r="A24" s="99" t="s">
        <v>304</v>
      </c>
    </row>
    <row r="25" ht="15.75">
      <c r="A25" s="99" t="s">
        <v>305</v>
      </c>
    </row>
    <row r="26" ht="15.75">
      <c r="A26" s="99" t="s">
        <v>306</v>
      </c>
    </row>
    <row r="27" ht="15.75">
      <c r="A27" s="99" t="s">
        <v>307</v>
      </c>
    </row>
    <row r="29" ht="15.75">
      <c r="A29" s="315" t="s">
        <v>274</v>
      </c>
    </row>
    <row r="30" ht="15.75">
      <c r="A30" s="99" t="s">
        <v>285</v>
      </c>
    </row>
    <row r="31" ht="15.75">
      <c r="A31" s="99" t="s">
        <v>275</v>
      </c>
    </row>
    <row r="32" ht="15.75">
      <c r="A32" s="99" t="s">
        <v>276</v>
      </c>
    </row>
    <row r="34" ht="15.75">
      <c r="A34" s="315" t="s">
        <v>271</v>
      </c>
    </row>
    <row r="35" ht="15.75">
      <c r="A35" s="99" t="s">
        <v>272</v>
      </c>
    </row>
    <row r="36" ht="15.75">
      <c r="A36" s="99" t="s">
        <v>273</v>
      </c>
    </row>
    <row r="38" ht="15.75">
      <c r="A38" s="315" t="s">
        <v>252</v>
      </c>
    </row>
    <row r="39" ht="15.75">
      <c r="A39" s="99" t="s">
        <v>253</v>
      </c>
    </row>
    <row r="40" ht="36" customHeight="1">
      <c r="A40" s="316" t="s">
        <v>254</v>
      </c>
    </row>
    <row r="41" ht="15.75">
      <c r="A41" s="99" t="s">
        <v>255</v>
      </c>
    </row>
    <row r="42" ht="18.75" customHeight="1">
      <c r="A42" s="99" t="s">
        <v>256</v>
      </c>
    </row>
    <row r="43" ht="15.75">
      <c r="A43" s="99" t="s">
        <v>257</v>
      </c>
    </row>
    <row r="44" ht="24.75" customHeight="1">
      <c r="A44" s="99" t="s">
        <v>258</v>
      </c>
    </row>
    <row r="45" ht="39" customHeight="1">
      <c r="A45" s="316" t="s">
        <v>259</v>
      </c>
    </row>
    <row r="46" ht="38.25" customHeight="1">
      <c r="A46" s="316" t="s">
        <v>260</v>
      </c>
    </row>
    <row r="47" ht="37.5" customHeight="1">
      <c r="A47" s="316" t="s">
        <v>261</v>
      </c>
    </row>
    <row r="48" ht="21" customHeight="1">
      <c r="A48" s="316" t="s">
        <v>262</v>
      </c>
    </row>
    <row r="49" ht="35.25" customHeight="1">
      <c r="A49" s="316" t="s">
        <v>263</v>
      </c>
    </row>
    <row r="50" ht="15.75">
      <c r="A50" s="99" t="s">
        <v>264</v>
      </c>
    </row>
    <row r="51" ht="15.75">
      <c r="A51" s="99" t="s">
        <v>265</v>
      </c>
    </row>
    <row r="52" ht="15.75">
      <c r="A52" s="99" t="s">
        <v>266</v>
      </c>
    </row>
    <row r="53" ht="15.75">
      <c r="A53" s="99" t="s">
        <v>267</v>
      </c>
    </row>
    <row r="54" ht="15.75">
      <c r="A54" s="99" t="s">
        <v>268</v>
      </c>
    </row>
    <row r="57" ht="15.75">
      <c r="A57" s="315" t="s">
        <v>181</v>
      </c>
    </row>
    <row r="58" ht="15.75">
      <c r="A58" s="99" t="s">
        <v>190</v>
      </c>
    </row>
    <row r="59" ht="15.75">
      <c r="A59" s="99" t="s">
        <v>191</v>
      </c>
    </row>
    <row r="60" ht="15.75">
      <c r="A60" s="99" t="s">
        <v>192</v>
      </c>
    </row>
    <row r="61" ht="15.75">
      <c r="A61" s="99" t="s">
        <v>206</v>
      </c>
    </row>
    <row r="62" ht="15.75">
      <c r="A62" s="99" t="s">
        <v>193</v>
      </c>
    </row>
    <row r="63" ht="15.75">
      <c r="A63" s="99" t="s">
        <v>194</v>
      </c>
    </row>
    <row r="64" ht="15.75">
      <c r="A64" s="99" t="s">
        <v>195</v>
      </c>
    </row>
    <row r="65" ht="15.75">
      <c r="A65" s="99" t="s">
        <v>196</v>
      </c>
    </row>
    <row r="66" ht="15.75">
      <c r="A66" s="99" t="s">
        <v>207</v>
      </c>
    </row>
    <row r="67" ht="15.75">
      <c r="A67" s="99" t="s">
        <v>197</v>
      </c>
    </row>
    <row r="68" ht="15.75">
      <c r="A68" s="99" t="s">
        <v>198</v>
      </c>
    </row>
    <row r="69" ht="15.75">
      <c r="A69" s="99" t="s">
        <v>199</v>
      </c>
    </row>
    <row r="70" ht="15.75">
      <c r="A70" s="99" t="s">
        <v>208</v>
      </c>
    </row>
    <row r="71" ht="15.75">
      <c r="A71" s="99" t="s">
        <v>209</v>
      </c>
    </row>
    <row r="72" ht="15.75">
      <c r="A72" s="99" t="s">
        <v>216</v>
      </c>
    </row>
    <row r="73" ht="15.75">
      <c r="A73" s="99" t="s">
        <v>286</v>
      </c>
    </row>
    <row r="74" ht="15.75">
      <c r="A74" s="99" t="s">
        <v>0</v>
      </c>
    </row>
    <row r="75" ht="15.75">
      <c r="A75" s="99" t="s">
        <v>1</v>
      </c>
    </row>
    <row r="76" ht="15.75">
      <c r="A76" s="99" t="s">
        <v>2</v>
      </c>
    </row>
    <row r="77" ht="15.75">
      <c r="A77" s="99" t="s">
        <v>287</v>
      </c>
    </row>
    <row r="78" ht="15.75">
      <c r="A78" s="99" t="s">
        <v>225</v>
      </c>
    </row>
    <row r="79" ht="15.75">
      <c r="A79" s="99" t="s">
        <v>226</v>
      </c>
    </row>
    <row r="80" ht="15.75">
      <c r="A80" s="99" t="s">
        <v>3</v>
      </c>
    </row>
    <row r="81" ht="15.75">
      <c r="A81" s="99" t="s">
        <v>4</v>
      </c>
    </row>
    <row r="82" ht="15.75">
      <c r="A82" s="99" t="s">
        <v>237</v>
      </c>
    </row>
    <row r="83" ht="15.75">
      <c r="A83" s="99" t="s">
        <v>238</v>
      </c>
    </row>
    <row r="84" ht="15.75">
      <c r="A84" s="99"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Selden Cemetery</v>
      </c>
      <c r="B1" s="62"/>
      <c r="C1" s="62"/>
      <c r="D1" s="62"/>
      <c r="E1" s="62">
        <f>inputPrYr!D6</f>
        <v>2011</v>
      </c>
    </row>
    <row r="2" spans="1:5" ht="15.75">
      <c r="A2" s="62" t="str">
        <f>inputPrYr!D4</f>
        <v>Sheridan County</v>
      </c>
      <c r="B2" s="62"/>
      <c r="C2" s="62"/>
      <c r="D2" s="62"/>
      <c r="E2" s="62"/>
    </row>
    <row r="3" spans="1:5" ht="15">
      <c r="A3" s="64"/>
      <c r="B3" s="64"/>
      <c r="C3" s="64"/>
      <c r="D3" s="64"/>
      <c r="E3" s="64"/>
    </row>
    <row r="4" spans="1:5" ht="15.75">
      <c r="A4" s="379" t="s">
        <v>200</v>
      </c>
      <c r="B4" s="380"/>
      <c r="C4" s="380"/>
      <c r="D4" s="380"/>
      <c r="E4" s="380"/>
    </row>
    <row r="5" spans="1:5" ht="15">
      <c r="A5" s="64"/>
      <c r="B5" s="64"/>
      <c r="C5" s="64"/>
      <c r="D5" s="64"/>
      <c r="E5" s="64"/>
    </row>
    <row r="6" spans="1:5" ht="15.75">
      <c r="A6" s="65" t="str">
        <f>CONCATENATE("From the County Clerks ",E1," Budget Information:")</f>
        <v>From the County Clerks 2011 Budget Information:</v>
      </c>
      <c r="B6" s="66"/>
      <c r="C6" s="66"/>
      <c r="D6" s="18"/>
      <c r="E6" s="39"/>
    </row>
    <row r="7" spans="1:5" ht="15.75">
      <c r="A7" s="67" t="str">
        <f>CONCATENATE("Total Assessed Valuation for ",inputPrYr!D6-1,"")</f>
        <v>Total Assessed Valuation for 2010</v>
      </c>
      <c r="B7" s="42"/>
      <c r="C7" s="42"/>
      <c r="D7" s="42"/>
      <c r="E7" s="52">
        <f>2423800+2746478</f>
        <v>5170278</v>
      </c>
    </row>
    <row r="8" spans="1:5" ht="15.75">
      <c r="A8" s="68" t="str">
        <f>CONCATENATE("New Improvements for ",inputPrYr!D6-1,"")</f>
        <v>New Improvements for 2010</v>
      </c>
      <c r="B8" s="69"/>
      <c r="C8" s="69"/>
      <c r="D8" s="69"/>
      <c r="E8" s="70">
        <f>2671+23179</f>
        <v>25850</v>
      </c>
    </row>
    <row r="9" spans="1:5" ht="15.75">
      <c r="A9" s="68" t="str">
        <f>CONCATENATE("Personal Property excluding oil, gas, and mobile homes- ",inputPrYr!D6-1,"")</f>
        <v>Personal Property excluding oil, gas, and mobile homes- 2010</v>
      </c>
      <c r="B9" s="69"/>
      <c r="C9" s="69"/>
      <c r="D9" s="69"/>
      <c r="E9" s="70">
        <f>55895+166055</f>
        <v>221950</v>
      </c>
    </row>
    <row r="10" spans="1:5" ht="15.75">
      <c r="A10" s="68" t="str">
        <f>CONCATENATE("Property that has changed in use for ",inputPrYr!D6-1,"")</f>
        <v>Property that has changed in use for 2010</v>
      </c>
      <c r="B10" s="69"/>
      <c r="C10" s="69"/>
      <c r="D10" s="69"/>
      <c r="E10" s="70">
        <f>4123+15495</f>
        <v>19618</v>
      </c>
    </row>
    <row r="11" spans="1:5" ht="15.75">
      <c r="A11" s="67" t="str">
        <f>CONCATENATE("Personal Property excluding oil, gas, and mobile homes- ",inputPrYr!D6-2,"")</f>
        <v>Personal Property excluding oil, gas, and mobile homes- 2009</v>
      </c>
      <c r="B11" s="42"/>
      <c r="C11" s="42"/>
      <c r="D11" s="42"/>
      <c r="E11" s="70">
        <f>50265+172087</f>
        <v>222352</v>
      </c>
    </row>
    <row r="12" spans="1:5" ht="15.75">
      <c r="A12" s="68" t="str">
        <f>CONCATENATE("Neighborhood Revitalization - ",E1,"")</f>
        <v>Neighborhood Revitalization - 2011</v>
      </c>
      <c r="B12" s="69"/>
      <c r="C12" s="69"/>
      <c r="D12" s="69"/>
      <c r="E12" s="70"/>
    </row>
    <row r="13" spans="1:5" ht="15.75">
      <c r="A13" s="45"/>
      <c r="B13" s="71"/>
      <c r="C13" s="71"/>
      <c r="D13" s="71"/>
      <c r="E13" s="72"/>
    </row>
    <row r="14" spans="1:5" ht="15.75">
      <c r="A14" s="73" t="str">
        <f>CONCATENATE("Actual Tax Rates for the ",E1-1," Budget:")</f>
        <v>Actual Tax Rates for the 2010 Budget:</v>
      </c>
      <c r="B14" s="71"/>
      <c r="C14" s="71"/>
      <c r="D14" s="71"/>
      <c r="E14" s="74"/>
    </row>
    <row r="15" spans="1:5" ht="15.75">
      <c r="A15" s="389" t="s">
        <v>26</v>
      </c>
      <c r="B15" s="384"/>
      <c r="C15" s="64"/>
      <c r="D15" s="75" t="s">
        <v>64</v>
      </c>
      <c r="E15" s="74"/>
    </row>
    <row r="16" spans="1:5" ht="15.75">
      <c r="A16" s="67" t="s">
        <v>10</v>
      </c>
      <c r="B16" s="42"/>
      <c r="C16" s="71"/>
      <c r="D16" s="76">
        <v>1.214</v>
      </c>
      <c r="E16" s="74"/>
    </row>
    <row r="17" spans="1:5" ht="15.75">
      <c r="A17" s="68"/>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1.214</v>
      </c>
      <c r="E22" s="79"/>
    </row>
    <row r="23" spans="1:5" ht="15">
      <c r="A23" s="79"/>
      <c r="B23" s="79"/>
      <c r="C23" s="79"/>
      <c r="D23" s="79"/>
      <c r="E23" s="79"/>
    </row>
    <row r="24" spans="1:5" ht="15.75">
      <c r="A24" s="42" t="str">
        <f>CONCATENATE("Final Assessed Valuation from the November 1, ",E1-2," Abstract")</f>
        <v>Final Assessed Valuation from the November 1, 2009 Abstract</v>
      </c>
      <c r="B24" s="82"/>
      <c r="C24" s="82"/>
      <c r="D24" s="82"/>
      <c r="E24" s="58">
        <f>1894385+2731048</f>
        <v>4625433</v>
      </c>
    </row>
    <row r="25" spans="1:5" ht="15">
      <c r="A25" s="79"/>
      <c r="B25" s="79"/>
      <c r="C25" s="79"/>
      <c r="D25" s="79"/>
      <c r="E25" s="79"/>
    </row>
    <row r="26" spans="1:5" ht="15.75">
      <c r="A26" s="83" t="str">
        <f>CONCATENATE("From the County Treasurer's Budget Information - ",E1," Budget Year Estimates:")</f>
        <v>From the County Treasurer's Budget Information - 2011 Budget Year Estimates:</v>
      </c>
      <c r="B26" s="29"/>
      <c r="C26" s="29"/>
      <c r="D26" s="84"/>
      <c r="E26" s="39"/>
    </row>
    <row r="27" spans="1:5" ht="15.75">
      <c r="A27" s="67" t="s">
        <v>14</v>
      </c>
      <c r="B27" s="42"/>
      <c r="C27" s="42"/>
      <c r="D27" s="85"/>
      <c r="E27" s="37">
        <f>456+87</f>
        <v>543</v>
      </c>
    </row>
    <row r="28" spans="1:5" ht="15.75">
      <c r="A28" s="68" t="s">
        <v>15</v>
      </c>
      <c r="B28" s="69"/>
      <c r="C28" s="69"/>
      <c r="D28" s="86"/>
      <c r="E28" s="37">
        <f>1+14</f>
        <v>15</v>
      </c>
    </row>
    <row r="29" spans="1:5" ht="15.75">
      <c r="A29" s="68" t="s">
        <v>175</v>
      </c>
      <c r="B29" s="69"/>
      <c r="C29" s="69"/>
      <c r="D29" s="86"/>
      <c r="E29" s="37">
        <f>18+58</f>
        <v>76</v>
      </c>
    </row>
    <row r="30" spans="1:5" ht="15.75">
      <c r="A30" s="68" t="s">
        <v>162</v>
      </c>
      <c r="B30" s="69"/>
      <c r="C30" s="69"/>
      <c r="D30" s="86"/>
      <c r="E30" s="37"/>
    </row>
    <row r="31" spans="1:5" ht="15.75">
      <c r="A31" s="68" t="s">
        <v>163</v>
      </c>
      <c r="B31" s="69"/>
      <c r="C31" s="69"/>
      <c r="D31" s="86"/>
      <c r="E31" s="37"/>
    </row>
    <row r="32" spans="1:5" ht="15.75">
      <c r="A32" s="67"/>
      <c r="B32" s="42"/>
      <c r="C32" s="42"/>
      <c r="D32" s="85"/>
      <c r="E32" s="37"/>
    </row>
    <row r="33" spans="1:5" ht="15.75">
      <c r="A33" s="18" t="s">
        <v>176</v>
      </c>
      <c r="B33" s="18"/>
      <c r="C33" s="18"/>
      <c r="D33" s="18"/>
      <c r="E33" s="18"/>
    </row>
    <row r="34" spans="1:5" ht="15.75">
      <c r="A34" s="87" t="s">
        <v>112</v>
      </c>
      <c r="B34" s="26"/>
      <c r="C34" s="26"/>
      <c r="D34" s="18"/>
      <c r="E34" s="18"/>
    </row>
    <row r="35" spans="1:5" ht="15.75">
      <c r="A35" s="88" t="str">
        <f>CONCATENATE("Actual Delinquency for ",E1-2," Tax (round to three decimal places)")</f>
        <v>Actual Delinquency for 2009 Tax (round to three decimal places)</v>
      </c>
      <c r="B35" s="71"/>
      <c r="C35" s="18"/>
      <c r="D35" s="18"/>
      <c r="E35" s="89">
        <v>1</v>
      </c>
    </row>
    <row r="36" spans="1:5" ht="15.75">
      <c r="A36" s="88" t="s">
        <v>212</v>
      </c>
      <c r="B36" s="88"/>
      <c r="C36" s="71"/>
      <c r="D36" s="71"/>
      <c r="E36" s="90">
        <v>0.01</v>
      </c>
    </row>
    <row r="37" spans="1:5" ht="15.75">
      <c r="A37" s="91" t="s">
        <v>177</v>
      </c>
      <c r="B37" s="91"/>
      <c r="C37" s="92"/>
      <c r="D37" s="92"/>
      <c r="E37" s="93"/>
    </row>
    <row r="38" spans="1:5" ht="15">
      <c r="A38" s="64"/>
      <c r="B38" s="64"/>
      <c r="C38" s="64"/>
      <c r="D38" s="64"/>
      <c r="E38" s="64"/>
    </row>
    <row r="39" spans="1:5" ht="15.75">
      <c r="A39" s="390" t="str">
        <f>CONCATENATE("From the ",E1-2," Budget Certificate Page")</f>
        <v>From the 2009 Budget Certificate Page</v>
      </c>
      <c r="B39" s="391"/>
      <c r="C39" s="64"/>
      <c r="D39" s="64"/>
      <c r="E39" s="64"/>
    </row>
    <row r="40" spans="1:5" ht="15.75">
      <c r="A40" s="94"/>
      <c r="B40" s="94" t="str">
        <f>CONCATENATE("",E1-2," Expenditure Amounts")</f>
        <v>2009 Expenditure Amounts</v>
      </c>
      <c r="C40" s="392" t="str">
        <f>CONCATENATE("Note: If the ",E1-2," budget was amended, then the")</f>
        <v>Note: If the 2009 budget was amended, then the</v>
      </c>
      <c r="D40" s="393"/>
      <c r="E40" s="393"/>
    </row>
    <row r="41" spans="1:5" ht="15.75">
      <c r="A41" s="95" t="s">
        <v>221</v>
      </c>
      <c r="B41" s="95" t="s">
        <v>222</v>
      </c>
      <c r="C41" s="96" t="s">
        <v>223</v>
      </c>
      <c r="D41" s="97"/>
      <c r="E41" s="97"/>
    </row>
    <row r="42" spans="1:5" ht="15.75">
      <c r="A42" s="98" t="str">
        <f>inputPrYr!B19</f>
        <v>General</v>
      </c>
      <c r="B42" s="58">
        <v>19039</v>
      </c>
      <c r="C42" s="96" t="s">
        <v>224</v>
      </c>
      <c r="D42" s="97"/>
      <c r="E42" s="97"/>
    </row>
    <row r="43" spans="1:5" ht="15.75">
      <c r="A43" s="98">
        <f>inputPrYr!B20</f>
        <v>0</v>
      </c>
      <c r="B43" s="58"/>
      <c r="C43" s="96"/>
      <c r="D43" s="97"/>
      <c r="E43" s="97"/>
    </row>
    <row r="44" spans="1:5" ht="15.75">
      <c r="A44" s="98">
        <f>inputPrYr!B22</f>
        <v>0</v>
      </c>
      <c r="B44" s="58"/>
      <c r="C44" s="64"/>
      <c r="D44" s="64"/>
      <c r="E44" s="64"/>
    </row>
    <row r="45" spans="1:5" ht="15.75">
      <c r="A45" s="98">
        <f>inputPrYr!B23</f>
        <v>0</v>
      </c>
      <c r="B45" s="58"/>
      <c r="C45" s="64"/>
      <c r="D45" s="64"/>
      <c r="E45" s="64"/>
    </row>
    <row r="46" spans="1:5" ht="15.75">
      <c r="A46" s="98">
        <f>inputPrYr!B26</f>
        <v>0</v>
      </c>
      <c r="B46" s="58"/>
      <c r="C46" s="64"/>
      <c r="D46" s="64"/>
      <c r="E46" s="64"/>
    </row>
    <row r="47" spans="1:5" ht="15.75">
      <c r="A47" s="98">
        <f>inputPrYr!B27</f>
        <v>0</v>
      </c>
      <c r="B47" s="58"/>
      <c r="C47" s="64"/>
      <c r="D47" s="64"/>
      <c r="E47" s="64"/>
    </row>
  </sheetData>
  <sheetProtection/>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4" r:id="rId1"/>
  <headerFooter alignWithMargins="0">
    <oddFooter>&amp;Lrevised 9/22/09</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2" spans="1:6" ht="54" customHeight="1">
      <c r="A2" s="394" t="s">
        <v>322</v>
      </c>
      <c r="B2" s="395"/>
      <c r="C2" s="395"/>
      <c r="D2" s="395"/>
      <c r="E2" s="395"/>
      <c r="F2" s="395"/>
    </row>
    <row r="4" spans="1:6" ht="15.75">
      <c r="A4" s="341"/>
      <c r="B4" s="341"/>
      <c r="C4" s="341"/>
      <c r="D4" s="342"/>
      <c r="E4" s="341"/>
      <c r="F4" s="341"/>
    </row>
    <row r="5" spans="1:6" ht="15.75">
      <c r="A5" s="343" t="s">
        <v>323</v>
      </c>
      <c r="B5" s="344" t="s">
        <v>612</v>
      </c>
      <c r="C5" s="345"/>
      <c r="D5" s="343" t="s">
        <v>324</v>
      </c>
      <c r="E5" s="341"/>
      <c r="F5" s="341"/>
    </row>
    <row r="6" spans="1:6" ht="15.75">
      <c r="A6" s="343"/>
      <c r="B6" s="346"/>
      <c r="C6" s="347"/>
      <c r="D6" s="343"/>
      <c r="E6" s="341"/>
      <c r="F6" s="341"/>
    </row>
    <row r="7" spans="1:6" ht="15.75">
      <c r="A7" s="343" t="s">
        <v>325</v>
      </c>
      <c r="B7" s="344" t="s">
        <v>613</v>
      </c>
      <c r="C7" s="348"/>
      <c r="D7" s="343"/>
      <c r="E7" s="341"/>
      <c r="F7" s="341"/>
    </row>
    <row r="8" spans="1:6" ht="15.75">
      <c r="A8" s="343"/>
      <c r="B8" s="343"/>
      <c r="C8" s="343"/>
      <c r="D8" s="343"/>
      <c r="E8" s="341"/>
      <c r="F8" s="341"/>
    </row>
    <row r="9" spans="1:6" ht="15.75">
      <c r="A9" s="343" t="s">
        <v>326</v>
      </c>
      <c r="B9" s="349" t="s">
        <v>587</v>
      </c>
      <c r="C9" s="349"/>
      <c r="D9" s="349"/>
      <c r="E9" s="350"/>
      <c r="F9" s="341"/>
    </row>
    <row r="10" spans="1:6" ht="15.75">
      <c r="A10" s="343"/>
      <c r="B10" s="343"/>
      <c r="C10" s="343"/>
      <c r="D10" s="343"/>
      <c r="E10" s="341"/>
      <c r="F10" s="341"/>
    </row>
    <row r="11" spans="1:6" ht="15.75">
      <c r="A11" s="343"/>
      <c r="B11" s="343"/>
      <c r="C11" s="343"/>
      <c r="D11" s="343"/>
      <c r="E11" s="341"/>
      <c r="F11" s="341"/>
    </row>
    <row r="12" spans="1:6" ht="15.75">
      <c r="A12" s="343" t="s">
        <v>327</v>
      </c>
      <c r="B12" s="349" t="s">
        <v>587</v>
      </c>
      <c r="C12" s="349"/>
      <c r="D12" s="349"/>
      <c r="E12" s="350"/>
      <c r="F12" s="341"/>
    </row>
    <row r="15" spans="1:6" ht="15.75">
      <c r="A15" s="396" t="s">
        <v>328</v>
      </c>
      <c r="B15" s="396"/>
      <c r="C15" s="343"/>
      <c r="D15" s="343"/>
      <c r="E15" s="343"/>
      <c r="F15" s="341"/>
    </row>
    <row r="16" spans="1:6" ht="15.75">
      <c r="A16" s="343"/>
      <c r="B16" s="343"/>
      <c r="C16" s="343"/>
      <c r="D16" s="343"/>
      <c r="E16" s="343"/>
      <c r="F16" s="341"/>
    </row>
    <row r="17" spans="1:5" ht="15.75">
      <c r="A17" s="343" t="s">
        <v>323</v>
      </c>
      <c r="B17" s="346" t="s">
        <v>329</v>
      </c>
      <c r="C17" s="343"/>
      <c r="D17" s="343"/>
      <c r="E17" s="343"/>
    </row>
    <row r="18" spans="1:5" ht="15.75">
      <c r="A18" s="343"/>
      <c r="B18" s="343"/>
      <c r="C18" s="343"/>
      <c r="D18" s="343"/>
      <c r="E18" s="343"/>
    </row>
    <row r="19" spans="1:5" ht="15.75">
      <c r="A19" s="343" t="s">
        <v>325</v>
      </c>
      <c r="B19" s="343" t="s">
        <v>330</v>
      </c>
      <c r="C19" s="343"/>
      <c r="D19" s="343"/>
      <c r="E19" s="343"/>
    </row>
    <row r="20" spans="1:5" ht="15.75">
      <c r="A20" s="343"/>
      <c r="B20" s="343"/>
      <c r="C20" s="343"/>
      <c r="D20" s="343"/>
      <c r="E20" s="343"/>
    </row>
    <row r="21" spans="1:5" ht="15.75">
      <c r="A21" s="343" t="s">
        <v>326</v>
      </c>
      <c r="B21" s="343" t="s">
        <v>332</v>
      </c>
      <c r="C21" s="343"/>
      <c r="D21" s="343"/>
      <c r="E21" s="343"/>
    </row>
    <row r="22" spans="1:5" ht="15.75">
      <c r="A22" s="343"/>
      <c r="B22" s="343"/>
      <c r="C22" s="343"/>
      <c r="D22" s="343"/>
      <c r="E22" s="343"/>
    </row>
    <row r="23" spans="1:5" ht="15.75">
      <c r="A23" s="343" t="s">
        <v>327</v>
      </c>
      <c r="B23" s="343" t="s">
        <v>331</v>
      </c>
      <c r="C23" s="343"/>
      <c r="D23" s="343"/>
      <c r="E23" s="343"/>
    </row>
  </sheetData>
  <sheetProtection sheet="1" objects="1" scenarios="1"/>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5.xml><?xml version="1.0" encoding="utf-8"?>
<worksheet xmlns="http://schemas.openxmlformats.org/spreadsheetml/2006/main" xmlns:r="http://schemas.openxmlformats.org/officeDocument/2006/relationships">
  <dimension ref="A1:G50"/>
  <sheetViews>
    <sheetView tabSelected="1" zoomScalePageLayoutView="0" workbookViewId="0" topLeftCell="A1">
      <selection activeCell="E21" sqref="E21"/>
    </sheetView>
  </sheetViews>
  <sheetFormatPr defaultColWidth="8.796875" defaultRowHeight="15"/>
  <cols>
    <col min="1" max="1" width="11.796875" style="99" customWidth="1"/>
    <col min="2" max="3" width="9.796875" style="99" customWidth="1"/>
    <col min="4" max="4" width="8.796875" style="99" customWidth="1"/>
    <col min="5" max="6" width="14.796875" style="99" customWidth="1"/>
    <col min="7" max="7" width="10.796875" style="99" customWidth="1"/>
    <col min="8" max="16384" width="8.8984375" style="99" customWidth="1"/>
  </cols>
  <sheetData>
    <row r="1" spans="1:7" ht="15.75">
      <c r="A1" s="62"/>
      <c r="B1" s="62"/>
      <c r="C1" s="62"/>
      <c r="D1" s="62"/>
      <c r="E1" s="62"/>
      <c r="F1" s="62"/>
      <c r="G1" s="62"/>
    </row>
    <row r="2" spans="1:7" ht="15.75">
      <c r="A2" s="397" t="s">
        <v>82</v>
      </c>
      <c r="B2" s="397"/>
      <c r="C2" s="397"/>
      <c r="D2" s="397"/>
      <c r="E2" s="397"/>
      <c r="F2" s="397"/>
      <c r="G2" s="397"/>
    </row>
    <row r="3" spans="1:7" ht="15.75">
      <c r="A3" s="18"/>
      <c r="B3" s="18"/>
      <c r="C3" s="18"/>
      <c r="D3" s="18"/>
      <c r="E3" s="18"/>
      <c r="F3" s="18"/>
      <c r="G3" s="62">
        <f>inputPrYr!D6</f>
        <v>2011</v>
      </c>
    </row>
    <row r="4" spans="1:7" ht="15.75">
      <c r="A4" s="398" t="str">
        <f>CONCATENATE("To the Clerk of ",inputPrYr!D4,", State of Kansas")</f>
        <v>To the Clerk of Sheridan County, State of Kansas</v>
      </c>
      <c r="B4" s="398"/>
      <c r="C4" s="398"/>
      <c r="D4" s="398"/>
      <c r="E4" s="398"/>
      <c r="F4" s="398"/>
      <c r="G4" s="398"/>
    </row>
    <row r="5" spans="1:7" ht="15.75">
      <c r="A5" s="102" t="s">
        <v>161</v>
      </c>
      <c r="B5" s="26"/>
      <c r="C5" s="26"/>
      <c r="D5" s="26"/>
      <c r="E5" s="26"/>
      <c r="F5" s="26"/>
      <c r="G5" s="26"/>
    </row>
    <row r="6" spans="1:7" ht="15.75">
      <c r="A6" s="399" t="str">
        <f>inputPrYr!D3</f>
        <v>Selden Cemetery</v>
      </c>
      <c r="B6" s="399"/>
      <c r="C6" s="399"/>
      <c r="D6" s="399"/>
      <c r="E6" s="399"/>
      <c r="F6" s="399"/>
      <c r="G6" s="399"/>
    </row>
    <row r="7" spans="1:7" ht="15.75">
      <c r="A7" s="18"/>
      <c r="B7" s="18"/>
      <c r="C7" s="18"/>
      <c r="D7" s="18"/>
      <c r="E7" s="18"/>
      <c r="F7" s="18"/>
      <c r="G7" s="18"/>
    </row>
    <row r="8" spans="1:7" ht="15.75">
      <c r="A8" s="102" t="s">
        <v>16</v>
      </c>
      <c r="B8" s="26"/>
      <c r="C8" s="26"/>
      <c r="D8" s="26"/>
      <c r="E8" s="26"/>
      <c r="F8" s="26"/>
      <c r="G8" s="26"/>
    </row>
    <row r="9" spans="1:7" ht="15.75">
      <c r="A9" s="102" t="s">
        <v>17</v>
      </c>
      <c r="B9" s="26"/>
      <c r="C9" s="26"/>
      <c r="D9" s="26"/>
      <c r="E9" s="26"/>
      <c r="F9" s="26"/>
      <c r="G9" s="26"/>
    </row>
    <row r="10" spans="1:7" ht="15.75">
      <c r="A10" s="102" t="str">
        <f>CONCATENATE("maximum expenditures for the various funds for the year ",G3,"; and (3) the")</f>
        <v>maximum expenditures for the various funds for the year 2011; and (3) the</v>
      </c>
      <c r="B10" s="26"/>
      <c r="C10" s="26"/>
      <c r="D10" s="26"/>
      <c r="E10" s="26"/>
      <c r="F10" s="26"/>
      <c r="G10" s="26"/>
    </row>
    <row r="11" spans="1:7" ht="15.75">
      <c r="A11" s="102" t="str">
        <f>CONCATENATE("Amount(s) of ",G3-1," Ad Valorem Tax are within statutory  limitations for the ",G3," Budget.")</f>
        <v>Amount(s) of 2010 Ad Valorem Tax are within statutory  limitations for the 2011 Budget.</v>
      </c>
      <c r="B11" s="26"/>
      <c r="C11" s="26"/>
      <c r="D11" s="26"/>
      <c r="E11" s="26"/>
      <c r="F11" s="26"/>
      <c r="G11" s="26"/>
    </row>
    <row r="12" spans="1:7" ht="15.75">
      <c r="A12" s="17"/>
      <c r="B12" s="18"/>
      <c r="C12" s="18"/>
      <c r="D12" s="104"/>
      <c r="E12" s="105"/>
      <c r="F12" s="105"/>
      <c r="G12" s="105"/>
    </row>
    <row r="13" spans="1:7" ht="15.75">
      <c r="A13" s="18"/>
      <c r="B13" s="18"/>
      <c r="C13" s="18"/>
      <c r="D13" s="18"/>
      <c r="E13" s="400" t="str">
        <f>CONCATENATE("",G3," Adopted Budget")</f>
        <v>2011 Adopted Budget</v>
      </c>
      <c r="F13" s="401"/>
      <c r="G13" s="402"/>
    </row>
    <row r="14" spans="1:7" ht="15.75">
      <c r="A14" s="17"/>
      <c r="B14" s="18"/>
      <c r="C14" s="18"/>
      <c r="D14" s="42"/>
      <c r="E14" s="106" t="s">
        <v>18</v>
      </c>
      <c r="F14" s="107"/>
      <c r="G14" s="108" t="s">
        <v>19</v>
      </c>
    </row>
    <row r="15" spans="1:7" ht="15.75">
      <c r="A15" s="18"/>
      <c r="B15" s="18"/>
      <c r="C15" s="18"/>
      <c r="D15" s="107" t="s">
        <v>20</v>
      </c>
      <c r="E15" s="109"/>
      <c r="F15" s="403" t="str">
        <f>CONCATENATE("Amount of ",G3-1," Ad Valorem Tax")</f>
        <v>Amount of 2010 Ad Valorem Tax</v>
      </c>
      <c r="G15" s="108" t="s">
        <v>21</v>
      </c>
    </row>
    <row r="16" spans="1:7" ht="15.75">
      <c r="A16" s="17" t="s">
        <v>22</v>
      </c>
      <c r="B16" s="18"/>
      <c r="C16" s="18"/>
      <c r="D16" s="109" t="s">
        <v>23</v>
      </c>
      <c r="E16" s="109" t="s">
        <v>24</v>
      </c>
      <c r="F16" s="403"/>
      <c r="G16" s="108" t="s">
        <v>25</v>
      </c>
    </row>
    <row r="17" spans="1:7" ht="4.5" customHeight="1">
      <c r="A17" s="110"/>
      <c r="B17" s="110"/>
      <c r="C17" s="110"/>
      <c r="D17" s="111"/>
      <c r="E17" s="111"/>
      <c r="F17" s="112"/>
      <c r="G17" s="113"/>
    </row>
    <row r="18" spans="1:7" ht="15.75">
      <c r="A18" s="114" t="str">
        <f>CONCATENATE("Computation to Determine Limit for ",G3,"")</f>
        <v>Computation to Determine Limit for 2011</v>
      </c>
      <c r="B18" s="110"/>
      <c r="C18" s="110"/>
      <c r="D18" s="115">
        <v>2</v>
      </c>
      <c r="E18" s="105"/>
      <c r="F18" s="105"/>
      <c r="G18" s="116"/>
    </row>
    <row r="19" spans="1:7" ht="15.75">
      <c r="A19" s="117" t="s">
        <v>218</v>
      </c>
      <c r="B19" s="110"/>
      <c r="C19" s="110"/>
      <c r="D19" s="115">
        <v>3</v>
      </c>
      <c r="E19" s="105"/>
      <c r="F19" s="105"/>
      <c r="G19" s="116"/>
    </row>
    <row r="20" spans="1:7" ht="15.75">
      <c r="A20" s="117" t="s">
        <v>146</v>
      </c>
      <c r="B20" s="110"/>
      <c r="C20" s="110"/>
      <c r="D20" s="118">
        <v>4</v>
      </c>
      <c r="E20" s="105"/>
      <c r="F20" s="105"/>
      <c r="G20" s="116"/>
    </row>
    <row r="21" spans="1:7" ht="15.75">
      <c r="A21" s="114" t="s">
        <v>145</v>
      </c>
      <c r="B21" s="110"/>
      <c r="C21" s="110"/>
      <c r="D21" s="118">
        <v>5</v>
      </c>
      <c r="E21" s="105"/>
      <c r="F21" s="105"/>
      <c r="G21" s="116"/>
    </row>
    <row r="22" spans="1:7" ht="15.75">
      <c r="A22" s="119" t="s">
        <v>26</v>
      </c>
      <c r="B22" s="120"/>
      <c r="C22" s="121" t="s">
        <v>27</v>
      </c>
      <c r="D22" s="115"/>
      <c r="E22" s="122"/>
      <c r="F22" s="42"/>
      <c r="G22" s="46"/>
    </row>
    <row r="23" spans="1:7" ht="15.75">
      <c r="A23" s="123" t="s">
        <v>10</v>
      </c>
      <c r="B23" s="120"/>
      <c r="C23" s="115" t="str">
        <f>inputPrYr!C19</f>
        <v>17-330</v>
      </c>
      <c r="D23" s="124">
        <v>6</v>
      </c>
      <c r="E23" s="125">
        <f>IF(gen!$G$42&lt;&gt;0,gen!$G$42,"  ")</f>
        <v>20308</v>
      </c>
      <c r="F23" s="125">
        <f>IF(gen!$G$48&lt;&gt;0,gen!$G$48,"  ")</f>
        <v>5650</v>
      </c>
      <c r="G23" s="126" t="str">
        <f>IF(AND(gen!G48=0,$F$36&gt;=0)," ",IF(AND(F23&gt;0,$F$36=0)," ",IF(AND(F23&gt;0,$F$36&gt;0),ROUND(F23/$F$36*1000,3))))</f>
        <v> </v>
      </c>
    </row>
    <row r="24" spans="1:7" ht="15.75">
      <c r="A24" s="123"/>
      <c r="B24" s="120"/>
      <c r="C24" s="115"/>
      <c r="D24" s="124"/>
      <c r="E24" s="47"/>
      <c r="F24" s="47"/>
      <c r="G24" s="126"/>
    </row>
    <row r="25" spans="1:7" ht="15.75">
      <c r="A25" s="127" t="str">
        <f>IF(inputPrYr!$B$22&gt;"  ",inputPrYr!$B$22,"  ")</f>
        <v>  </v>
      </c>
      <c r="B25" s="120"/>
      <c r="C25" s="115"/>
      <c r="D25" s="124"/>
      <c r="E25" s="47"/>
      <c r="F25" s="47"/>
      <c r="G25" s="126"/>
    </row>
    <row r="26" spans="1:7" ht="15.75">
      <c r="A26" s="127" t="str">
        <f>IF(inputPrYr!$B$23&gt;"  ",inputPrYr!$B$23,"  ")</f>
        <v>  </v>
      </c>
      <c r="B26" s="120"/>
      <c r="C26" s="115" t="str">
        <f>IF(inputPrYr!C23&gt;0,inputPrYr!C23,"  ")</f>
        <v>  </v>
      </c>
      <c r="D26" s="124"/>
      <c r="E26" s="47"/>
      <c r="F26" s="47"/>
      <c r="G26" s="126"/>
    </row>
    <row r="27" spans="1:7" ht="15.75">
      <c r="A27" s="127" t="str">
        <f>IF(inputPrYr!$B$26&gt;"  ",inputPrYr!$B$26,"  ")</f>
        <v>  </v>
      </c>
      <c r="B27" s="69"/>
      <c r="C27" s="128"/>
      <c r="D27" s="124"/>
      <c r="E27" s="47"/>
      <c r="F27" s="129"/>
      <c r="G27" s="126"/>
    </row>
    <row r="28" spans="1:7" ht="15.75">
      <c r="A28" s="130" t="str">
        <f>IF(inputPrYr!$B$27&gt;"  ",inputPrYr!$B$27,"  ")</f>
        <v>  </v>
      </c>
      <c r="B28" s="131"/>
      <c r="C28" s="128"/>
      <c r="D28" s="124"/>
      <c r="E28" s="47"/>
      <c r="F28" s="129"/>
      <c r="G28" s="126"/>
    </row>
    <row r="29" spans="1:7" ht="15.75">
      <c r="A29" s="130">
        <f>IF((inputPrYr!$B$30&gt;" "),(#REF!),"")</f>
      </c>
      <c r="B29" s="131"/>
      <c r="C29" s="108"/>
      <c r="D29" s="124"/>
      <c r="E29" s="132"/>
      <c r="F29" s="133"/>
      <c r="G29" s="134"/>
    </row>
    <row r="30" spans="1:7" ht="16.5" thickBot="1">
      <c r="A30" s="135" t="s">
        <v>135</v>
      </c>
      <c r="B30" s="69"/>
      <c r="C30" s="120"/>
      <c r="D30" s="136" t="s">
        <v>28</v>
      </c>
      <c r="E30" s="137">
        <f>SUM(E23:E28)</f>
        <v>20308</v>
      </c>
      <c r="F30" s="138">
        <f>SUM(F23:F28)</f>
        <v>5650</v>
      </c>
      <c r="G30" s="139">
        <f>IF(SUM(G23:G28)=0,"",SUM(G23:G28))</f>
      </c>
    </row>
    <row r="31" spans="1:7" ht="16.5" thickTop="1">
      <c r="A31" s="123" t="s">
        <v>210</v>
      </c>
      <c r="B31" s="69"/>
      <c r="C31" s="120"/>
      <c r="D31" s="140">
        <v>7</v>
      </c>
      <c r="E31" s="141"/>
      <c r="F31" s="18"/>
      <c r="G31" s="17" t="s">
        <v>29</v>
      </c>
    </row>
    <row r="32" spans="1:7" ht="15.75">
      <c r="A32" s="123" t="s">
        <v>231</v>
      </c>
      <c r="B32" s="142"/>
      <c r="C32" s="143"/>
      <c r="D32" s="140" t="s">
        <v>588</v>
      </c>
      <c r="E32" s="144" t="s">
        <v>205</v>
      </c>
      <c r="F32" s="145" t="str">
        <f>IF(F30&gt;computation!J34,"Yes","No")</f>
        <v>No</v>
      </c>
      <c r="G32" s="17"/>
    </row>
    <row r="33" spans="1:7" ht="15.75">
      <c r="A33" s="146" t="s">
        <v>203</v>
      </c>
      <c r="B33" s="69"/>
      <c r="C33" s="120"/>
      <c r="D33" s="140" t="s">
        <v>588</v>
      </c>
      <c r="E33" s="62"/>
      <c r="F33" s="147"/>
      <c r="G33" s="17"/>
    </row>
    <row r="34" spans="1:7" ht="15.75">
      <c r="A34" s="21"/>
      <c r="B34" s="71"/>
      <c r="C34" s="18"/>
      <c r="D34" s="148"/>
      <c r="E34" s="62"/>
      <c r="F34" s="147"/>
      <c r="G34" s="17"/>
    </row>
    <row r="35" spans="1:7" ht="15.75">
      <c r="A35" s="149" t="s">
        <v>31</v>
      </c>
      <c r="B35" s="150" t="s">
        <v>589</v>
      </c>
      <c r="C35" s="151"/>
      <c r="D35" s="151"/>
      <c r="E35" s="141"/>
      <c r="F35" s="152" t="s">
        <v>137</v>
      </c>
      <c r="G35" s="18"/>
    </row>
    <row r="36" spans="1:7" ht="15.75">
      <c r="A36" s="71"/>
      <c r="B36" s="153"/>
      <c r="C36" s="153"/>
      <c r="D36" s="153"/>
      <c r="E36" s="154"/>
      <c r="F36" s="155"/>
      <c r="G36" s="18"/>
    </row>
    <row r="37" spans="1:7" ht="15.75">
      <c r="A37" s="156" t="s">
        <v>151</v>
      </c>
      <c r="B37" s="157" t="s">
        <v>590</v>
      </c>
      <c r="C37" s="157"/>
      <c r="D37" s="158"/>
      <c r="E37" s="404"/>
      <c r="F37" s="406" t="s">
        <v>204</v>
      </c>
      <c r="G37" s="18"/>
    </row>
    <row r="38" spans="1:7" ht="15.75">
      <c r="A38" s="71"/>
      <c r="B38" s="157" t="s">
        <v>591</v>
      </c>
      <c r="C38" s="158"/>
      <c r="D38" s="158"/>
      <c r="E38" s="405"/>
      <c r="F38" s="407"/>
      <c r="G38" s="18"/>
    </row>
    <row r="39" spans="1:7" ht="15.75">
      <c r="A39" s="71"/>
      <c r="B39" s="157"/>
      <c r="C39" s="158"/>
      <c r="D39" s="158"/>
      <c r="E39" s="159"/>
      <c r="F39" s="159"/>
      <c r="G39" s="18"/>
    </row>
    <row r="40" spans="1:7" ht="15.75">
      <c r="A40" s="71"/>
      <c r="B40" s="160"/>
      <c r="C40" s="54"/>
      <c r="D40" s="18"/>
      <c r="E40" s="159"/>
      <c r="F40" s="159"/>
      <c r="G40" s="18"/>
    </row>
    <row r="41" spans="1:7" ht="15.75">
      <c r="A41" s="18"/>
      <c r="B41" s="18"/>
      <c r="C41" s="18"/>
      <c r="D41" s="18"/>
      <c r="E41" s="62"/>
      <c r="F41" s="18"/>
      <c r="G41" s="18"/>
    </row>
    <row r="42" spans="1:7" ht="15.75">
      <c r="A42" s="161" t="s">
        <v>30</v>
      </c>
      <c r="B42" s="162"/>
      <c r="C42" s="17"/>
      <c r="D42" s="23"/>
      <c r="E42" s="160"/>
      <c r="F42" s="18"/>
      <c r="G42" s="18"/>
    </row>
    <row r="43" spans="1:7" ht="15.75">
      <c r="A43" s="163" t="s">
        <v>149</v>
      </c>
      <c r="B43" s="164"/>
      <c r="C43" s="71"/>
      <c r="D43" s="160"/>
      <c r="E43" s="160"/>
      <c r="F43" s="165"/>
      <c r="G43" s="165"/>
    </row>
    <row r="44" spans="1:7" ht="15.75">
      <c r="A44" s="163" t="s">
        <v>150</v>
      </c>
      <c r="B44" s="116"/>
      <c r="C44" s="71"/>
      <c r="D44" s="160"/>
      <c r="E44" s="160"/>
      <c r="F44" s="54"/>
      <c r="G44" s="54"/>
    </row>
    <row r="45" spans="1:7" ht="15.75">
      <c r="A45" s="163" t="s">
        <v>32</v>
      </c>
      <c r="B45" s="164"/>
      <c r="C45" s="71"/>
      <c r="D45" s="160"/>
      <c r="E45" s="54"/>
      <c r="F45" s="165"/>
      <c r="G45" s="165"/>
    </row>
    <row r="46" spans="1:7" ht="15.75">
      <c r="A46" s="122"/>
      <c r="B46" s="46"/>
      <c r="C46" s="71"/>
      <c r="D46" s="54"/>
      <c r="E46" s="54"/>
      <c r="F46" s="54"/>
      <c r="G46" s="54"/>
    </row>
    <row r="47" spans="1:7" ht="15.75">
      <c r="A47" s="18"/>
      <c r="B47" s="18"/>
      <c r="C47" s="18"/>
      <c r="D47" s="18"/>
      <c r="E47" s="18"/>
      <c r="F47" s="165"/>
      <c r="G47" s="165"/>
    </row>
    <row r="48" spans="1:7" ht="15.75">
      <c r="A48" s="17" t="s">
        <v>201</v>
      </c>
      <c r="B48" s="71"/>
      <c r="C48" s="17">
        <f>G3-1</f>
        <v>2010</v>
      </c>
      <c r="D48" s="18"/>
      <c r="E48" s="18"/>
      <c r="F48" s="26"/>
      <c r="G48" s="26"/>
    </row>
    <row r="49" spans="1:7" ht="15.75">
      <c r="A49" s="42"/>
      <c r="B49" s="110"/>
      <c r="C49" s="18"/>
      <c r="D49" s="18"/>
      <c r="E49" s="18"/>
      <c r="F49" s="42"/>
      <c r="G49" s="42"/>
    </row>
    <row r="50" spans="1:7" ht="15.75">
      <c r="A50" s="26" t="s">
        <v>34</v>
      </c>
      <c r="B50" s="26"/>
      <c r="C50" s="18"/>
      <c r="D50" s="18"/>
      <c r="E50" s="18"/>
      <c r="F50" s="26" t="s">
        <v>33</v>
      </c>
      <c r="G50" s="18"/>
    </row>
  </sheetData>
  <sheetProtection/>
  <mergeCells count="7">
    <mergeCell ref="A2:G2"/>
    <mergeCell ref="A4:G4"/>
    <mergeCell ref="A6:G6"/>
    <mergeCell ref="E13:G13"/>
    <mergeCell ref="F15:F16"/>
    <mergeCell ref="E37:E38"/>
    <mergeCell ref="F37:F38"/>
  </mergeCells>
  <printOptions/>
  <pageMargins left="0.5" right="0.5" top="0" bottom="0.5" header="0" footer="0.5"/>
  <pageSetup blackAndWhite="1" horizontalDpi="120" verticalDpi="120" orientation="portrait" scale="85" r:id="rId1"/>
  <headerFooter alignWithMargins="0">
    <oddHeader>&amp;RState of Kansas
Special District
</oddHeader>
    <oddFooter>&amp;Lrevised 3/19/09&amp;CPage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1" sqref="E21"/>
    </sheetView>
  </sheetViews>
  <sheetFormatPr defaultColWidth="8.796875" defaultRowHeight="15.75" customHeight="1"/>
  <cols>
    <col min="1" max="2" width="3.296875" style="166" customWidth="1"/>
    <col min="3" max="3" width="31.296875" style="166" customWidth="1"/>
    <col min="4" max="4" width="2.296875" style="166" customWidth="1"/>
    <col min="5" max="5" width="15.796875" style="166" customWidth="1"/>
    <col min="6" max="6" width="2" style="166" customWidth="1"/>
    <col min="7" max="7" width="15.796875" style="166" customWidth="1"/>
    <col min="8" max="8" width="1.8984375" style="166" customWidth="1"/>
    <col min="9" max="9" width="1.796875" style="166" customWidth="1"/>
    <col min="10" max="10" width="15.796875" style="166" customWidth="1"/>
    <col min="11" max="16384" width="8.8984375" style="166" customWidth="1"/>
  </cols>
  <sheetData>
    <row r="1" spans="1:10" ht="15.75" customHeight="1">
      <c r="A1" s="18"/>
      <c r="B1" s="18"/>
      <c r="C1" s="18" t="str">
        <f>inputPrYr!D3</f>
        <v>Selden Cemetery</v>
      </c>
      <c r="D1" s="18"/>
      <c r="E1" s="18"/>
      <c r="F1" s="18"/>
      <c r="G1" s="18"/>
      <c r="H1" s="18"/>
      <c r="I1" s="18"/>
      <c r="J1" s="18">
        <f>inputPrYr!D6</f>
        <v>2011</v>
      </c>
    </row>
    <row r="2" spans="1:10" ht="15.75" customHeight="1">
      <c r="A2" s="18"/>
      <c r="B2" s="18"/>
      <c r="C2" s="18" t="str">
        <f>inputPrYr!D4</f>
        <v>Sheridan County</v>
      </c>
      <c r="D2" s="18"/>
      <c r="E2" s="18"/>
      <c r="F2" s="18"/>
      <c r="G2" s="18"/>
      <c r="H2" s="18"/>
      <c r="I2" s="18"/>
      <c r="J2" s="18"/>
    </row>
    <row r="3" spans="1:10" ht="15.75">
      <c r="A3" s="383" t="str">
        <f>CONCATENATE("Computation to Determine Limit for ",J1,"")</f>
        <v>Computation to Determine Limit for 2011</v>
      </c>
      <c r="B3" s="397"/>
      <c r="C3" s="397"/>
      <c r="D3" s="397"/>
      <c r="E3" s="397"/>
      <c r="F3" s="397"/>
      <c r="G3" s="397"/>
      <c r="H3" s="397"/>
      <c r="I3" s="397"/>
      <c r="J3" s="397"/>
    </row>
    <row r="4" spans="1:10" ht="15.75">
      <c r="A4" s="18"/>
      <c r="B4" s="18"/>
      <c r="C4" s="18"/>
      <c r="D4" s="18"/>
      <c r="E4" s="397"/>
      <c r="F4" s="397"/>
      <c r="G4" s="397"/>
      <c r="H4" s="100"/>
      <c r="I4" s="18"/>
      <c r="J4" s="167" t="s">
        <v>92</v>
      </c>
    </row>
    <row r="5" spans="1:10" ht="15.75">
      <c r="A5" s="168" t="s">
        <v>93</v>
      </c>
      <c r="B5" s="18" t="str">
        <f>CONCATENATE("Total Tax Levy Amount in ",J1-1," Budget")</f>
        <v>Total Tax Levy Amount in 2010 Budget</v>
      </c>
      <c r="C5" s="18"/>
      <c r="D5" s="18"/>
      <c r="E5" s="39"/>
      <c r="F5" s="39"/>
      <c r="G5" s="39"/>
      <c r="H5" s="169" t="s">
        <v>94</v>
      </c>
      <c r="I5" s="39" t="s">
        <v>95</v>
      </c>
      <c r="J5" s="367">
        <f>inputPrYr!E24</f>
        <v>5615</v>
      </c>
    </row>
    <row r="6" spans="1:10" ht="15.75">
      <c r="A6" s="168" t="s">
        <v>96</v>
      </c>
      <c r="B6" s="18" t="str">
        <f>CONCATENATE("Debt Service Levy in ",J1-1," Budget")</f>
        <v>Debt Service Levy in 2010 Budget</v>
      </c>
      <c r="C6" s="18"/>
      <c r="D6" s="18"/>
      <c r="E6" s="39"/>
      <c r="F6" s="39"/>
      <c r="G6" s="39"/>
      <c r="H6" s="169" t="s">
        <v>97</v>
      </c>
      <c r="I6" s="39" t="s">
        <v>95</v>
      </c>
      <c r="J6" s="170">
        <f>inputPrYr!E20</f>
        <v>0</v>
      </c>
    </row>
    <row r="7" spans="1:10" ht="15.75">
      <c r="A7" s="168" t="s">
        <v>120</v>
      </c>
      <c r="B7" s="27" t="s">
        <v>114</v>
      </c>
      <c r="C7" s="18"/>
      <c r="D7" s="18"/>
      <c r="E7" s="39"/>
      <c r="F7" s="39"/>
      <c r="G7" s="39"/>
      <c r="H7" s="39"/>
      <c r="I7" s="39" t="s">
        <v>95</v>
      </c>
      <c r="J7" s="43">
        <f>J5-J6</f>
        <v>5615</v>
      </c>
    </row>
    <row r="8" spans="1:10" ht="15.75">
      <c r="A8" s="18"/>
      <c r="B8" s="18"/>
      <c r="C8" s="18"/>
      <c r="D8" s="18"/>
      <c r="E8" s="39"/>
      <c r="F8" s="39"/>
      <c r="G8" s="39"/>
      <c r="H8" s="39"/>
      <c r="I8" s="39"/>
      <c r="J8" s="39"/>
    </row>
    <row r="9" spans="1:10" ht="15.75">
      <c r="A9" s="18"/>
      <c r="B9" s="27" t="str">
        <f>CONCATENATE("",J1-1," Valuation Information for Valuation Adjustments:")</f>
        <v>2010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68" t="s">
        <v>98</v>
      </c>
      <c r="B11" s="27" t="str">
        <f>CONCATENATE("New Improvements for ",J1-1,":")</f>
        <v>New Improvements for 2010:</v>
      </c>
      <c r="C11" s="18"/>
      <c r="D11" s="18"/>
      <c r="E11" s="169"/>
      <c r="F11" s="169" t="s">
        <v>94</v>
      </c>
      <c r="G11" s="171">
        <f>inputOth!E8</f>
        <v>25850</v>
      </c>
      <c r="H11" s="172"/>
      <c r="I11" s="39"/>
      <c r="J11" s="39"/>
    </row>
    <row r="12" spans="1:10" ht="15.75">
      <c r="A12" s="168"/>
      <c r="B12" s="168"/>
      <c r="C12" s="18"/>
      <c r="D12" s="18"/>
      <c r="E12" s="169"/>
      <c r="F12" s="169"/>
      <c r="G12" s="172"/>
      <c r="H12" s="172"/>
      <c r="I12" s="39"/>
      <c r="J12" s="39"/>
    </row>
    <row r="13" spans="1:10" ht="15.75">
      <c r="A13" s="168" t="s">
        <v>99</v>
      </c>
      <c r="B13" s="27" t="str">
        <f>CONCATENATE("Increase in Personal Property for ",J1-1,":")</f>
        <v>Increase in Personal Property for 2010:</v>
      </c>
      <c r="C13" s="18"/>
      <c r="D13" s="18"/>
      <c r="E13" s="169"/>
      <c r="F13" s="169"/>
      <c r="G13" s="172"/>
      <c r="H13" s="172"/>
      <c r="I13" s="39"/>
      <c r="J13" s="39"/>
    </row>
    <row r="14" spans="1:10" ht="15.75">
      <c r="A14" s="18"/>
      <c r="B14" s="18" t="s">
        <v>100</v>
      </c>
      <c r="C14" s="18" t="str">
        <f>CONCATENATE("Personal Property ",J1-1,"")</f>
        <v>Personal Property 2010</v>
      </c>
      <c r="D14" s="168" t="s">
        <v>94</v>
      </c>
      <c r="E14" s="171">
        <f>inputOth!E9</f>
        <v>221950</v>
      </c>
      <c r="F14" s="169"/>
      <c r="G14" s="39"/>
      <c r="H14" s="39"/>
      <c r="I14" s="172"/>
      <c r="J14" s="39"/>
    </row>
    <row r="15" spans="1:10" ht="15.75">
      <c r="A15" s="168"/>
      <c r="B15" s="18" t="s">
        <v>101</v>
      </c>
      <c r="C15" s="18" t="str">
        <f>CONCATENATE("Personal Property ",J1-2,"")</f>
        <v>Personal Property 2009</v>
      </c>
      <c r="D15" s="168" t="s">
        <v>97</v>
      </c>
      <c r="E15" s="43">
        <f>inputOth!E11</f>
        <v>222352</v>
      </c>
      <c r="F15" s="169"/>
      <c r="G15" s="172"/>
      <c r="H15" s="172"/>
      <c r="I15" s="39"/>
      <c r="J15" s="39"/>
    </row>
    <row r="16" spans="1:10" ht="15.75">
      <c r="A16" s="168"/>
      <c r="B16" s="18" t="s">
        <v>102</v>
      </c>
      <c r="C16" s="18" t="s">
        <v>115</v>
      </c>
      <c r="D16" s="18"/>
      <c r="E16" s="39"/>
      <c r="F16" s="39" t="s">
        <v>94</v>
      </c>
      <c r="G16" s="171">
        <f>IF(E14&gt;E15,E14-E15,0)</f>
        <v>0</v>
      </c>
      <c r="H16" s="172"/>
      <c r="I16" s="39"/>
      <c r="J16" s="39"/>
    </row>
    <row r="17" spans="1:10" ht="15.75">
      <c r="A17" s="168"/>
      <c r="B17" s="168"/>
      <c r="C17" s="18"/>
      <c r="D17" s="18"/>
      <c r="E17" s="39"/>
      <c r="F17" s="39"/>
      <c r="G17" s="172" t="s">
        <v>110</v>
      </c>
      <c r="H17" s="172"/>
      <c r="I17" s="39"/>
      <c r="J17" s="39"/>
    </row>
    <row r="18" spans="1:10" ht="15.75">
      <c r="A18" s="168" t="s">
        <v>103</v>
      </c>
      <c r="B18" s="27" t="str">
        <f>CONCATENATE("Valuation of Property that has Changed in Use during ",J1-1,":")</f>
        <v>Valuation of Property that has Changed in Use during 2010:</v>
      </c>
      <c r="C18" s="18"/>
      <c r="D18" s="168"/>
      <c r="E18" s="39"/>
      <c r="F18" s="39"/>
      <c r="G18" s="39">
        <f>inputOth!E10</f>
        <v>19618</v>
      </c>
      <c r="H18" s="39"/>
      <c r="I18" s="39"/>
      <c r="J18" s="39"/>
    </row>
    <row r="19" spans="1:10" ht="15.75">
      <c r="A19" s="18" t="s">
        <v>18</v>
      </c>
      <c r="B19" s="18"/>
      <c r="C19" s="18"/>
      <c r="D19" s="18"/>
      <c r="E19" s="172"/>
      <c r="F19" s="39"/>
      <c r="G19" s="173"/>
      <c r="H19" s="172"/>
      <c r="I19" s="39"/>
      <c r="J19" s="39"/>
    </row>
    <row r="20" spans="1:10" ht="15.75">
      <c r="A20" s="168" t="s">
        <v>104</v>
      </c>
      <c r="B20" s="27" t="s">
        <v>116</v>
      </c>
      <c r="C20" s="18"/>
      <c r="D20" s="168"/>
      <c r="E20" s="39"/>
      <c r="F20" s="39"/>
      <c r="G20" s="171">
        <f>G11+G16+G18</f>
        <v>45468</v>
      </c>
      <c r="H20" s="172"/>
      <c r="I20" s="39"/>
      <c r="J20" s="39"/>
    </row>
    <row r="21" spans="1:10" ht="15.75">
      <c r="A21" s="168"/>
      <c r="B21" s="168"/>
      <c r="C21" s="27"/>
      <c r="D21" s="18"/>
      <c r="E21" s="39"/>
      <c r="F21" s="39"/>
      <c r="G21" s="172"/>
      <c r="H21" s="172"/>
      <c r="I21" s="39"/>
      <c r="J21" s="39"/>
    </row>
    <row r="22" spans="1:10" ht="15.75">
      <c r="A22" s="168" t="s">
        <v>105</v>
      </c>
      <c r="B22" s="18" t="str">
        <f>CONCATENATE("Total Estimated Valuation July, 1,",J1-1,"")</f>
        <v>Total Estimated Valuation July, 1,2010</v>
      </c>
      <c r="C22" s="18"/>
      <c r="D22" s="18"/>
      <c r="E22" s="171">
        <f>inputOth!E7</f>
        <v>5170278</v>
      </c>
      <c r="F22" s="39"/>
      <c r="G22" s="39"/>
      <c r="H22" s="39"/>
      <c r="I22" s="169"/>
      <c r="J22" s="39"/>
    </row>
    <row r="23" spans="1:10" ht="15.75">
      <c r="A23" s="168"/>
      <c r="B23" s="168"/>
      <c r="C23" s="18"/>
      <c r="D23" s="18"/>
      <c r="E23" s="172"/>
      <c r="F23" s="39"/>
      <c r="G23" s="39"/>
      <c r="H23" s="39"/>
      <c r="I23" s="169"/>
      <c r="J23" s="39"/>
    </row>
    <row r="24" spans="1:10" ht="15.75">
      <c r="A24" s="168" t="s">
        <v>106</v>
      </c>
      <c r="B24" s="27" t="s">
        <v>117</v>
      </c>
      <c r="C24" s="18"/>
      <c r="D24" s="18"/>
      <c r="E24" s="39"/>
      <c r="F24" s="39"/>
      <c r="G24" s="171">
        <f>E22-G20</f>
        <v>5124810</v>
      </c>
      <c r="H24" s="172"/>
      <c r="I24" s="169"/>
      <c r="J24" s="39"/>
    </row>
    <row r="25" spans="1:10" ht="15.75">
      <c r="A25" s="168"/>
      <c r="B25" s="168"/>
      <c r="C25" s="27"/>
      <c r="D25" s="18"/>
      <c r="E25" s="39"/>
      <c r="F25" s="39"/>
      <c r="G25" s="173"/>
      <c r="H25" s="172"/>
      <c r="I25" s="169"/>
      <c r="J25" s="39"/>
    </row>
    <row r="26" spans="1:10" ht="15.75">
      <c r="A26" s="168" t="s">
        <v>107</v>
      </c>
      <c r="B26" s="18" t="s">
        <v>118</v>
      </c>
      <c r="C26" s="18"/>
      <c r="D26" s="18"/>
      <c r="E26" s="18"/>
      <c r="F26" s="18"/>
      <c r="G26" s="174">
        <f>IF(G20&gt;0,G20/G24,0)</f>
        <v>0.00887213379617976</v>
      </c>
      <c r="H26" s="71"/>
      <c r="I26" s="18"/>
      <c r="J26" s="18"/>
    </row>
    <row r="27" spans="1:10" ht="15.75">
      <c r="A27" s="168"/>
      <c r="B27" s="168"/>
      <c r="C27" s="18"/>
      <c r="D27" s="18"/>
      <c r="E27" s="18"/>
      <c r="F27" s="18"/>
      <c r="G27" s="71"/>
      <c r="H27" s="71"/>
      <c r="I27" s="18"/>
      <c r="J27" s="18"/>
    </row>
    <row r="28" spans="1:10" ht="15.75">
      <c r="A28" s="168" t="s">
        <v>108</v>
      </c>
      <c r="B28" s="18" t="s">
        <v>119</v>
      </c>
      <c r="C28" s="18"/>
      <c r="D28" s="18"/>
      <c r="E28" s="18"/>
      <c r="F28" s="18"/>
      <c r="G28" s="71"/>
      <c r="H28" s="175" t="s">
        <v>94</v>
      </c>
      <c r="I28" s="18" t="s">
        <v>95</v>
      </c>
      <c r="J28" s="171">
        <f>ROUND(G26*J7,0)</f>
        <v>50</v>
      </c>
    </row>
    <row r="29" spans="1:10" ht="15.75">
      <c r="A29" s="168"/>
      <c r="B29" s="168"/>
      <c r="C29" s="18"/>
      <c r="D29" s="18"/>
      <c r="E29" s="18"/>
      <c r="F29" s="18"/>
      <c r="G29" s="71"/>
      <c r="H29" s="175"/>
      <c r="I29" s="18"/>
      <c r="J29" s="172"/>
    </row>
    <row r="30" spans="1:10" ht="16.5" thickBot="1">
      <c r="A30" s="168" t="s">
        <v>109</v>
      </c>
      <c r="B30" s="27" t="s">
        <v>124</v>
      </c>
      <c r="C30" s="18"/>
      <c r="D30" s="18"/>
      <c r="E30" s="18"/>
      <c r="F30" s="18"/>
      <c r="G30" s="18"/>
      <c r="H30" s="18"/>
      <c r="I30" s="18" t="s">
        <v>95</v>
      </c>
      <c r="J30" s="176">
        <f>J7+J28</f>
        <v>5665</v>
      </c>
    </row>
    <row r="31" spans="1:10" ht="16.5" thickTop="1">
      <c r="A31" s="168"/>
      <c r="B31" s="27"/>
      <c r="C31" s="18"/>
      <c r="D31" s="18"/>
      <c r="E31" s="18"/>
      <c r="F31" s="18"/>
      <c r="G31" s="18"/>
      <c r="H31" s="18"/>
      <c r="I31" s="18"/>
      <c r="J31" s="18"/>
    </row>
    <row r="32" spans="1:10" ht="15.75">
      <c r="A32" s="168" t="s">
        <v>122</v>
      </c>
      <c r="B32" s="27" t="str">
        <f>CONCATENATE("Debt Service Levy in this ",J1," Budget")</f>
        <v>Debt Service Levy in this 2011 Budget</v>
      </c>
      <c r="C32" s="18"/>
      <c r="D32" s="18"/>
      <c r="E32" s="18"/>
      <c r="F32" s="18"/>
      <c r="G32" s="18"/>
      <c r="H32" s="18"/>
      <c r="I32" s="18"/>
      <c r="J32" s="177">
        <v>0</v>
      </c>
    </row>
    <row r="33" spans="1:10" ht="15.75">
      <c r="A33" s="168"/>
      <c r="B33" s="27"/>
      <c r="C33" s="18"/>
      <c r="D33" s="18"/>
      <c r="E33" s="18"/>
      <c r="F33" s="18"/>
      <c r="G33" s="18"/>
      <c r="H33" s="18"/>
      <c r="I33" s="18"/>
      <c r="J33" s="71"/>
    </row>
    <row r="34" spans="1:10" ht="16.5" thickBot="1">
      <c r="A34" s="168" t="s">
        <v>123</v>
      </c>
      <c r="B34" s="27" t="s">
        <v>125</v>
      </c>
      <c r="C34" s="18"/>
      <c r="D34" s="18"/>
      <c r="E34" s="18"/>
      <c r="F34" s="18"/>
      <c r="G34" s="18"/>
      <c r="H34" s="18"/>
      <c r="I34" s="18"/>
      <c r="J34" s="176">
        <f>J30+J32</f>
        <v>5665</v>
      </c>
    </row>
    <row r="35" spans="1:10" ht="16.5" thickTop="1">
      <c r="A35" s="18"/>
      <c r="B35" s="18"/>
      <c r="C35" s="18"/>
      <c r="D35" s="18"/>
      <c r="E35" s="18"/>
      <c r="F35" s="18"/>
      <c r="G35" s="18"/>
      <c r="H35" s="18"/>
      <c r="I35" s="18"/>
      <c r="J35" s="18"/>
    </row>
    <row r="36" spans="1:10" ht="15.75">
      <c r="A36" s="408" t="str">
        <f>CONCATENATE("If the ",J1," budget includes tax levies exceeding the total on line 14, you must")</f>
        <v>If the 2011 budget includes tax levies exceeding the total on line 14, you must</v>
      </c>
      <c r="B36" s="408"/>
      <c r="C36" s="408"/>
      <c r="D36" s="408"/>
      <c r="E36" s="408"/>
      <c r="F36" s="408"/>
      <c r="G36" s="408"/>
      <c r="H36" s="408"/>
      <c r="I36" s="408"/>
      <c r="J36" s="408"/>
    </row>
    <row r="37" spans="1:10" ht="15.75">
      <c r="A37" s="408" t="s">
        <v>121</v>
      </c>
      <c r="B37" s="408"/>
      <c r="C37" s="408"/>
      <c r="D37" s="408"/>
      <c r="E37" s="408"/>
      <c r="F37" s="408"/>
      <c r="G37" s="408"/>
      <c r="H37" s="408"/>
      <c r="I37" s="408"/>
      <c r="J37" s="408"/>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&amp;Lrevised 8/06/07&amp;CPage No. 2</oddFooter>
  </headerFooter>
</worksheet>
</file>

<file path=xl/worksheets/sheet7.xml><?xml version="1.0" encoding="utf-8"?>
<worksheet xmlns="http://schemas.openxmlformats.org/spreadsheetml/2006/main" xmlns:r="http://schemas.openxmlformats.org/officeDocument/2006/relationships">
  <dimension ref="A1:I33"/>
  <sheetViews>
    <sheetView zoomScalePageLayoutView="0" workbookViewId="0" topLeftCell="B10">
      <selection activeCell="E21" sqref="E21"/>
    </sheetView>
  </sheetViews>
  <sheetFormatPr defaultColWidth="8.796875" defaultRowHeight="15"/>
  <cols>
    <col min="1" max="1" width="8.8984375" style="187" customWidth="1"/>
    <col min="2" max="2" width="17.796875" style="16" customWidth="1"/>
    <col min="3" max="3" width="15.796875" style="16" customWidth="1"/>
    <col min="4" max="4" width="11.796875" style="16" customWidth="1"/>
    <col min="5" max="5" width="12.296875" style="16" customWidth="1"/>
    <col min="6" max="6" width="11.796875" style="16" customWidth="1"/>
    <col min="7" max="9" width="10.796875" style="16" customWidth="1"/>
    <col min="10" max="16384" width="8.8984375" style="16" customWidth="1"/>
  </cols>
  <sheetData>
    <row r="1" spans="1:9" ht="15.75">
      <c r="A1" s="18"/>
      <c r="B1" s="18" t="str">
        <f>inputPrYr!D3</f>
        <v>Selden Cemetery</v>
      </c>
      <c r="C1" s="18"/>
      <c r="D1" s="18"/>
      <c r="E1" s="18"/>
      <c r="F1" s="18"/>
      <c r="G1" s="18"/>
      <c r="H1" s="18"/>
      <c r="I1" s="18"/>
    </row>
    <row r="2" spans="1:9" ht="15.75">
      <c r="A2" s="18"/>
      <c r="B2" s="18" t="str">
        <f>inputPrYr!D4</f>
        <v>Sheridan County</v>
      </c>
      <c r="C2" s="18"/>
      <c r="D2" s="18"/>
      <c r="E2" s="18"/>
      <c r="F2" s="18"/>
      <c r="G2" s="18"/>
      <c r="H2" s="18"/>
      <c r="I2" s="18">
        <f>inputPrYr!D6</f>
        <v>2011</v>
      </c>
    </row>
    <row r="3" spans="1:9" ht="15.75">
      <c r="A3" s="18"/>
      <c r="B3" s="18"/>
      <c r="C3" s="179"/>
      <c r="D3" s="179"/>
      <c r="E3" s="179"/>
      <c r="F3" s="179"/>
      <c r="G3" s="179"/>
      <c r="H3" s="179"/>
      <c r="I3" s="18"/>
    </row>
    <row r="4" spans="1:9" ht="15.75">
      <c r="A4" s="54"/>
      <c r="B4" s="18"/>
      <c r="C4" s="18"/>
      <c r="D4" s="18"/>
      <c r="E4" s="18"/>
      <c r="F4" s="18"/>
      <c r="G4" s="18"/>
      <c r="H4" s="18"/>
      <c r="I4" s="18"/>
    </row>
    <row r="5" spans="1:9" ht="15.75">
      <c r="A5" s="54"/>
      <c r="B5" s="18"/>
      <c r="C5" s="26"/>
      <c r="D5" s="26"/>
      <c r="E5" s="26"/>
      <c r="F5" s="18"/>
      <c r="G5" s="18"/>
      <c r="H5" s="18"/>
      <c r="I5" s="18"/>
    </row>
    <row r="6" spans="1:9" ht="15.75">
      <c r="A6" s="54"/>
      <c r="B6" s="409" t="s">
        <v>242</v>
      </c>
      <c r="C6" s="409"/>
      <c r="D6" s="409"/>
      <c r="E6" s="409"/>
      <c r="F6" s="409"/>
      <c r="G6" s="18"/>
      <c r="H6" s="18"/>
      <c r="I6" s="18"/>
    </row>
    <row r="7" spans="1:9" ht="15.75">
      <c r="A7" s="54"/>
      <c r="B7" s="180"/>
      <c r="C7" s="180"/>
      <c r="D7" s="180"/>
      <c r="E7" s="180"/>
      <c r="F7" s="180"/>
      <c r="G7" s="18"/>
      <c r="H7" s="18"/>
      <c r="I7" s="18"/>
    </row>
    <row r="8" spans="1:9" ht="15.75">
      <c r="A8" s="18"/>
      <c r="B8" s="18"/>
      <c r="C8" s="18"/>
      <c r="D8" s="18"/>
      <c r="E8" s="18"/>
      <c r="F8" s="18"/>
      <c r="G8" s="18"/>
      <c r="H8" s="18"/>
      <c r="I8" s="18"/>
    </row>
    <row r="9" spans="1:9" ht="15.75">
      <c r="A9" s="18"/>
      <c r="B9" s="412" t="str">
        <f>CONCATENATE("",I2-1,"                    Budgeted Funds")</f>
        <v>2010                    Budgeted Funds</v>
      </c>
      <c r="C9" s="410" t="str">
        <f>CONCATENATE("Tax Levy Amount in ",I2-2," Budget")</f>
        <v>Tax Levy Amount in 2009 Budget</v>
      </c>
      <c r="D9" s="400" t="str">
        <f>CONCATENATE("Allocation for Year ",I2,"")</f>
        <v>Allocation for Year 2011</v>
      </c>
      <c r="E9" s="413"/>
      <c r="F9" s="413"/>
      <c r="G9" s="402"/>
      <c r="H9" s="18"/>
      <c r="I9" s="18"/>
    </row>
    <row r="10" spans="1:9" ht="15.75">
      <c r="A10" s="18"/>
      <c r="B10" s="411"/>
      <c r="C10" s="411"/>
      <c r="D10" s="118" t="s">
        <v>44</v>
      </c>
      <c r="E10" s="118" t="s">
        <v>45</v>
      </c>
      <c r="F10" s="118" t="s">
        <v>89</v>
      </c>
      <c r="G10" s="115" t="s">
        <v>163</v>
      </c>
      <c r="H10" s="18"/>
      <c r="I10" s="18"/>
    </row>
    <row r="11" spans="1:9" ht="15.75">
      <c r="A11" s="18"/>
      <c r="B11" s="38" t="str">
        <f>inputPrYr!B19</f>
        <v>General</v>
      </c>
      <c r="C11" s="129">
        <f>inputPrYr!E19</f>
        <v>5615</v>
      </c>
      <c r="D11" s="129">
        <f>IF(E17=0,0,E17-D12-D13-D14)</f>
        <v>543</v>
      </c>
      <c r="E11" s="129">
        <f>IF(E19=0,0,E19-E12-E13-E14)</f>
        <v>15</v>
      </c>
      <c r="F11" s="129">
        <f>IF(E21=0,0,E21-F12-F13-F14)</f>
        <v>76</v>
      </c>
      <c r="G11" s="129">
        <f>IF(E23=0,0,E23-G12-G13-G14)</f>
        <v>0</v>
      </c>
      <c r="H11" s="18"/>
      <c r="I11" s="18"/>
    </row>
    <row r="12" spans="1:9" ht="15.75">
      <c r="A12" s="18"/>
      <c r="B12" s="38">
        <f>inputPrYr!B20</f>
        <v>0</v>
      </c>
      <c r="C12" s="129">
        <f>inputPrYr!E20</f>
        <v>0</v>
      </c>
      <c r="D12" s="129">
        <f>IF($E$17=0,0,ROUND(C12*$C$25,0))</f>
        <v>0</v>
      </c>
      <c r="E12" s="129">
        <f>IF($E$19=0,0,ROUND(C12*$D$27,0))</f>
        <v>0</v>
      </c>
      <c r="F12" s="129">
        <f>IF($E21=0,0,ROUND(C12*$E$29,0))</f>
        <v>0</v>
      </c>
      <c r="G12" s="129">
        <f>IF($E23=0,0,ROUND(C12*$F$31,0))</f>
        <v>0</v>
      </c>
      <c r="H12" s="18"/>
      <c r="I12" s="18"/>
    </row>
    <row r="13" spans="1:9" ht="15.75">
      <c r="A13" s="18"/>
      <c r="B13" s="38" t="str">
        <f>IF(inputPrYr!$B$22&gt;"  ",inputPrYr!$B$22,"  ")</f>
        <v>  </v>
      </c>
      <c r="C13" s="129">
        <f>inputPrYr!E22</f>
        <v>0</v>
      </c>
      <c r="D13" s="129">
        <f>IF($E$17=0,0,ROUND(C13*$C$25,0))</f>
        <v>0</v>
      </c>
      <c r="E13" s="129">
        <f>IF($E$19=0,0,ROUND(C13*$D$27,0))</f>
        <v>0</v>
      </c>
      <c r="F13" s="129">
        <f>IF($E21=0,0,ROUND(C13*$E$29,0))</f>
        <v>0</v>
      </c>
      <c r="G13" s="129">
        <f>IF($E23=0,0,ROUND(C13*$F$31,0))</f>
        <v>0</v>
      </c>
      <c r="H13" s="104"/>
      <c r="I13" s="18"/>
    </row>
    <row r="14" spans="1:9" ht="15.75">
      <c r="A14" s="18"/>
      <c r="B14" s="38" t="str">
        <f>IF(inputPrYr!$B$23&gt;"  ",inputPrYr!$B$23,"  ")</f>
        <v>  </v>
      </c>
      <c r="C14" s="129">
        <f>inputPrYr!E23</f>
        <v>0</v>
      </c>
      <c r="D14" s="129">
        <f>IF($E$17=0,0,ROUND(C14*$C$25,0))</f>
        <v>0</v>
      </c>
      <c r="E14" s="129">
        <f>IF($E$19=0,0,ROUND(C14*$D$27,0))</f>
        <v>0</v>
      </c>
      <c r="F14" s="129">
        <f>IF($E21=0,0,ROUND(C14*$E$29,0))</f>
        <v>0</v>
      </c>
      <c r="G14" s="129">
        <f>IF($E23=0,0,ROUND(C14*$F$31,0))</f>
        <v>0</v>
      </c>
      <c r="H14" s="18"/>
      <c r="I14" s="18"/>
    </row>
    <row r="15" spans="1:9" ht="16.5" thickBot="1">
      <c r="A15" s="18"/>
      <c r="B15" s="35" t="s">
        <v>13</v>
      </c>
      <c r="C15" s="138">
        <f>SUM(C11:C14)</f>
        <v>5615</v>
      </c>
      <c r="D15" s="138">
        <f>SUM(D11:D14)</f>
        <v>543</v>
      </c>
      <c r="E15" s="138">
        <f>SUM(E11:E14)</f>
        <v>15</v>
      </c>
      <c r="F15" s="138">
        <f>SUM(F11:F14)</f>
        <v>76</v>
      </c>
      <c r="G15" s="137">
        <f>SUM(G11:G14)</f>
        <v>0</v>
      </c>
      <c r="H15" s="18"/>
      <c r="I15" s="18"/>
    </row>
    <row r="16" spans="1:9" ht="16.5" thickTop="1">
      <c r="A16" s="18"/>
      <c r="B16" s="18"/>
      <c r="C16" s="18"/>
      <c r="D16" s="18"/>
      <c r="E16" s="18"/>
      <c r="F16" s="18"/>
      <c r="G16" s="18"/>
      <c r="H16" s="18"/>
      <c r="I16" s="18"/>
    </row>
    <row r="17" spans="1:9" ht="15.75">
      <c r="A17" s="18"/>
      <c r="B17" s="17" t="s">
        <v>46</v>
      </c>
      <c r="C17" s="18"/>
      <c r="D17" s="18"/>
      <c r="E17" s="182">
        <f>inputOth!E27</f>
        <v>543</v>
      </c>
      <c r="F17" s="18"/>
      <c r="G17" s="18"/>
      <c r="H17" s="18"/>
      <c r="I17" s="18"/>
    </row>
    <row r="18" spans="1:9" ht="15.75">
      <c r="A18" s="18"/>
      <c r="B18" s="18"/>
      <c r="C18" s="18"/>
      <c r="D18" s="179"/>
      <c r="E18" s="179"/>
      <c r="F18" s="18"/>
      <c r="G18" s="18"/>
      <c r="H18" s="18"/>
      <c r="I18" s="18"/>
    </row>
    <row r="19" spans="1:9" ht="15.75">
      <c r="A19" s="18"/>
      <c r="B19" s="17" t="s">
        <v>47</v>
      </c>
      <c r="C19" s="18"/>
      <c r="D19" s="179"/>
      <c r="E19" s="182">
        <f>inputOth!E28</f>
        <v>15</v>
      </c>
      <c r="F19" s="18"/>
      <c r="G19" s="18"/>
      <c r="H19" s="18"/>
      <c r="I19" s="18"/>
    </row>
    <row r="20" spans="1:9" ht="15.75">
      <c r="A20" s="18"/>
      <c r="B20" s="18"/>
      <c r="C20" s="18"/>
      <c r="D20" s="18"/>
      <c r="E20" s="18"/>
      <c r="F20" s="18"/>
      <c r="G20" s="18"/>
      <c r="H20" s="18"/>
      <c r="I20" s="18"/>
    </row>
    <row r="21" spans="1:9" ht="15.75">
      <c r="A21" s="18"/>
      <c r="B21" s="17" t="s">
        <v>90</v>
      </c>
      <c r="C21" s="18"/>
      <c r="D21" s="18"/>
      <c r="E21" s="182">
        <f>inputOth!E29</f>
        <v>76</v>
      </c>
      <c r="F21" s="18"/>
      <c r="G21" s="18"/>
      <c r="H21" s="18"/>
      <c r="I21" s="18"/>
    </row>
    <row r="22" spans="1:9" ht="15.75">
      <c r="A22" s="18"/>
      <c r="B22" s="18"/>
      <c r="C22" s="18"/>
      <c r="D22" s="18"/>
      <c r="E22" s="18"/>
      <c r="F22" s="18"/>
      <c r="G22" s="18"/>
      <c r="H22" s="18"/>
      <c r="I22" s="18"/>
    </row>
    <row r="23" spans="1:9" ht="15.75">
      <c r="A23" s="18"/>
      <c r="B23" s="18" t="s">
        <v>219</v>
      </c>
      <c r="C23" s="18"/>
      <c r="D23" s="18"/>
      <c r="E23" s="171">
        <f>inputOth!E31</f>
        <v>0</v>
      </c>
      <c r="F23" s="18"/>
      <c r="G23" s="18"/>
      <c r="H23" s="18"/>
      <c r="I23" s="18"/>
    </row>
    <row r="24" spans="1:9" ht="15.75">
      <c r="A24" s="18"/>
      <c r="B24" s="18"/>
      <c r="C24" s="18"/>
      <c r="D24" s="18"/>
      <c r="E24" s="18"/>
      <c r="F24" s="18"/>
      <c r="G24" s="18"/>
      <c r="H24" s="18"/>
      <c r="I24" s="18"/>
    </row>
    <row r="25" spans="1:9" ht="15.75">
      <c r="A25" s="18"/>
      <c r="B25" s="149" t="s">
        <v>48</v>
      </c>
      <c r="C25" s="183">
        <f>IF(C15=0,0,E17/C15)</f>
        <v>0.09670525378450578</v>
      </c>
      <c r="D25" s="18"/>
      <c r="E25" s="18"/>
      <c r="F25" s="18"/>
      <c r="G25" s="18"/>
      <c r="H25" s="18"/>
      <c r="I25" s="18"/>
    </row>
    <row r="26" spans="1:9" ht="15.75">
      <c r="A26" s="18"/>
      <c r="B26" s="17"/>
      <c r="C26" s="184"/>
      <c r="D26" s="18"/>
      <c r="E26" s="18"/>
      <c r="F26" s="18"/>
      <c r="G26" s="18"/>
      <c r="H26" s="18"/>
      <c r="I26" s="18"/>
    </row>
    <row r="27" spans="1:9" ht="15.75">
      <c r="A27" s="18"/>
      <c r="B27" s="18"/>
      <c r="C27" s="149" t="s">
        <v>49</v>
      </c>
      <c r="D27" s="185">
        <f>IF(C15=0,0,E19/C15)</f>
        <v>0.0026714158504007124</v>
      </c>
      <c r="E27" s="18"/>
      <c r="F27" s="18"/>
      <c r="G27" s="18"/>
      <c r="H27" s="18"/>
      <c r="I27" s="18"/>
    </row>
    <row r="28" spans="1:9" ht="15.75">
      <c r="A28" s="18"/>
      <c r="B28" s="18"/>
      <c r="C28" s="17"/>
      <c r="D28" s="186"/>
      <c r="E28" s="18"/>
      <c r="F28" s="18"/>
      <c r="G28" s="18"/>
      <c r="H28" s="18"/>
      <c r="I28" s="18"/>
    </row>
    <row r="29" spans="1:9" ht="15.75">
      <c r="A29" s="18"/>
      <c r="B29" s="18"/>
      <c r="C29" s="18"/>
      <c r="D29" s="149" t="s">
        <v>91</v>
      </c>
      <c r="E29" s="185">
        <f>IF(C15=0,0,E21/C15)</f>
        <v>0.013535173642030275</v>
      </c>
      <c r="F29" s="18"/>
      <c r="G29" s="18"/>
      <c r="H29" s="18"/>
      <c r="I29" s="18"/>
    </row>
    <row r="30" spans="1:9" ht="15.75">
      <c r="A30" s="18"/>
      <c r="B30" s="18"/>
      <c r="C30" s="18"/>
      <c r="D30" s="18"/>
      <c r="E30" s="18"/>
      <c r="F30" s="18"/>
      <c r="G30" s="18"/>
      <c r="H30" s="18"/>
      <c r="I30" s="18"/>
    </row>
    <row r="31" spans="1:9" ht="15.75">
      <c r="A31" s="18"/>
      <c r="B31" s="18"/>
      <c r="C31" s="54"/>
      <c r="D31" s="54"/>
      <c r="E31" s="54" t="s">
        <v>220</v>
      </c>
      <c r="F31" s="185">
        <f>IF(C15=0,0,E23/C15)</f>
        <v>0</v>
      </c>
      <c r="G31" s="54"/>
      <c r="H31" s="54"/>
      <c r="I31" s="18"/>
    </row>
    <row r="32" spans="1:9" ht="15.75">
      <c r="A32" s="18"/>
      <c r="B32" s="18"/>
      <c r="C32" s="54"/>
      <c r="D32" s="54"/>
      <c r="E32" s="54"/>
      <c r="F32" s="54"/>
      <c r="G32" s="54"/>
      <c r="H32" s="54"/>
      <c r="I32" s="18"/>
    </row>
    <row r="33" spans="1:9" ht="15.75">
      <c r="A33" s="18"/>
      <c r="B33" s="18"/>
      <c r="C33" s="54"/>
      <c r="D33" s="54"/>
      <c r="E33" s="54"/>
      <c r="F33" s="54"/>
      <c r="G33" s="54"/>
      <c r="H33" s="54"/>
      <c r="I33" s="18"/>
    </row>
  </sheetData>
  <sheetProtection/>
  <mergeCells count="4">
    <mergeCell ref="B6:F6"/>
    <mergeCell ref="C9:C10"/>
    <mergeCell ref="B9:B10"/>
    <mergeCell ref="D9:G9"/>
  </mergeCells>
  <printOptions/>
  <pageMargins left="0.5" right="0.5" top="1" bottom="0.5" header="0.5" footer="0.5"/>
  <pageSetup blackAndWhite="1" horizontalDpi="120" verticalDpi="120" orientation="landscape" scale="85" r:id="rId1"/>
  <headerFooter alignWithMargins="0">
    <oddHeader>&amp;RState of Kansas
Special District
</oddHeader>
    <oddFooter>&amp;Lrevised 9/22/09&amp;CPage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21" sqref="E2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79"/>
      <c r="B1" s="18"/>
      <c r="C1" s="18"/>
      <c r="D1" s="18"/>
      <c r="E1" s="178"/>
      <c r="F1" s="18">
        <f>inputPrYr!D6</f>
        <v>2011</v>
      </c>
    </row>
    <row r="2" spans="1:6" ht="15.75">
      <c r="A2" s="188" t="str">
        <f>inputPrYr!D3</f>
        <v>Selden Cemetery</v>
      </c>
      <c r="B2" s="188"/>
      <c r="C2" s="18"/>
      <c r="D2" s="18"/>
      <c r="E2" s="178"/>
      <c r="F2" s="18"/>
    </row>
    <row r="3" spans="1:6" ht="15.75">
      <c r="A3" s="188" t="str">
        <f>inputPrYr!D4</f>
        <v>Sheridan County</v>
      </c>
      <c r="B3" s="188"/>
      <c r="C3" s="18"/>
      <c r="D3" s="18"/>
      <c r="E3" s="178"/>
      <c r="F3" s="18"/>
    </row>
    <row r="4" spans="1:6" ht="15.75">
      <c r="A4" s="179"/>
      <c r="B4" s="18"/>
      <c r="C4" s="18"/>
      <c r="D4" s="18"/>
      <c r="E4" s="178"/>
      <c r="F4" s="18"/>
    </row>
    <row r="5" spans="1:6" ht="15" customHeight="1">
      <c r="A5" s="397" t="s">
        <v>146</v>
      </c>
      <c r="B5" s="397"/>
      <c r="C5" s="397"/>
      <c r="D5" s="397"/>
      <c r="E5" s="397"/>
      <c r="F5" s="397"/>
    </row>
    <row r="6" spans="1:6" ht="14.25" customHeight="1">
      <c r="A6" s="100"/>
      <c r="B6" s="189"/>
      <c r="C6" s="189"/>
      <c r="D6" s="189"/>
      <c r="E6" s="189"/>
      <c r="F6" s="189"/>
    </row>
    <row r="7" spans="1:6" ht="17.25" customHeight="1">
      <c r="A7" s="190" t="s">
        <v>24</v>
      </c>
      <c r="B7" s="190" t="s">
        <v>575</v>
      </c>
      <c r="C7" s="190" t="s">
        <v>50</v>
      </c>
      <c r="D7" s="190" t="s">
        <v>147</v>
      </c>
      <c r="E7" s="190" t="s">
        <v>148</v>
      </c>
      <c r="F7" s="190" t="s">
        <v>164</v>
      </c>
    </row>
    <row r="8" spans="1:6" ht="17.25" customHeight="1">
      <c r="A8" s="191" t="s">
        <v>576</v>
      </c>
      <c r="B8" s="191" t="s">
        <v>577</v>
      </c>
      <c r="C8" s="191" t="s">
        <v>165</v>
      </c>
      <c r="D8" s="191" t="s">
        <v>165</v>
      </c>
      <c r="E8" s="191" t="s">
        <v>165</v>
      </c>
      <c r="F8" s="191" t="s">
        <v>166</v>
      </c>
    </row>
    <row r="9" spans="1:6" s="194" customFormat="1" ht="18" customHeight="1">
      <c r="A9" s="192" t="s">
        <v>167</v>
      </c>
      <c r="B9" s="192" t="s">
        <v>168</v>
      </c>
      <c r="C9" s="193">
        <f>F1-2</f>
        <v>2009</v>
      </c>
      <c r="D9" s="193">
        <f>F1-1</f>
        <v>2010</v>
      </c>
      <c r="E9" s="193">
        <f>F1</f>
        <v>2011</v>
      </c>
      <c r="F9" s="192" t="s">
        <v>169</v>
      </c>
    </row>
    <row r="10" spans="1:6" ht="15" customHeight="1">
      <c r="A10" s="195"/>
      <c r="B10" s="195"/>
      <c r="C10" s="196"/>
      <c r="D10" s="196"/>
      <c r="E10" s="196"/>
      <c r="F10" s="195"/>
    </row>
    <row r="11" spans="1:6" ht="15" customHeight="1">
      <c r="A11" s="48"/>
      <c r="B11" s="48"/>
      <c r="C11" s="155"/>
      <c r="D11" s="155"/>
      <c r="E11" s="155"/>
      <c r="F11" s="48"/>
    </row>
    <row r="12" spans="1:6" ht="15" customHeight="1">
      <c r="A12" s="48"/>
      <c r="B12" s="48"/>
      <c r="C12" s="155"/>
      <c r="D12" s="155"/>
      <c r="E12" s="155"/>
      <c r="F12" s="48"/>
    </row>
    <row r="13" spans="1:6" ht="15" customHeight="1">
      <c r="A13" s="48"/>
      <c r="B13" s="48"/>
      <c r="C13" s="155"/>
      <c r="D13" s="155"/>
      <c r="E13" s="155"/>
      <c r="F13" s="48"/>
    </row>
    <row r="14" spans="1:6" ht="15" customHeight="1">
      <c r="A14" s="48"/>
      <c r="B14" s="48"/>
      <c r="C14" s="155"/>
      <c r="D14" s="155"/>
      <c r="E14" s="155"/>
      <c r="F14" s="48"/>
    </row>
    <row r="15" spans="1:6" ht="15" customHeight="1">
      <c r="A15" s="48"/>
      <c r="B15" s="48"/>
      <c r="C15" s="155"/>
      <c r="D15" s="155"/>
      <c r="E15" s="155"/>
      <c r="F15" s="48"/>
    </row>
    <row r="16" spans="1:6" ht="15" customHeight="1">
      <c r="A16" s="48"/>
      <c r="B16" s="197"/>
      <c r="C16" s="155"/>
      <c r="D16" s="155"/>
      <c r="E16" s="155"/>
      <c r="F16" s="48"/>
    </row>
    <row r="17" spans="1:6" ht="15" customHeight="1">
      <c r="A17" s="48"/>
      <c r="B17" s="48"/>
      <c r="C17" s="155"/>
      <c r="D17" s="155"/>
      <c r="E17" s="155"/>
      <c r="F17" s="48"/>
    </row>
    <row r="18" spans="1:6" ht="15" customHeight="1">
      <c r="A18" s="48"/>
      <c r="B18" s="48"/>
      <c r="C18" s="155"/>
      <c r="D18" s="155"/>
      <c r="E18" s="155"/>
      <c r="F18" s="48"/>
    </row>
    <row r="19" spans="1:6" ht="15" customHeight="1">
      <c r="A19" s="48"/>
      <c r="B19" s="48"/>
      <c r="C19" s="155"/>
      <c r="D19" s="155"/>
      <c r="E19" s="155"/>
      <c r="F19" s="48"/>
    </row>
    <row r="20" spans="1:6" ht="15" customHeight="1">
      <c r="A20" s="48"/>
      <c r="B20" s="48"/>
      <c r="C20" s="155"/>
      <c r="D20" s="155"/>
      <c r="E20" s="155"/>
      <c r="F20" s="48"/>
    </row>
    <row r="21" spans="1:6" ht="15" customHeight="1">
      <c r="A21" s="48"/>
      <c r="B21" s="48"/>
      <c r="C21" s="155"/>
      <c r="D21" s="155"/>
      <c r="E21" s="155"/>
      <c r="F21" s="48"/>
    </row>
    <row r="22" spans="1:6" ht="15" customHeight="1">
      <c r="A22" s="48"/>
      <c r="B22" s="48"/>
      <c r="C22" s="155"/>
      <c r="D22" s="155"/>
      <c r="E22" s="155"/>
      <c r="F22" s="48"/>
    </row>
    <row r="23" spans="1:6" ht="15" customHeight="1">
      <c r="A23" s="48"/>
      <c r="B23" s="48"/>
      <c r="C23" s="155"/>
      <c r="D23" s="155"/>
      <c r="E23" s="155"/>
      <c r="F23" s="48"/>
    </row>
    <row r="24" spans="1:7" ht="15.75">
      <c r="A24" s="32"/>
      <c r="B24" s="198" t="s">
        <v>135</v>
      </c>
      <c r="C24" s="199">
        <f>SUM(C10:C23)</f>
        <v>0</v>
      </c>
      <c r="D24" s="199">
        <f>SUM(D10:D23)</f>
        <v>0</v>
      </c>
      <c r="E24" s="199">
        <f>SUM(E10:E23)</f>
        <v>0</v>
      </c>
      <c r="F24" s="200"/>
      <c r="G24" s="63"/>
    </row>
    <row r="25" spans="1:7" ht="15.75">
      <c r="A25" s="32"/>
      <c r="B25" s="201" t="s">
        <v>574</v>
      </c>
      <c r="C25" s="202"/>
      <c r="D25" s="203"/>
      <c r="E25" s="203"/>
      <c r="F25" s="200"/>
      <c r="G25" s="63"/>
    </row>
    <row r="26" spans="1:7" ht="15.75">
      <c r="A26" s="32"/>
      <c r="B26" s="198" t="s">
        <v>170</v>
      </c>
      <c r="C26" s="199">
        <f>C24</f>
        <v>0</v>
      </c>
      <c r="D26" s="199">
        <f>SUM(D24-D25)</f>
        <v>0</v>
      </c>
      <c r="E26" s="199">
        <f>SUM(E24-E25)</f>
        <v>0</v>
      </c>
      <c r="F26" s="200"/>
      <c r="G26" s="63"/>
    </row>
    <row r="27" spans="1:7" ht="15.75">
      <c r="A27" s="18"/>
      <c r="B27" s="18"/>
      <c r="C27" s="18"/>
      <c r="D27" s="54"/>
      <c r="E27" s="54"/>
      <c r="F27" s="54"/>
      <c r="G27" s="63"/>
    </row>
    <row r="28" spans="1:7" ht="15.75">
      <c r="A28" s="18"/>
      <c r="B28" s="18"/>
      <c r="C28" s="18"/>
      <c r="D28" s="54"/>
      <c r="E28" s="54"/>
      <c r="F28" s="54"/>
      <c r="G28" s="63"/>
    </row>
    <row r="29" spans="1:7" ht="15.75">
      <c r="A29" s="370" t="s">
        <v>578</v>
      </c>
      <c r="B29" s="371" t="str">
        <f>CONCATENATE("Adjustments are required only if the transfer is being made in ",D9," and/or ",E9," from a non-budgeted fund.")</f>
        <v>Adjustments are required only if the transfer is being made in 2010 and/or 2011 from a non-budgeted fund.</v>
      </c>
      <c r="C29" s="54"/>
      <c r="D29" s="54"/>
      <c r="E29" s="54"/>
      <c r="F29" s="54"/>
      <c r="G29" s="63"/>
    </row>
    <row r="30" spans="1:7" ht="15.75">
      <c r="A30" s="63"/>
      <c r="B30" s="63"/>
      <c r="C30" s="63"/>
      <c r="D30" s="63"/>
      <c r="E30" s="63"/>
      <c r="F30" s="63"/>
      <c r="G30" s="63"/>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&amp;Lrevised 1/05/10&amp;CPage No. 4</oddFooter>
  </headerFooter>
</worksheet>
</file>

<file path=xl/worksheets/sheet9.xml><?xml version="1.0" encoding="utf-8"?>
<worksheet xmlns="http://schemas.openxmlformats.org/spreadsheetml/2006/main" xmlns:r="http://schemas.openxmlformats.org/officeDocument/2006/relationships">
  <dimension ref="A1:A29"/>
  <sheetViews>
    <sheetView zoomScalePageLayoutView="0" workbookViewId="0" topLeftCell="A4">
      <selection activeCell="A1" sqref="A1"/>
    </sheetView>
  </sheetViews>
  <sheetFormatPr defaultColWidth="8.796875" defaultRowHeight="15"/>
  <cols>
    <col min="1" max="1" width="71.09765625" style="63" customWidth="1"/>
    <col min="2" max="16384" width="8.8984375" style="63" customWidth="1"/>
  </cols>
  <sheetData>
    <row r="1" ht="18.75">
      <c r="A1" s="317" t="s">
        <v>308</v>
      </c>
    </row>
    <row r="2" ht="15.75">
      <c r="A2" s="99"/>
    </row>
    <row r="3" ht="47.25">
      <c r="A3" s="318" t="s">
        <v>309</v>
      </c>
    </row>
    <row r="4" ht="15.75">
      <c r="A4" s="319"/>
    </row>
    <row r="5" ht="15.75">
      <c r="A5" s="99"/>
    </row>
    <row r="6" ht="63">
      <c r="A6" s="318" t="s">
        <v>310</v>
      </c>
    </row>
    <row r="7" ht="15.75">
      <c r="A7" s="319"/>
    </row>
    <row r="8" ht="15.75">
      <c r="A8" s="99"/>
    </row>
    <row r="9" ht="47.25">
      <c r="A9" s="318" t="s">
        <v>311</v>
      </c>
    </row>
    <row r="10" ht="15.75">
      <c r="A10" s="319"/>
    </row>
    <row r="11" ht="15.75">
      <c r="A11" s="319"/>
    </row>
    <row r="12" ht="31.5">
      <c r="A12" s="318" t="s">
        <v>312</v>
      </c>
    </row>
    <row r="13" ht="15.75">
      <c r="A13" s="99"/>
    </row>
    <row r="14" ht="15.75">
      <c r="A14" s="99"/>
    </row>
    <row r="15" ht="47.25">
      <c r="A15" s="318" t="s">
        <v>313</v>
      </c>
    </row>
    <row r="16" ht="15.75">
      <c r="A16" s="99"/>
    </row>
    <row r="17" ht="15.75">
      <c r="A17" s="99"/>
    </row>
    <row r="18" ht="63">
      <c r="A18" s="340" t="s">
        <v>314</v>
      </c>
    </row>
    <row r="19" ht="15.75">
      <c r="A19" s="319"/>
    </row>
    <row r="20" ht="15.75">
      <c r="A20" s="99"/>
    </row>
    <row r="21" ht="63">
      <c r="A21" s="318" t="s">
        <v>315</v>
      </c>
    </row>
    <row r="22" ht="47.25">
      <c r="A22" s="320" t="s">
        <v>316</v>
      </c>
    </row>
    <row r="23" ht="15.75">
      <c r="A23" s="319"/>
    </row>
    <row r="24" ht="15.75">
      <c r="A24" s="99"/>
    </row>
    <row r="25" ht="78.75">
      <c r="A25" s="318" t="s">
        <v>317</v>
      </c>
    </row>
    <row r="26" ht="15.75">
      <c r="A26" s="319"/>
    </row>
    <row r="27" ht="15.75">
      <c r="A27" s="319"/>
    </row>
    <row r="28" ht="47.25">
      <c r="A28" s="340" t="s">
        <v>318</v>
      </c>
    </row>
    <row r="29" ht="15.75">
      <c r="A29" s="319"/>
    </row>
  </sheetData>
  <sheetProtection sheet="1"/>
  <printOptions/>
  <pageMargins left="0.7" right="0.7" top="0.75" bottom="0.75" header="0.3" footer="0.3"/>
  <pageSetup horizontalDpi="600" verticalDpi="600" orientation="portrait" r:id="rId1"/>
  <headerFooter>
    <oddFooter>&amp;Lrevised 9/25/09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mark handshy</cp:lastModifiedBy>
  <cp:lastPrinted>2010-07-16T14:14:22Z</cp:lastPrinted>
  <dcterms:created xsi:type="dcterms:W3CDTF">1999-08-06T13:59:57Z</dcterms:created>
  <dcterms:modified xsi:type="dcterms:W3CDTF">2011-11-10T21:19:46Z</dcterms:modified>
  <cp:category/>
  <cp:version/>
  <cp:contentType/>
  <cp:contentStatus/>
</cp:coreProperties>
</file>