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2"/>
  </bookViews>
  <sheets>
    <sheet name="instructions" sheetId="1" r:id="rId1"/>
    <sheet name="inputPrYr" sheetId="2" r:id="rId2"/>
    <sheet name="inputOth" sheetId="3" r:id="rId3"/>
    <sheet name="inputBudSum" sheetId="4" r:id="rId4"/>
    <sheet name="transfers" sheetId="5" r:id="rId5"/>
    <sheet name="TransferFunds" sheetId="6" r:id="rId6"/>
    <sheet name="debt" sheetId="7" r:id="rId7"/>
    <sheet name="DebtService" sheetId="8" r:id="rId8"/>
    <sheet name="cert" sheetId="9" r:id="rId9"/>
    <sheet name="computation" sheetId="10" r:id="rId10"/>
    <sheet name="mvalloc" sheetId="11" r:id="rId11"/>
    <sheet name="gen" sheetId="12" r:id="rId12"/>
    <sheet name="summ"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7">'DebtService'!$B$1:$E$63</definedName>
    <definedName name="_xlnm.Print_Area" localSheetId="11">'gen'!$B$1:$F$63</definedName>
    <definedName name="_xlnm.Print_Area" localSheetId="1">'inputPrYr'!$A$1:$E$46</definedName>
    <definedName name="_xlnm.Print_Area" localSheetId="0">'instructions'!$A$1:$A$90</definedName>
    <definedName name="_xlnm.Print_Area" localSheetId="12">'summ'!$A$1:$I$41</definedName>
  </definedNames>
  <calcPr fullCalcOnLoad="1"/>
</workbook>
</file>

<file path=xl/sharedStrings.xml><?xml version="1.0" encoding="utf-8"?>
<sst xmlns="http://schemas.openxmlformats.org/spreadsheetml/2006/main" count="1120" uniqueCount="759">
  <si>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</si>
  <si>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</si>
  <si>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</si>
  <si>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</si>
  <si>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</si>
  <si>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</si>
  <si>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</si>
  <si>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</si>
  <si>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</si>
  <si>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</si>
  <si>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</si>
  <si>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</si>
  <si>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</si>
  <si>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</si>
  <si>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</si>
  <si>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</si>
  <si>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</si>
  <si>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</si>
  <si>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</si>
  <si>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</si>
  <si>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</si>
  <si>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</si>
  <si>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</si>
  <si>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</si>
  <si>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</si>
  <si>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</si>
  <si>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</si>
  <si>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</si>
  <si>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</si>
  <si>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</si>
  <si>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</si>
  <si>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</si>
  <si>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</si>
  <si>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</si>
  <si>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</si>
  <si>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</si>
  <si>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</si>
  <si>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</si>
  <si>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</si>
  <si>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</si>
  <si>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</si>
  <si>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</si>
  <si>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</si>
  <si>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</si>
  <si>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</si>
  <si>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</si>
  <si>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</si>
  <si>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</si>
  <si>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</si>
  <si>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</si>
  <si>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</si>
  <si>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</si>
  <si>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</si>
  <si>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</si>
  <si>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</si>
  <si>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</si>
  <si>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</si>
  <si>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</si>
  <si>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</si>
  <si>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</si>
  <si>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</si>
  <si>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</si>
  <si>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</si>
  <si>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</si>
  <si>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</si>
  <si>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</si>
  <si>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</si>
  <si>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</si>
  <si>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</si>
  <si>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</si>
  <si>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</si>
  <si>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</si>
  <si>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</si>
  <si>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</si>
  <si>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</si>
  <si>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</si>
  <si>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</si>
  <si>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</si>
  <si>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</si>
  <si>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</si>
  <si>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</si>
  <si>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</si>
  <si>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</si>
  <si>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</si>
  <si>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</si>
  <si>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</si>
  <si>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</si>
  <si>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</si>
  <si>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</si>
  <si>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</si>
  <si>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</si>
  <si>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</si>
  <si>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</si>
  <si>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</si>
  <si>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</si>
  <si>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</si>
  <si>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</si>
  <si>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</si>
  <si>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</si>
  <si>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</si>
  <si>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</si>
  <si>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</si>
  <si>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</si>
  <si>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</si>
  <si>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</si>
  <si>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</si>
  <si>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</si>
  <si>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</si>
  <si>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</si>
  <si>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</si>
  <si>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</si>
  <si>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</si>
  <si>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</si>
  <si>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</si>
  <si>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</si>
  <si>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</si>
  <si>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</si>
  <si>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</si>
  <si>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</si>
  <si>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</si>
  <si>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</si>
  <si>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</si>
  <si>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</si>
  <si>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</si>
  <si>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</si>
  <si>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</si>
  <si>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</si>
  <si>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</si>
  <si>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</si>
  <si>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</si>
  <si>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</si>
  <si>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</si>
  <si>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</si>
  <si>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</si>
  <si>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</si>
  <si>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</si>
  <si>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</si>
  <si>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</si>
  <si>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</si>
  <si>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</si>
  <si>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</si>
  <si>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</si>
  <si>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</si>
  <si>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</si>
  <si>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</si>
  <si>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</si>
  <si>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</si>
  <si>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</si>
  <si>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</si>
  <si>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</si>
  <si>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</si>
  <si>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</si>
  <si>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</si>
  <si>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</si>
  <si>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</si>
  <si>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</si>
  <si>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</si>
  <si>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</si>
  <si>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</si>
  <si>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</si>
  <si>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</si>
  <si>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</si>
  <si>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</si>
  <si>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</si>
  <si>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</si>
  <si>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</si>
  <si>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</si>
  <si>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</si>
  <si>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</si>
  <si>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</si>
  <si>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</si>
  <si>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</si>
  <si>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</si>
  <si>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</si>
  <si>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</si>
  <si>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</si>
  <si>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</si>
  <si>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</si>
  <si>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</si>
  <si>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</si>
  <si>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</si>
  <si>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</si>
  <si>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</si>
  <si>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</si>
  <si>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</si>
  <si>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</si>
  <si>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</si>
  <si>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</si>
  <si>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</si>
  <si>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</si>
  <si>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</si>
  <si>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</si>
  <si>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</si>
  <si>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</si>
  <si>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</si>
  <si>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</si>
  <si>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</si>
  <si>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</si>
  <si>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</si>
  <si>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</si>
  <si>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</si>
  <si>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</si>
  <si>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</si>
  <si>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</si>
  <si>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</si>
  <si>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</si>
  <si>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</si>
  <si>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</si>
  <si>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</si>
  <si>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</si>
  <si>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</si>
  <si>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</si>
  <si>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</si>
  <si>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</si>
  <si>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</si>
  <si>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</si>
  <si>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</si>
  <si>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</si>
  <si>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</si>
  <si>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</si>
  <si>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</si>
  <si>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</si>
  <si>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</si>
  <si>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</si>
  <si>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</si>
  <si>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</si>
  <si>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</si>
  <si>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</si>
  <si>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</si>
  <si>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</si>
  <si>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</si>
  <si>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</si>
  <si>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</si>
  <si>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</si>
  <si>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</si>
  <si>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</si>
  <si>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</si>
  <si>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</si>
  <si>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</si>
  <si>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</si>
  <si>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</si>
  <si>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</si>
  <si>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</si>
  <si>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</si>
  <si>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</si>
  <si>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</si>
  <si>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</si>
  <si>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</si>
  <si>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</si>
  <si>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</si>
  <si>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</si>
  <si>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</si>
  <si>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</si>
  <si>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</si>
  <si>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</si>
  <si>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</si>
  <si>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</si>
  <si>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</si>
  <si>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</si>
  <si>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</si>
  <si>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</si>
  <si>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</si>
  <si>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</si>
  <si>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</si>
  <si>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</si>
  <si>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</si>
  <si>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</si>
  <si>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</si>
  <si>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</si>
  <si>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</si>
  <si>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</si>
  <si>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</si>
  <si>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</si>
  <si>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</si>
  <si>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</si>
  <si>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</si>
  <si>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</si>
  <si>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</si>
  <si>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</si>
  <si>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</si>
  <si>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</si>
  <si>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</si>
  <si>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</si>
  <si>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</si>
  <si>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</si>
  <si>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</si>
  <si>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</si>
  <si>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</si>
  <si>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</si>
  <si>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</si>
  <si>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</si>
  <si>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</si>
  <si>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</si>
  <si>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</si>
  <si>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</si>
  <si>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</si>
  <si>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</si>
  <si>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</si>
  <si>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</si>
  <si>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</si>
  <si>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</si>
  <si>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</si>
  <si>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</si>
  <si>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</si>
  <si>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</si>
  <si>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</si>
  <si>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</si>
  <si>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</si>
  <si>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</si>
  <si>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</si>
  <si>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</si>
  <si>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</si>
  <si>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</si>
  <si>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</si>
  <si>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</si>
  <si>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</si>
  <si>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</si>
  <si>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</si>
  <si>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</si>
  <si>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</si>
  <si>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</si>
  <si>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</si>
  <si>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</si>
  <si>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</si>
  <si>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</si>
  <si>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</si>
  <si>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</si>
  <si>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</si>
  <si>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</si>
  <si>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</si>
  <si>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</si>
  <si>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</si>
  <si>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</si>
  <si>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</si>
  <si>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</si>
  <si>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</si>
  <si>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</si>
  <si>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</si>
  <si>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</si>
  <si>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</si>
  <si>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</si>
  <si>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</si>
  <si>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</si>
  <si>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</si>
  <si>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</si>
  <si>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</si>
  <si>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</si>
  <si>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</si>
  <si>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</si>
  <si>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</si>
  <si>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</si>
  <si>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</si>
  <si>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</si>
  <si>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</si>
  <si>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</si>
  <si>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</si>
  <si>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</si>
  <si>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</si>
  <si>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</si>
  <si>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</si>
  <si>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</si>
  <si>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</si>
  <si>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</si>
  <si>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</si>
  <si>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</si>
  <si>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</si>
  <si>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</si>
  <si>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</si>
  <si>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</si>
  <si>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</si>
  <si>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</si>
  <si>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</si>
  <si>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</si>
  <si>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</si>
  <si>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</si>
  <si>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</si>
  <si>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</si>
  <si>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</si>
  <si>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</si>
  <si>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</si>
  <si>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</si>
  <si>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</si>
  <si>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</si>
  <si>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</si>
  <si>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</si>
  <si>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</si>
  <si>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</si>
  <si>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</si>
  <si>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</si>
  <si>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</si>
  <si>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</si>
  <si>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</si>
  <si>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</si>
  <si>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</si>
  <si>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</si>
  <si>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</si>
  <si>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</si>
  <si>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</si>
  <si>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</si>
  <si>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</si>
  <si>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</si>
  <si>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</si>
  <si>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</si>
  <si>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</si>
  <si>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</si>
  <si>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</si>
  <si>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</si>
  <si>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</si>
  <si>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</si>
  <si>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</si>
  <si>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</si>
  <si>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</si>
  <si>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</si>
  <si>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</si>
  <si>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</si>
  <si>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</si>
  <si>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</si>
  <si>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</si>
  <si>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</si>
  <si>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</si>
  <si>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</si>
  <si>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</si>
  <si>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</si>
  <si>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</si>
  <si>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</si>
  <si>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</si>
  <si>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</si>
  <si>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</si>
  <si>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</si>
  <si>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</si>
  <si>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</si>
  <si>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</si>
  <si>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</si>
  <si>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</si>
  <si>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</si>
  <si>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</si>
  <si>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</si>
  <si>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</si>
  <si>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</si>
  <si>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</si>
  <si>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</si>
  <si>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</si>
  <si>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</si>
  <si>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</si>
  <si>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</si>
  <si>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</si>
  <si>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</si>
  <si>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</si>
  <si>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</si>
  <si>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</si>
  <si>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</si>
  <si>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</si>
  <si>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</si>
  <si>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</si>
  <si>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</si>
  <si>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</si>
  <si>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</si>
  <si>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</si>
  <si>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</si>
  <si>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</si>
  <si>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</si>
  <si>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</si>
  <si>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</si>
  <si>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</si>
  <si>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</si>
  <si>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</si>
  <si>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</si>
  <si>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</si>
  <si>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</si>
  <si>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</si>
  <si>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</si>
  <si>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</si>
  <si>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</si>
  <si>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</si>
  <si>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</si>
  <si>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</si>
  <si>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</si>
  <si>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</si>
  <si>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</si>
  <si>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</si>
  <si>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</si>
  <si>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</si>
  <si>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</si>
  <si>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</si>
  <si>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</si>
  <si>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</si>
  <si>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</si>
  <si>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</si>
  <si>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</si>
  <si>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</si>
  <si>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</si>
  <si>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</si>
  <si>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</si>
  <si>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</si>
  <si>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</si>
  <si>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</si>
  <si>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</si>
  <si>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</si>
  <si>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</si>
  <si>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</si>
  <si>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</si>
  <si>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</si>
  <si>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</si>
  <si>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</si>
  <si>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</si>
  <si>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</si>
  <si>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</si>
  <si>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</si>
  <si>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</si>
  <si>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</si>
  <si>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</si>
  <si>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</si>
  <si>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</si>
  <si>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</si>
  <si>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</si>
  <si>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</si>
  <si>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</si>
  <si>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</si>
  <si>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</si>
  <si>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</si>
  <si>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</si>
  <si>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</si>
  <si>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</si>
  <si>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</si>
  <si>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</si>
  <si>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</si>
  <si>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</si>
  <si>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</si>
  <si>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</si>
  <si>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</si>
  <si>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</si>
  <si>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</si>
  <si>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</si>
  <si>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</si>
  <si>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</si>
  <si>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</si>
  <si>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</si>
  <si>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</si>
  <si>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</si>
  <si>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</si>
  <si>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</si>
  <si>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</si>
  <si>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</si>
  <si>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</si>
  <si>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</si>
  <si>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</si>
  <si>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</si>
  <si>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</si>
  <si>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</si>
  <si>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</si>
  <si>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</si>
  <si>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</si>
  <si>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</si>
  <si>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</si>
  <si>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</si>
  <si>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</si>
  <si>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</si>
  <si>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</si>
  <si>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</si>
  <si>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</si>
  <si>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</si>
  <si>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</si>
  <si>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</si>
  <si>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</si>
  <si>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</si>
  <si>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</si>
  <si>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</si>
  <si>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</si>
  <si>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</si>
  <si>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</si>
  <si>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</si>
  <si>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</si>
  <si>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</si>
  <si>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</si>
  <si>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</si>
  <si>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</si>
  <si>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</si>
  <si>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</si>
  <si>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</si>
  <si>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</si>
  <si>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</si>
  <si>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</si>
  <si>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</si>
  <si>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</si>
  <si>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</si>
  <si>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</si>
  <si>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</si>
  <si>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</si>
  <si>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</si>
  <si>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</si>
  <si>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</si>
  <si>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</si>
  <si>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</si>
  <si>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</si>
  <si>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</si>
  <si>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</si>
  <si>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</si>
  <si>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</si>
  <si>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</si>
  <si>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</si>
  <si>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</si>
  <si>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</si>
  <si>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</si>
  <si>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</si>
  <si>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</si>
  <si>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</si>
  <si>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</si>
  <si>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</si>
  <si>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</si>
  <si>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</si>
  <si>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</si>
  <si>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</si>
  <si>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</si>
  <si>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</si>
  <si>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</si>
  <si>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</si>
  <si>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</si>
  <si>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</si>
  <si>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</si>
  <si>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</si>
  <si>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</si>
  <si>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</si>
  <si>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</si>
  <si>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</si>
  <si>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</si>
  <si>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</si>
  <si>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</si>
  <si>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</si>
  <si>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</si>
  <si>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</si>
  <si>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</si>
  <si>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</si>
  <si>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</si>
  <si>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</si>
  <si>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</si>
  <si>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</si>
  <si>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</si>
  <si>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</si>
  <si>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</si>
  <si>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</si>
  <si>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</si>
  <si>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</si>
  <si>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</si>
  <si>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</si>
  <si>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</si>
  <si>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</si>
  <si>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</si>
  <si>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</si>
  <si>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</si>
  <si>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</si>
  <si>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</si>
  <si>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</si>
  <si>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</si>
  <si>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</si>
  <si>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</si>
  <si>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</si>
  <si>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</si>
  <si>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</si>
  <si>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</si>
  <si>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</si>
  <si>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</si>
  <si>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</si>
  <si>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</si>
  <si>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</si>
  <si>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</si>
  <si>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</si>
  <si>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</si>
  <si>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</si>
  <si>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</si>
  <si>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</si>
  <si>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</si>
  <si>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</si>
  <si>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</si>
  <si>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</si>
  <si>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</si>
  <si>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</si>
  <si>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</si>
  <si>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</si>
  <si>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</si>
  <si>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</si>
  <si>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</si>
  <si>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</si>
  <si>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</si>
  <si>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</si>
  <si>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</si>
  <si>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</si>
  <si>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</si>
  <si>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</si>
  <si>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</si>
  <si>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</si>
  <si>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</si>
  <si>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</si>
  <si>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</si>
  <si>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</si>
  <si>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</si>
  <si>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</si>
  <si>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</si>
  <si>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</si>
  <si>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</si>
  <si>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</si>
  <si>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</si>
  <si>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</si>
  <si>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</si>
  <si>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</si>
  <si>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</si>
  <si>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</si>
  <si>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</si>
  <si>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</si>
  <si>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</si>
  <si>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</si>
  <si>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</si>
  <si>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</si>
  <si>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</si>
  <si>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</si>
  <si>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</si>
  <si>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</si>
  <si>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</si>
  <si>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</si>
  <si>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</si>
  <si>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</si>
  <si>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</si>
  <si>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</si>
  <si>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</si>
  <si>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</si>
  <si>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</si>
  <si>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</si>
  <si>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</si>
  <si>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</si>
  <si>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</si>
  <si>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</si>
  <si>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</si>
  <si>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</si>
  <si>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</si>
  <si>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</si>
  <si>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</si>
  <si>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</si>
  <si>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</si>
  <si>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</si>
  <si>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</si>
  <si>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</si>
  <si>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</si>
  <si>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</si>
  <si>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</si>
  <si>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</si>
  <si>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Sunswept Highlands Improvement District</t>
  </si>
  <si>
    <t>Sedgwick County</t>
  </si>
  <si>
    <t>Sale of Scrap</t>
  </si>
  <si>
    <t>Sale of Printer</t>
  </si>
  <si>
    <t>Payments to Officials</t>
  </si>
  <si>
    <t>Clean Up Day</t>
  </si>
  <si>
    <t>Office Supplies</t>
  </si>
  <si>
    <t>Security Cameras</t>
  </si>
  <si>
    <t>Church Donation</t>
  </si>
  <si>
    <t>Bank Service Fees</t>
  </si>
  <si>
    <t>Operating Expenses</t>
  </si>
  <si>
    <t>Sedg Co Fire Station, 1010 N 143rd St, Wichita</t>
  </si>
  <si>
    <t>Sedg Co Clerk's Office, 525 N Main #211, Wichita</t>
  </si>
  <si>
    <t>August 13, 2011,</t>
  </si>
  <si>
    <t xml:space="preserve">10:00 am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</si>
</sst>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5" fillId="34" borderId="0" xfId="0" applyFont="1" applyFill="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6" sqref="E26"/>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Sunswept Highlands Improvement District</v>
      </c>
      <c r="D1" s="18"/>
      <c r="E1" s="18"/>
      <c r="F1" s="18"/>
      <c r="G1" s="18"/>
      <c r="H1" s="18"/>
      <c r="I1" s="18"/>
      <c r="J1" s="18">
        <f>inputPrYr!D6</f>
        <v>2012</v>
      </c>
    </row>
    <row r="2" spans="1:10" ht="15.75" customHeight="1">
      <c r="A2" s="18"/>
      <c r="B2" s="18"/>
      <c r="C2" s="18" t="str">
        <f>inputPrYr!D4</f>
        <v>Sedgwick County</v>
      </c>
      <c r="D2" s="18"/>
      <c r="E2" s="18"/>
      <c r="F2" s="18"/>
      <c r="G2" s="18"/>
      <c r="H2" s="18"/>
      <c r="I2" s="18"/>
      <c r="J2" s="18"/>
    </row>
    <row r="3" spans="1:10" ht="15.75">
      <c r="A3" s="600" t="str">
        <f>CONCATENATE("Computation to Determine Limit for ",J1,"")</f>
        <v>Computation to Determine Limit for 2012</v>
      </c>
      <c r="B3" s="614"/>
      <c r="C3" s="614"/>
      <c r="D3" s="614"/>
      <c r="E3" s="614"/>
      <c r="F3" s="614"/>
      <c r="G3" s="614"/>
      <c r="H3" s="614"/>
      <c r="I3" s="614"/>
      <c r="J3" s="614"/>
    </row>
    <row r="4" spans="1:10" ht="15.75">
      <c r="A4" s="18"/>
      <c r="B4" s="18"/>
      <c r="C4" s="18"/>
      <c r="D4" s="18"/>
      <c r="E4" s="614"/>
      <c r="F4" s="614"/>
      <c r="G4" s="614"/>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8200</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8200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2053</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46414</v>
      </c>
      <c r="F14" s="156"/>
      <c r="G14" s="39"/>
      <c r="H14" s="39"/>
      <c r="I14" s="159"/>
      <c r="J14" s="39"/>
    </row>
    <row r="15" spans="1:10" ht="15.75">
      <c r="A15" s="155"/>
      <c r="B15" s="18" t="s">
        <v>102</v>
      </c>
      <c r="C15" s="18" t="str">
        <f>CONCATENATE("Personal Property ",J1-2,"")</f>
        <v>Personal Property 2010</v>
      </c>
      <c r="D15" s="155" t="s">
        <v>98</v>
      </c>
      <c r="E15" s="43">
        <f>inputOth!E11</f>
        <v>45086</v>
      </c>
      <c r="F15" s="156"/>
      <c r="G15" s="159"/>
      <c r="H15" s="159"/>
      <c r="I15" s="39"/>
      <c r="J15" s="39"/>
    </row>
    <row r="16" spans="1:10" ht="15.75">
      <c r="A16" s="155"/>
      <c r="B16" s="18" t="s">
        <v>103</v>
      </c>
      <c r="C16" s="18" t="s">
        <v>117</v>
      </c>
      <c r="D16" s="18"/>
      <c r="E16" s="39"/>
      <c r="F16" s="39" t="s">
        <v>95</v>
      </c>
      <c r="G16" s="158">
        <f>IF(E14&gt;E15,E14-E15,0)</f>
        <v>1328</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3381</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3289320</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3285939</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0.0010289296301605113</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8</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8208</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8208</v>
      </c>
    </row>
    <row r="35" spans="1:10" ht="16.5" thickTop="1">
      <c r="A35" s="18"/>
      <c r="B35" s="18"/>
      <c r="C35" s="18"/>
      <c r="D35" s="18"/>
      <c r="E35" s="18"/>
      <c r="F35" s="18"/>
      <c r="G35" s="18"/>
      <c r="H35" s="18"/>
      <c r="I35" s="18"/>
      <c r="J35" s="18"/>
    </row>
    <row r="36" spans="1:10" ht="15.75">
      <c r="A36" s="638" t="str">
        <f>CONCATENATE("If the ",J1," budget includes tax levies exceeding the total on line 14, you must")</f>
        <v>If the 2012 budget includes tax levies exceeding the total on line 14, you must</v>
      </c>
      <c r="B36" s="638"/>
      <c r="C36" s="638"/>
      <c r="D36" s="638"/>
      <c r="E36" s="638"/>
      <c r="F36" s="638"/>
      <c r="G36" s="638"/>
      <c r="H36" s="638"/>
      <c r="I36" s="638"/>
      <c r="J36" s="638"/>
    </row>
    <row r="37" spans="1:10" ht="15.75">
      <c r="A37" s="638" t="s">
        <v>123</v>
      </c>
      <c r="B37" s="638"/>
      <c r="C37" s="638"/>
      <c r="D37" s="638"/>
      <c r="E37" s="638"/>
      <c r="F37" s="638"/>
      <c r="G37" s="638"/>
      <c r="H37" s="638"/>
      <c r="I37" s="638"/>
      <c r="J37" s="638"/>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26" sqref="E26"/>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Sunswept Highlands Improvement District</v>
      </c>
      <c r="C1" s="18"/>
      <c r="D1" s="18"/>
      <c r="E1" s="18"/>
      <c r="F1" s="18"/>
      <c r="G1" s="18"/>
      <c r="H1" s="18"/>
      <c r="I1" s="165"/>
      <c r="J1" s="18"/>
    </row>
    <row r="2" spans="1:10" ht="15.75">
      <c r="A2" s="18"/>
      <c r="B2" s="18" t="str">
        <f>inputPrYr!D4</f>
        <v>Sedgwick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9" t="s">
        <v>239</v>
      </c>
      <c r="C6" s="639"/>
      <c r="D6" s="639"/>
      <c r="E6" s="639"/>
      <c r="F6" s="639"/>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42" t="str">
        <f>CONCATENATE("",J2-1,"                    Budgeted Funds")</f>
        <v>2011                    Budgeted Funds</v>
      </c>
      <c r="C9" s="640" t="str">
        <f>CONCATENATE("Tax Levy Amount in ",J2-2," Budget")</f>
        <v>Tax Levy Amount in 2010 Budget</v>
      </c>
      <c r="D9" s="628" t="str">
        <f>CONCATENATE("Allocation for Year ",J2,"")</f>
        <v>Allocation for Year 2012</v>
      </c>
      <c r="E9" s="643"/>
      <c r="F9" s="643"/>
      <c r="G9" s="630"/>
      <c r="H9" s="18"/>
      <c r="I9" s="18"/>
      <c r="J9" s="18"/>
    </row>
    <row r="10" spans="1:10" ht="15.75">
      <c r="A10" s="18"/>
      <c r="B10" s="641"/>
      <c r="C10" s="641"/>
      <c r="D10" s="117" t="s">
        <v>45</v>
      </c>
      <c r="E10" s="117" t="s">
        <v>46</v>
      </c>
      <c r="F10" s="117" t="s">
        <v>90</v>
      </c>
      <c r="G10" s="114" t="s">
        <v>164</v>
      </c>
      <c r="H10" s="18"/>
      <c r="I10" s="18"/>
      <c r="J10" s="18"/>
    </row>
    <row r="11" spans="1:10" ht="15.75">
      <c r="A11" s="18"/>
      <c r="B11" s="38" t="str">
        <f>inputPrYr!B19</f>
        <v>General</v>
      </c>
      <c r="C11" s="128">
        <f>inputPrYr!E19</f>
        <v>8200</v>
      </c>
      <c r="D11" s="128">
        <f>IF(E17=0,0,E17-D12-D13-D14)</f>
        <v>1810.91</v>
      </c>
      <c r="E11" s="128">
        <f>IF(E19=0,0,E19-E12-E13-E14)</f>
        <v>67.32</v>
      </c>
      <c r="F11" s="128">
        <f>IF(E21=0,0,E21-F12-F13-F14)</f>
        <v>2.68</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8200</v>
      </c>
      <c r="D15" s="137">
        <f>SUM(D11:D14)</f>
        <v>1810.91</v>
      </c>
      <c r="E15" s="137">
        <f>SUM(E11:E14)</f>
        <v>67.32</v>
      </c>
      <c r="F15" s="137">
        <f>SUM(F11:F14)</f>
        <v>2.68</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1810.91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67.32</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2.68</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0.22084268292682926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0.008209756097560975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0.00032682926829268294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7">
      <selection activeCell="E26" sqref="E26"/>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Sunswept Highlands Improvement District</v>
      </c>
      <c r="C1" s="241"/>
      <c r="D1" s="18"/>
      <c r="E1" s="192"/>
    </row>
    <row r="2" spans="2:5" ht="15.75">
      <c r="B2" s="18" t="str">
        <f>inputPrYr!D4</f>
        <v>Sedgwick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0</v>
      </c>
      <c r="D7" s="404">
        <f>C51</f>
        <v>-0.18999999999869033</v>
      </c>
      <c r="E7" s="47">
        <f>D51</f>
        <v>7485.460000000001</v>
      </c>
    </row>
    <row r="8" spans="2:5" ht="15.75">
      <c r="B8" s="246" t="s">
        <v>130</v>
      </c>
      <c r="C8" s="247"/>
      <c r="D8" s="247"/>
      <c r="E8" s="128"/>
    </row>
    <row r="9" spans="2:5" ht="15.75">
      <c r="B9" s="122" t="s">
        <v>33</v>
      </c>
      <c r="C9" s="397">
        <v>7789.73</v>
      </c>
      <c r="D9" s="404">
        <f>inputPrYr!E19</f>
        <v>8200</v>
      </c>
      <c r="E9" s="135" t="s">
        <v>28</v>
      </c>
    </row>
    <row r="10" spans="2:5" ht="15.75">
      <c r="B10" s="122" t="s">
        <v>34</v>
      </c>
      <c r="C10" s="397">
        <f>4.29+9.14+17.44</f>
        <v>30.87</v>
      </c>
      <c r="D10" s="397">
        <v>0</v>
      </c>
      <c r="E10" s="209">
        <v>0</v>
      </c>
    </row>
    <row r="11" spans="2:5" ht="15.75">
      <c r="B11" s="122" t="s">
        <v>35</v>
      </c>
      <c r="C11" s="397"/>
      <c r="D11" s="397">
        <v>468.76</v>
      </c>
      <c r="E11" s="47">
        <f>mvalloc!D11</f>
        <v>1810.91</v>
      </c>
    </row>
    <row r="12" spans="2:5" ht="15.75">
      <c r="B12" s="122" t="s">
        <v>36</v>
      </c>
      <c r="C12" s="397"/>
      <c r="D12" s="397">
        <v>16.89</v>
      </c>
      <c r="E12" s="47">
        <f>mvalloc!E11</f>
        <v>67.32</v>
      </c>
    </row>
    <row r="13" spans="2:5" ht="15.75">
      <c r="B13" s="247" t="s">
        <v>112</v>
      </c>
      <c r="C13" s="397"/>
      <c r="D13" s="397"/>
      <c r="E13" s="47">
        <f>mvalloc!F11</f>
        <v>2.68</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802.2</v>
      </c>
      <c r="D17" s="397">
        <v>0</v>
      </c>
      <c r="E17" s="209"/>
    </row>
    <row r="18" spans="2:5" ht="15.75">
      <c r="B18" s="248" t="s">
        <v>747</v>
      </c>
      <c r="C18" s="397">
        <v>99</v>
      </c>
      <c r="D18" s="397">
        <v>0</v>
      </c>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8721.8</v>
      </c>
      <c r="D28" s="399">
        <f>SUM(D9:D26)</f>
        <v>8685.65</v>
      </c>
      <c r="E28" s="254">
        <f>SUM(E9:E26)</f>
        <v>1880.91</v>
      </c>
    </row>
    <row r="29" spans="2:5" ht="15.75">
      <c r="B29" s="253" t="s">
        <v>40</v>
      </c>
      <c r="C29" s="399">
        <f>C7+C28</f>
        <v>8721.8</v>
      </c>
      <c r="D29" s="399">
        <f>D7+D28</f>
        <v>8685.460000000001</v>
      </c>
      <c r="E29" s="254">
        <f>E7+E28</f>
        <v>9366.37</v>
      </c>
    </row>
    <row r="30" spans="2:5" ht="15.75">
      <c r="B30" s="122" t="s">
        <v>41</v>
      </c>
      <c r="C30" s="126"/>
      <c r="D30" s="126"/>
      <c r="E30" s="38"/>
    </row>
    <row r="31" spans="2:5" ht="15.75">
      <c r="B31" s="248" t="s">
        <v>748</v>
      </c>
      <c r="C31" s="397">
        <f>322.23+217.86+88+200+250+1069.36+668.41+39.13+300.52</f>
        <v>3155.5099999999998</v>
      </c>
      <c r="D31" s="397"/>
      <c r="E31" s="209"/>
    </row>
    <row r="32" spans="2:5" ht="15.75">
      <c r="B32" s="248" t="s">
        <v>749</v>
      </c>
      <c r="C32" s="397">
        <f>500+485.75+2203.96+102.68+300+575+388.37</f>
        <v>4555.759999999999</v>
      </c>
      <c r="D32" s="397"/>
      <c r="E32" s="209"/>
    </row>
    <row r="33" spans="2:5" ht="15.75">
      <c r="B33" s="248" t="s">
        <v>750</v>
      </c>
      <c r="C33" s="397">
        <f>64+92.88+28.7+37.54+132</f>
        <v>355.12</v>
      </c>
      <c r="D33" s="397">
        <v>200</v>
      </c>
      <c r="E33" s="209"/>
    </row>
    <row r="34" spans="2:5" ht="15.75">
      <c r="B34" s="248" t="s">
        <v>751</v>
      </c>
      <c r="C34" s="397">
        <v>212.6</v>
      </c>
      <c r="D34" s="397"/>
      <c r="E34" s="209"/>
    </row>
    <row r="35" spans="2:5" ht="15.75">
      <c r="B35" s="248" t="s">
        <v>752</v>
      </c>
      <c r="C35" s="397">
        <v>300</v>
      </c>
      <c r="D35" s="397"/>
      <c r="E35" s="209"/>
    </row>
    <row r="36" spans="2:5" ht="15.75">
      <c r="B36" s="248" t="s">
        <v>753</v>
      </c>
      <c r="C36" s="397">
        <v>143</v>
      </c>
      <c r="D36" s="397"/>
      <c r="E36" s="209"/>
    </row>
    <row r="37" spans="2:5" ht="15.75">
      <c r="B37" s="248" t="s">
        <v>754</v>
      </c>
      <c r="C37" s="397"/>
      <c r="D37" s="397">
        <v>1000</v>
      </c>
      <c r="E37" s="209">
        <v>9366</v>
      </c>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4" t="str">
        <f>CONCATENATE("Projected Carryover Into ",F3+1,"")</f>
        <v>Projected Carryover Into 2013</v>
      </c>
      <c r="H43" s="645"/>
      <c r="I43" s="645"/>
      <c r="J43" s="646"/>
    </row>
    <row r="44" spans="2:10" ht="15.75">
      <c r="B44" s="248"/>
      <c r="C44" s="397"/>
      <c r="D44" s="397"/>
      <c r="E44" s="209"/>
      <c r="G44" s="560"/>
      <c r="H44" s="545"/>
      <c r="I44" s="545"/>
      <c r="J44" s="544"/>
    </row>
    <row r="45" spans="2:10" ht="15.75">
      <c r="B45" s="248"/>
      <c r="C45" s="397"/>
      <c r="D45" s="397"/>
      <c r="E45" s="209"/>
      <c r="G45" s="554">
        <f>D51</f>
        <v>7485.460000000001</v>
      </c>
      <c r="H45" s="553" t="str">
        <f>CONCATENATE("",F3-1," Ending Cash Balance (est.)")</f>
        <v>2011 Ending Cash Balance (est.)</v>
      </c>
      <c r="I45" s="543"/>
      <c r="J45" s="544"/>
    </row>
    <row r="46" spans="2:10" ht="15.75">
      <c r="B46" s="248"/>
      <c r="C46" s="397"/>
      <c r="D46" s="397"/>
      <c r="E46" s="209"/>
      <c r="G46" s="554">
        <f>E28</f>
        <v>1880.91</v>
      </c>
      <c r="H46" s="543" t="str">
        <f>CONCATENATE("",F3," Non-AV Receipts (est.)")</f>
        <v>2012 Non-AV Receipts (est.)</v>
      </c>
      <c r="I46" s="543"/>
      <c r="J46" s="544"/>
    </row>
    <row r="47" spans="2:10" ht="15.75">
      <c r="B47" s="126" t="s">
        <v>229</v>
      </c>
      <c r="C47" s="397"/>
      <c r="D47" s="397"/>
      <c r="E47" s="214">
        <f>Nhood!E7</f>
      </c>
      <c r="G47" s="542">
        <f>E57</f>
        <v>0</v>
      </c>
      <c r="H47" s="543" t="str">
        <f>CONCATENATE("",F3," Ad Valorem Tax (est.)")</f>
        <v>2012 Ad Valorem Tax (est.)</v>
      </c>
      <c r="I47" s="543"/>
      <c r="J47" s="544"/>
    </row>
    <row r="48" spans="2:10" ht="15.75">
      <c r="B48" s="126" t="s">
        <v>228</v>
      </c>
      <c r="C48" s="397"/>
      <c r="D48" s="397"/>
      <c r="E48" s="37"/>
      <c r="G48" s="554">
        <f>SUM(G45:G47)</f>
        <v>9366.37</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8721.989999999998</v>
      </c>
      <c r="D50" s="399">
        <f>SUM(D31:D48)</f>
        <v>1200</v>
      </c>
      <c r="E50" s="254">
        <f>SUM(E31:E48)</f>
        <v>9366</v>
      </c>
      <c r="G50" s="542">
        <f>C50*0.05+C50</f>
        <v>9158.089499999998</v>
      </c>
      <c r="H50" s="543" t="str">
        <f>CONCATENATE("Less ",F3-2," Expenditures + 5%")</f>
        <v>Less 2010 Expenditures + 5%</v>
      </c>
      <c r="I50" s="543"/>
      <c r="J50" s="544"/>
    </row>
    <row r="51" spans="2:10" ht="15.75">
      <c r="B51" s="122" t="s">
        <v>129</v>
      </c>
      <c r="C51" s="400">
        <f>C29-C50</f>
        <v>-0.18999999999869033</v>
      </c>
      <c r="D51" s="400">
        <f>D29-D50</f>
        <v>7485.460000000001</v>
      </c>
      <c r="E51" s="135" t="s">
        <v>28</v>
      </c>
      <c r="G51" s="540">
        <f>G48-G50</f>
        <v>208.28050000000258</v>
      </c>
      <c r="H51" s="539" t="str">
        <f>CONCATENATE("Projected ",F3+1," Carryover (est.)")</f>
        <v>Projected 2013 Carryover (est.)</v>
      </c>
      <c r="I51" s="525"/>
      <c r="J51" s="538"/>
    </row>
    <row r="52" spans="2:10" ht="15.75">
      <c r="B52" s="145" t="str">
        <f>CONCATENATE("",F3-2,"/",F3-1," Budget Authority Amount:")</f>
        <v>2010/2011 Budget Authority Amount:</v>
      </c>
      <c r="C52" s="123">
        <f>inputOth!B42</f>
        <v>8200</v>
      </c>
      <c r="D52" s="425">
        <f>inputPrYr!D19</f>
        <v>8200</v>
      </c>
      <c r="E52" s="135" t="s">
        <v>28</v>
      </c>
      <c r="F52" s="255"/>
      <c r="G52" s="16"/>
      <c r="H52" s="16"/>
      <c r="I52" s="16"/>
      <c r="J52" s="16"/>
    </row>
    <row r="53" spans="2:10" ht="15.75">
      <c r="B53" s="145"/>
      <c r="C53" s="617" t="s">
        <v>684</v>
      </c>
      <c r="D53" s="618"/>
      <c r="E53" s="37"/>
      <c r="F53" s="255">
        <f>IF(E50/0.95-E50&lt;E53,"Exceeds 5%","")</f>
      </c>
      <c r="G53" s="537">
        <f>IF(inputOth!E7=0,"",ROUND(gen!E57/inputOth!E7*1000,3))</f>
        <v>0</v>
      </c>
      <c r="H53" s="536" t="str">
        <f>CONCATENATE("Projected ",F3-1," Mill Rate (est.)")</f>
        <v>Projected 2011 Mill Rate (est.)</v>
      </c>
      <c r="I53" s="535"/>
      <c r="J53" s="534"/>
    </row>
    <row r="54" spans="2:10" ht="15.75">
      <c r="B54" s="423" t="str">
        <f>CONCATENATE(C70,"     ",D70)</f>
        <v>See Tab A     </v>
      </c>
      <c r="C54" s="619" t="s">
        <v>685</v>
      </c>
      <c r="D54" s="620"/>
      <c r="E54" s="47">
        <f>E50+E53</f>
        <v>9366</v>
      </c>
      <c r="G54" s="533"/>
      <c r="H54" s="533"/>
      <c r="I54" s="533"/>
      <c r="J54" s="533"/>
    </row>
    <row r="55" spans="2:10" ht="15.75">
      <c r="B55" s="423" t="str">
        <f>CONCATENATE(C71,"     ",D71)</f>
        <v>See Tab B     </v>
      </c>
      <c r="C55" s="559"/>
      <c r="D55" s="558" t="s">
        <v>686</v>
      </c>
      <c r="E55" s="44">
        <f>IF(E54-E29&gt;0,E54-E29,0)</f>
        <v>0</v>
      </c>
      <c r="G55" s="644" t="str">
        <f>CONCATENATE("Desired Carryover Into ",F3+1,"")</f>
        <v>Desired Carryover Into 2013</v>
      </c>
      <c r="H55" s="647"/>
      <c r="I55" s="647"/>
      <c r="J55" s="646"/>
    </row>
    <row r="56" spans="2:10" ht="15.75">
      <c r="B56" s="165"/>
      <c r="C56" s="556" t="s">
        <v>687</v>
      </c>
      <c r="D56" s="557">
        <f>inputOth!$E$36</f>
        <v>0</v>
      </c>
      <c r="E56" s="47">
        <f>ROUND(IF(D56&gt;0,(E55*D56),0),0)</f>
        <v>0</v>
      </c>
      <c r="G56" s="532"/>
      <c r="H56" s="545"/>
      <c r="I56" s="543"/>
      <c r="J56" s="531"/>
    </row>
    <row r="57" spans="2:10" ht="15.75">
      <c r="B57" s="18"/>
      <c r="C57" s="615" t="str">
        <f>CONCATENATE("Amount of  ",$F$3-1," Ad Valorem Tax")</f>
        <v>Amount of  2011 Ad Valorem Tax</v>
      </c>
      <c r="D57" s="616"/>
      <c r="E57" s="44">
        <f>E55+E56</f>
        <v>0</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t="str">
        <f>IF(C51&lt;0,"See Tab B","")</f>
        <v>See Tab B</v>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E26" sqref="E26"/>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5"/>
    </row>
    <row r="2" spans="1:8" ht="15.75">
      <c r="A2" s="18"/>
      <c r="B2" s="18"/>
      <c r="C2" s="18"/>
      <c r="D2" s="18"/>
      <c r="E2" s="18"/>
      <c r="F2" s="18"/>
      <c r="G2" s="18"/>
      <c r="H2" s="18"/>
    </row>
    <row r="3" spans="1:9" ht="15.75">
      <c r="A3" s="638" t="s">
        <v>113</v>
      </c>
      <c r="B3" s="638"/>
      <c r="C3" s="638"/>
      <c r="D3" s="638"/>
      <c r="E3" s="638"/>
      <c r="F3" s="638"/>
      <c r="G3" s="638"/>
      <c r="H3" s="638"/>
      <c r="I3" s="54">
        <f>inputPrYr!D6</f>
        <v>2012</v>
      </c>
    </row>
    <row r="4" spans="1:8" ht="15.75">
      <c r="A4" s="598" t="str">
        <f>inputPrYr!D3</f>
        <v>Sunswept Highlands Improvement District</v>
      </c>
      <c r="B4" s="598"/>
      <c r="C4" s="598"/>
      <c r="D4" s="598"/>
      <c r="E4" s="598"/>
      <c r="F4" s="598"/>
      <c r="G4" s="598"/>
      <c r="H4" s="598"/>
    </row>
    <row r="5" spans="1:8" ht="15.75">
      <c r="A5" s="658" t="str">
        <f>inputPrYr!D4</f>
        <v>Sedgwick County</v>
      </c>
      <c r="B5" s="658"/>
      <c r="C5" s="658"/>
      <c r="D5" s="658"/>
      <c r="E5" s="658"/>
      <c r="F5" s="658"/>
      <c r="G5" s="658"/>
      <c r="H5" s="658"/>
    </row>
    <row r="6" spans="1:8" ht="15.75">
      <c r="A6" s="659" t="str">
        <f>CONCATENATE("will meet on ",inputBudSum!B5," at ",inputBudSum!B7," at ",inputBudSum!B9," for the purpose of hearing and")</f>
        <v>will meet on August 13, 2011, at 10:00 am  at Sedg Co Fire Station, 1010 N 143rd St, Wichita for the purpose of hearing and</v>
      </c>
      <c r="B6" s="659"/>
      <c r="C6" s="659"/>
      <c r="D6" s="659"/>
      <c r="E6" s="659"/>
      <c r="F6" s="659"/>
      <c r="G6" s="659"/>
      <c r="H6" s="659"/>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Sedg Co Clerk's Office, 525 N Main #211, Wichita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8" t="str">
        <f>CONCATENATE("Estimated Value Of One Mill For ",I3,"")</f>
        <v>Estimated Value Of One Mill For 2012</v>
      </c>
      <c r="K12" s="649"/>
      <c r="L12" s="649"/>
      <c r="M12" s="650"/>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6" t="str">
        <f>CONCATENATE("Amount of ",I3-1," Ad Valorem Tax")</f>
        <v>Amount of 2011 Ad Valorem Tax</v>
      </c>
      <c r="H14" s="316" t="s">
        <v>585</v>
      </c>
      <c r="J14" s="570" t="s">
        <v>692</v>
      </c>
      <c r="K14" s="571"/>
      <c r="L14" s="571"/>
      <c r="M14" s="572">
        <f>ROUND(F27/1000,0)</f>
        <v>3289</v>
      </c>
    </row>
    <row r="15" spans="1:13" ht="15.75">
      <c r="A15" s="179" t="s">
        <v>52</v>
      </c>
      <c r="B15" s="117" t="s">
        <v>53</v>
      </c>
      <c r="C15" s="317" t="s">
        <v>203</v>
      </c>
      <c r="D15" s="117" t="s">
        <v>53</v>
      </c>
      <c r="E15" s="317" t="s">
        <v>203</v>
      </c>
      <c r="F15" s="117" t="s">
        <v>580</v>
      </c>
      <c r="G15" s="657"/>
      <c r="H15" s="317" t="s">
        <v>203</v>
      </c>
      <c r="J15" s="16"/>
      <c r="K15" s="16"/>
      <c r="L15" s="16"/>
      <c r="M15" s="16"/>
    </row>
    <row r="16" spans="1:13" ht="15.75">
      <c r="A16" s="38" t="str">
        <f>inputPrYr!B19</f>
        <v>General</v>
      </c>
      <c r="B16" s="128">
        <f>IF(gen!$C$50&lt;&gt;0,gen!$C$50,"  ")</f>
        <v>8721.989999999998</v>
      </c>
      <c r="C16" s="125">
        <f>IF(inputPrYr!D38&gt;0,inputPrYr!D38,"  ")</f>
        <v>2.482</v>
      </c>
      <c r="D16" s="128">
        <f>IF(gen!$D$50&lt;&gt;0,gen!$D$50,"  ")</f>
        <v>1200</v>
      </c>
      <c r="E16" s="125">
        <f>IF(inputOth!D16&gt;0,inputOth!D16,"  ")</f>
        <v>2.479</v>
      </c>
      <c r="F16" s="128">
        <f>IF(gen!$E$50&lt;&gt;0,gen!$E$50,"  ")</f>
        <v>9366</v>
      </c>
      <c r="G16" s="128" t="str">
        <f>IF(gen!$E$57&lt;&gt;0,gen!$E$57,"  ")</f>
        <v>  </v>
      </c>
      <c r="H16" s="125" t="str">
        <f>IF(gen!E57&gt;0,ROUND(G16/$F$27*1000,3)," ")</f>
        <v> </v>
      </c>
      <c r="J16" s="648" t="str">
        <f>CONCATENATE("Want The Mill Rate The Same As For ",I3-1,"?")</f>
        <v>Want The Mill Rate The Same As For 2011?</v>
      </c>
      <c r="K16" s="651"/>
      <c r="L16" s="651"/>
      <c r="M16" s="652"/>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2.479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8154</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8721.989999999998</v>
      </c>
      <c r="C23" s="549">
        <f aca="true" t="shared" si="0" ref="C23:H23">SUM(C16:C21)</f>
        <v>2.482</v>
      </c>
      <c r="D23" s="321">
        <f t="shared" si="0"/>
        <v>1200</v>
      </c>
      <c r="E23" s="549">
        <f t="shared" si="0"/>
        <v>2.479</v>
      </c>
      <c r="F23" s="321">
        <f t="shared" si="0"/>
        <v>9366</v>
      </c>
      <c r="G23" s="321">
        <f t="shared" si="0"/>
        <v>0</v>
      </c>
      <c r="H23" s="549">
        <f t="shared" si="0"/>
        <v>0</v>
      </c>
      <c r="J23" s="648" t="str">
        <f>CONCATENATE("Impact On Keeping The Same Mill Rate As For ",I3-1,"")</f>
        <v>Impact On Keeping The Same Mill Rate As For 2011</v>
      </c>
      <c r="K23" s="653"/>
      <c r="L23" s="653"/>
      <c r="M23" s="654"/>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8721.989999999998</v>
      </c>
      <c r="C25" s="320"/>
      <c r="D25" s="136">
        <f>SUM(D23-D24)</f>
        <v>1200</v>
      </c>
      <c r="E25" s="320"/>
      <c r="F25" s="546">
        <f>SUM(F23-F24)</f>
        <v>9366</v>
      </c>
      <c r="G25" s="260"/>
      <c r="H25" s="319"/>
      <c r="J25" s="573" t="str">
        <f>CONCATENATE("",I3," Ad Valorem Tax Revenue:")</f>
        <v>2012 Ad Valorem Tax Revenue:</v>
      </c>
      <c r="K25" s="568"/>
      <c r="L25" s="568"/>
      <c r="M25" s="569">
        <f>G23</f>
        <v>0</v>
      </c>
    </row>
    <row r="26" spans="1:13" ht="16.5" thickTop="1">
      <c r="A26" s="35" t="s">
        <v>54</v>
      </c>
      <c r="B26" s="321">
        <f>inputPrYr!E44</f>
        <v>8200</v>
      </c>
      <c r="C26" s="230"/>
      <c r="D26" s="321">
        <f>inputPrYr!E24</f>
        <v>8200</v>
      </c>
      <c r="E26" s="230"/>
      <c r="F26" s="322" t="s">
        <v>179</v>
      </c>
      <c r="G26" s="18"/>
      <c r="H26" s="18"/>
      <c r="J26" s="573" t="str">
        <f>CONCATENATE("",I3-1," Ad Valorem Tax Revenue:")</f>
        <v>2011 Ad Valorem Tax Revenue:</v>
      </c>
      <c r="K26" s="568"/>
      <c r="L26" s="568"/>
      <c r="M26" s="582">
        <f>ROUND(F27*M18/1000,0)</f>
        <v>8154</v>
      </c>
    </row>
    <row r="27" spans="1:13" ht="15.75">
      <c r="A27" s="35" t="s">
        <v>175</v>
      </c>
      <c r="B27" s="214">
        <f>inputPrYr!E45</f>
        <v>3303536</v>
      </c>
      <c r="C27" s="230"/>
      <c r="D27" s="214">
        <f>inputOth!E24</f>
        <v>3307384</v>
      </c>
      <c r="E27" s="230"/>
      <c r="F27" s="214">
        <f>inputOth!E7</f>
        <v>3289320</v>
      </c>
      <c r="G27" s="18"/>
      <c r="H27" s="18"/>
      <c r="J27" s="583" t="s">
        <v>693</v>
      </c>
      <c r="K27" s="584"/>
      <c r="L27" s="584"/>
      <c r="M27" s="572">
        <f>M25-M26</f>
        <v>-8154</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48" t="s">
        <v>694</v>
      </c>
      <c r="K29" s="651"/>
      <c r="L29" s="651"/>
      <c r="M29" s="652"/>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34"/>
      <c r="B40" s="635"/>
      <c r="C40" s="102"/>
      <c r="D40" s="18"/>
      <c r="E40" s="18"/>
      <c r="F40" s="18"/>
      <c r="G40" s="18"/>
      <c r="H40" s="54"/>
    </row>
    <row r="41" spans="1:8" ht="15.75">
      <c r="A41" s="311" t="s">
        <v>60</v>
      </c>
      <c r="B41" s="26"/>
      <c r="C41" s="18"/>
      <c r="D41" s="145" t="s">
        <v>44</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Sunswept Highlands Improvement District</v>
      </c>
      <c r="C1" s="18"/>
      <c r="D1" s="18"/>
      <c r="E1" s="192"/>
    </row>
    <row r="2" spans="2:5" ht="15.75">
      <c r="B2" s="18" t="str">
        <f>inputPrYr!D4</f>
        <v>Sedgwick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17" t="s">
        <v>684</v>
      </c>
      <c r="D36" s="618"/>
      <c r="E36" s="37"/>
      <c r="F36" s="255">
        <f>IF(E33/0.95-E33&lt;E36,"Exceeds 5%","")</f>
      </c>
    </row>
    <row r="37" spans="2:5" ht="15.75">
      <c r="B37" s="423" t="str">
        <f>CONCATENATE(C87,"     ",D87)</f>
        <v>     </v>
      </c>
      <c r="C37" s="619" t="s">
        <v>685</v>
      </c>
      <c r="D37" s="62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15" t="str">
        <f>CONCATENATE("Amount of  ",$F$3-1," Ad Valorem Tax")</f>
        <v>Amount of  2011 Ad Valorem Tax</v>
      </c>
      <c r="D40" s="61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17" t="s">
        <v>684</v>
      </c>
      <c r="D74" s="618"/>
      <c r="E74" s="37"/>
      <c r="F74" s="255">
        <f>IF(E71/0.95-E71&lt;E74,"Exceeds 5%","")</f>
      </c>
    </row>
    <row r="75" spans="2:5" ht="15.75">
      <c r="B75" s="423" t="str">
        <f>CONCATENATE(C89,"     ",D89)</f>
        <v>     </v>
      </c>
      <c r="C75" s="619" t="s">
        <v>685</v>
      </c>
      <c r="D75" s="62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15" t="str">
        <f>CONCATENATE("Amount of  ",$F$3-1," Ad Valorem Tax")</f>
        <v>Amount of  2011 Ad Valorem Tax</v>
      </c>
      <c r="D78" s="61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Sunswept Highlands Improvement District</v>
      </c>
      <c r="C1" s="241"/>
      <c r="D1" s="18"/>
      <c r="E1" s="192"/>
    </row>
    <row r="2" spans="2:5" ht="15.75">
      <c r="B2" s="18" t="str">
        <f>inputPrYr!D4</f>
        <v>Sedgwick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Sunswept Highlands Improvement District</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60">
        <f>inputPrYr!B30</f>
        <v>0</v>
      </c>
      <c r="B5" s="661"/>
      <c r="C5" s="660">
        <f>inputPrYr!B31</f>
        <v>0</v>
      </c>
      <c r="D5" s="661"/>
      <c r="E5" s="660">
        <f>inputPrYr!B32</f>
        <v>0</v>
      </c>
      <c r="F5" s="661"/>
      <c r="G5" s="660">
        <f>inputPrYr!B33</f>
        <v>0</v>
      </c>
      <c r="H5" s="661"/>
      <c r="I5" s="660">
        <f>inputPrYr!B34</f>
        <v>0</v>
      </c>
      <c r="J5" s="661"/>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Sunswept Highlands Improvement District</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4" t="str">
        <f>CONCATENATE("",F1," Neighborhood Revitalization Rebate")</f>
        <v>2012 Neighborhood Revitalization Rebate</v>
      </c>
      <c r="C4" s="664"/>
      <c r="D4" s="664"/>
      <c r="E4" s="655"/>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3289320</v>
      </c>
      <c r="E16" s="18"/>
      <c r="F16" s="54"/>
    </row>
    <row r="17" spans="1:6" ht="15.75">
      <c r="A17" s="18"/>
      <c r="B17" s="18"/>
      <c r="C17" s="18"/>
      <c r="D17" s="18"/>
      <c r="E17" s="18"/>
      <c r="F17" s="54"/>
    </row>
    <row r="18" spans="1:6" ht="15.75">
      <c r="A18" s="18"/>
      <c r="B18" s="665" t="s">
        <v>329</v>
      </c>
      <c r="C18" s="665"/>
      <c r="D18" s="335">
        <f>IF(D16&gt;0,(D16*0.001),"")</f>
        <v>3289.32</v>
      </c>
      <c r="E18" s="18"/>
      <c r="F18" s="54"/>
    </row>
    <row r="19" spans="1:6" ht="15.75">
      <c r="A19" s="18"/>
      <c r="B19" s="145"/>
      <c r="C19" s="145"/>
      <c r="D19" s="336"/>
      <c r="E19" s="18"/>
      <c r="F19" s="54"/>
    </row>
    <row r="20" spans="1:6" ht="15.75">
      <c r="A20" s="662" t="s">
        <v>327</v>
      </c>
      <c r="B20" s="655"/>
      <c r="C20" s="655"/>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Sunswept Highlands Improvement District District with respect to financing the 2012 annual budget for Sunswept Highlands Improvement District , Sedgwick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Sunswept Highlands Improvement District district budget exceed the amount levied to finance the</v>
      </c>
      <c r="C9"/>
      <c r="D9"/>
      <c r="E9"/>
      <c r="F9"/>
      <c r="G9"/>
      <c r="H9"/>
    </row>
    <row r="10" spans="2:8" ht="15.75">
      <c r="B10" s="12" t="str">
        <f>CONCATENATE("",inputPrYr!D6-1," ",inputPrYr!D3," except with regard to revenue produced and attributable to the")</f>
        <v>2011 Sunswept Highlands Improvement District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Sunswept Highlands Improvement District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Sunswept Highlands Improvement District that is our desire to notify the public of the possibility of increased property taxes to finance the 2012 Sunswept Highlands Improvement District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Sunswept Highlands Improvement District District Board, Sedgwick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Sunswept Highlands Improvement District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5">
      <selection activeCell="D39" sqref="D39"/>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8200</v>
      </c>
      <c r="E19" s="37">
        <v>8200</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8200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8200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2.482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2.482</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8200</v>
      </c>
    </row>
    <row r="45" spans="1:5" ht="15.75">
      <c r="A45" s="51" t="str">
        <f>CONCATENATE("Assessed Valuation (",D6-2," budget column)")</f>
        <v>Assessed Valuation (2010 budget column)</v>
      </c>
      <c r="B45" s="29"/>
      <c r="C45" s="18"/>
      <c r="D45" s="18"/>
      <c r="E45" s="53">
        <v>3303536</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4">
      <selection activeCell="E30" sqref="E30"/>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Sunswept Highlands Improvement District</v>
      </c>
      <c r="B1" s="62"/>
      <c r="C1" s="62"/>
      <c r="D1" s="62"/>
      <c r="E1" s="62">
        <f>inputPrYr!D6</f>
        <v>2012</v>
      </c>
    </row>
    <row r="2" spans="1:5" ht="15.75">
      <c r="A2" s="62" t="str">
        <f>inputPrYr!D4</f>
        <v>Sedgwick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3289320</v>
      </c>
    </row>
    <row r="8" spans="1:5" ht="15.75">
      <c r="A8" s="68" t="str">
        <f>CONCATENATE("New Improvements for ",inputPrYr!D6-1,"")</f>
        <v>New Improvements for 2011</v>
      </c>
      <c r="B8" s="69"/>
      <c r="C8" s="69"/>
      <c r="D8" s="69"/>
      <c r="E8" s="70">
        <v>2053</v>
      </c>
    </row>
    <row r="9" spans="1:5" ht="15.75">
      <c r="A9" s="68" t="str">
        <f>CONCATENATE("Personal Property excluding oil, gas, and mobile homes- ",inputPrYr!D6-1,"")</f>
        <v>Personal Property excluding oil, gas, and mobile homes- 2011</v>
      </c>
      <c r="B9" s="69"/>
      <c r="C9" s="69"/>
      <c r="D9" s="69"/>
      <c r="E9" s="70">
        <v>46414</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45086</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2.479</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2.479</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3307384</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1810.91</v>
      </c>
    </row>
    <row r="28" spans="1:5" ht="15.75">
      <c r="A28" s="68" t="s">
        <v>15</v>
      </c>
      <c r="B28" s="69"/>
      <c r="C28" s="69"/>
      <c r="D28" s="86"/>
      <c r="E28" s="37">
        <v>67.32</v>
      </c>
    </row>
    <row r="29" spans="1:5" ht="15.75">
      <c r="A29" s="68" t="s">
        <v>176</v>
      </c>
      <c r="B29" s="69"/>
      <c r="C29" s="69"/>
      <c r="D29" s="86"/>
      <c r="E29" s="37">
        <v>2.68</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v>5.14</v>
      </c>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8200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757</v>
      </c>
      <c r="C5" s="370"/>
      <c r="D5" s="368" t="s">
        <v>740</v>
      </c>
      <c r="E5" s="366"/>
      <c r="F5" s="366"/>
    </row>
    <row r="6" spans="1:6" ht="15.75">
      <c r="A6" s="368"/>
      <c r="B6" s="371"/>
      <c r="C6" s="372"/>
      <c r="D6" s="368" t="s">
        <v>739</v>
      </c>
      <c r="E6" s="366"/>
      <c r="F6" s="366"/>
    </row>
    <row r="7" spans="1:6" ht="15.75">
      <c r="A7" s="368" t="s">
        <v>332</v>
      </c>
      <c r="B7" s="369" t="s">
        <v>758</v>
      </c>
      <c r="C7" s="373"/>
      <c r="D7" s="368"/>
      <c r="E7" s="366"/>
      <c r="F7" s="366"/>
    </row>
    <row r="8" spans="1:6" ht="15.75">
      <c r="A8" s="368"/>
      <c r="B8" s="368"/>
      <c r="C8" s="368"/>
      <c r="D8" s="368"/>
      <c r="E8" s="366"/>
      <c r="F8" s="366"/>
    </row>
    <row r="9" spans="1:6" ht="15.75">
      <c r="A9" s="368" t="s">
        <v>333</v>
      </c>
      <c r="B9" s="374" t="s">
        <v>755</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756</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Sunswept Highlands Improvement District</v>
      </c>
      <c r="B2" s="175"/>
      <c r="C2" s="18"/>
      <c r="D2" s="18"/>
      <c r="E2" s="165"/>
      <c r="F2" s="18"/>
    </row>
    <row r="3" spans="1:6" ht="15.75">
      <c r="A3" s="175" t="str">
        <f>inputPrYr!D4</f>
        <v>Sedgwick County</v>
      </c>
      <c r="B3" s="175"/>
      <c r="C3" s="18"/>
      <c r="D3" s="18"/>
      <c r="E3" s="165"/>
      <c r="F3" s="18"/>
    </row>
    <row r="4" spans="1:6" ht="15.75">
      <c r="A4" s="166"/>
      <c r="B4" s="18"/>
      <c r="C4" s="18"/>
      <c r="D4" s="18"/>
      <c r="E4" s="165"/>
      <c r="F4" s="18"/>
    </row>
    <row r="5" spans="1:6" ht="15" customHeight="1">
      <c r="A5" s="614" t="s">
        <v>148</v>
      </c>
      <c r="B5" s="614"/>
      <c r="C5" s="614"/>
      <c r="D5" s="614"/>
      <c r="E5" s="614"/>
      <c r="F5" s="614"/>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Sunswept Highlands Improvement District</v>
      </c>
      <c r="B1" s="18"/>
      <c r="C1" s="18"/>
      <c r="D1" s="18"/>
      <c r="E1" s="18"/>
      <c r="F1" s="18"/>
      <c r="G1" s="18"/>
      <c r="H1" s="18"/>
      <c r="I1" s="18"/>
      <c r="J1" s="18"/>
      <c r="K1" s="192">
        <f>inputPrYr!D6</f>
        <v>2012</v>
      </c>
    </row>
    <row r="2" spans="1:11" ht="15.75">
      <c r="A2" s="18" t="str">
        <f>inputPrYr!$D$4</f>
        <v>Sedgwick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Sunswept Highlands Improvement District</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21" t="str">
        <f>CONCATENATE("Projected Carryover Into ",E1+1,"")</f>
        <v>Projected Carryover Into 2013</v>
      </c>
      <c r="H52" s="622"/>
      <c r="I52" s="623"/>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17" t="s">
        <v>684</v>
      </c>
      <c r="D57" s="618"/>
      <c r="E57" s="37"/>
      <c r="F57" s="273">
        <f>IF(E54/0.95-E54&lt;E57,"Exceeds 5%","")</f>
      </c>
      <c r="G57" s="554">
        <f>SUM(G54:G56)</f>
        <v>0</v>
      </c>
      <c r="H57" s="565" t="str">
        <f>CONCATENATE("Total ",E1," Resources Available")</f>
        <v>Total 2012 Resources Available</v>
      </c>
      <c r="I57" s="544"/>
    </row>
    <row r="58" spans="2:9" ht="15.75">
      <c r="B58" s="423" t="str">
        <f>CONCATENATE(C69,"     ",D69)</f>
        <v>     </v>
      </c>
      <c r="C58" s="619" t="s">
        <v>685</v>
      </c>
      <c r="D58" s="62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15" t="str">
        <f>CONCATENATE("Amount of  ",$E$1-1," Ad Valorem Tax")</f>
        <v>Amount of  2011 Ad Valorem Tax</v>
      </c>
      <c r="D61" s="61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3">
      <selection activeCell="E26" sqref="E26"/>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4" t="s">
        <v>82</v>
      </c>
      <c r="B2" s="614"/>
      <c r="C2" s="614"/>
      <c r="D2" s="614"/>
      <c r="E2" s="614"/>
      <c r="F2" s="614"/>
      <c r="G2" s="614"/>
    </row>
    <row r="3" spans="1:7" ht="15.75">
      <c r="A3" s="18"/>
      <c r="B3" s="18"/>
      <c r="C3" s="18"/>
      <c r="D3" s="18"/>
      <c r="E3" s="18"/>
      <c r="F3" s="18"/>
      <c r="G3" s="62">
        <f>inputPrYr!D6</f>
        <v>2012</v>
      </c>
    </row>
    <row r="4" spans="1:7" ht="15.75">
      <c r="A4" s="627" t="str">
        <f>CONCATENATE("To the Clerk of ",inputPrYr!D4,", State of Kansas")</f>
        <v>To the Clerk of Sedgwick County, State of Kansas</v>
      </c>
      <c r="B4" s="627"/>
      <c r="C4" s="627"/>
      <c r="D4" s="627"/>
      <c r="E4" s="627"/>
      <c r="F4" s="627"/>
      <c r="G4" s="627"/>
    </row>
    <row r="5" spans="1:7" ht="15.75">
      <c r="A5" s="100" t="s">
        <v>159</v>
      </c>
      <c r="B5" s="26"/>
      <c r="C5" s="26"/>
      <c r="D5" s="26"/>
      <c r="E5" s="26"/>
      <c r="F5" s="26"/>
      <c r="G5" s="26"/>
    </row>
    <row r="6" spans="1:7" ht="15.75">
      <c r="A6" s="598" t="str">
        <f>inputPrYr!D3</f>
        <v>Sunswept Highlands Improvement District</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28" t="str">
        <f>CONCATENATE("",G3," Adopted Budget")</f>
        <v>2012 Adopted Budget</v>
      </c>
      <c r="F13" s="629"/>
      <c r="G13" s="630"/>
    </row>
    <row r="14" spans="1:8" ht="15.75">
      <c r="A14" s="17"/>
      <c r="B14" s="18"/>
      <c r="C14" s="18"/>
      <c r="D14" s="42"/>
      <c r="E14" s="104" t="s">
        <v>18</v>
      </c>
      <c r="F14" s="105"/>
      <c r="G14" s="106" t="s">
        <v>19</v>
      </c>
      <c r="H14" s="107"/>
    </row>
    <row r="15" spans="1:7" ht="15.75">
      <c r="A15" s="18"/>
      <c r="B15" s="18"/>
      <c r="C15" s="18"/>
      <c r="D15" s="105" t="s">
        <v>20</v>
      </c>
      <c r="E15" s="108" t="s">
        <v>222</v>
      </c>
      <c r="F15" s="631" t="str">
        <f>CONCATENATE("Amount of ",G3-1," Ad Valorem Tax")</f>
        <v>Amount of 2011 Ad Valorem Tax</v>
      </c>
      <c r="G15" s="106" t="s">
        <v>21</v>
      </c>
    </row>
    <row r="16" spans="1:7" ht="15.75">
      <c r="A16" s="17" t="s">
        <v>22</v>
      </c>
      <c r="B16" s="18"/>
      <c r="C16" s="18"/>
      <c r="D16" s="108" t="s">
        <v>23</v>
      </c>
      <c r="E16" s="108" t="s">
        <v>580</v>
      </c>
      <c r="F16" s="631"/>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9366</v>
      </c>
      <c r="F23" s="124" t="str">
        <f>IF(gen!$E$57&lt;&gt;0,gen!$E$57,"  ")</f>
        <v>  </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9366</v>
      </c>
      <c r="F30" s="415">
        <f>SUM(F23:F28)</f>
        <v>0</v>
      </c>
      <c r="G30" s="419">
        <f>IF(SUM(G23:G28)=0,"",SUM(G23:G28))</f>
      </c>
    </row>
    <row r="31" spans="1:7" ht="15.75">
      <c r="A31" s="122" t="s">
        <v>210</v>
      </c>
      <c r="B31" s="69"/>
      <c r="C31" s="119"/>
      <c r="D31" s="138">
        <f>summ!E41</f>
        <v>7</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32" t="str">
        <f>CONCATENATE("Nov. 1, ",G3," Total Assessed Valuation")</f>
        <v>Nov. 1, 2012 Total Assessed Valuation</v>
      </c>
    </row>
    <row r="34" spans="1:7" ht="15.75">
      <c r="A34" s="21"/>
      <c r="B34" s="71"/>
      <c r="C34" s="18"/>
      <c r="D34" s="144"/>
      <c r="E34" s="62"/>
      <c r="F34" s="71"/>
      <c r="G34" s="633"/>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34"/>
      <c r="B49" s="635"/>
      <c r="C49" s="18"/>
      <c r="D49" s="42"/>
      <c r="E49" s="42"/>
      <c r="F49" s="42"/>
      <c r="G49" s="42"/>
    </row>
    <row r="50" spans="1:7" ht="15.75">
      <c r="A50" s="26" t="s">
        <v>30</v>
      </c>
      <c r="B50" s="26"/>
      <c r="C50" s="18"/>
      <c r="D50" s="636" t="s">
        <v>29</v>
      </c>
      <c r="E50" s="637"/>
      <c r="F50" s="637"/>
      <c r="G50" s="637"/>
    </row>
    <row r="51" spans="1:7" ht="15.75">
      <c r="A51" s="624"/>
      <c r="B51" s="624"/>
      <c r="C51" s="624"/>
      <c r="D51" s="624"/>
      <c r="E51" s="624"/>
      <c r="F51" s="624"/>
      <c r="G51" s="624"/>
    </row>
    <row r="52" spans="1:7" ht="15.75">
      <c r="A52" s="625"/>
      <c r="B52" s="625"/>
      <c r="C52" s="625"/>
      <c r="D52" s="625"/>
      <c r="E52" s="625"/>
      <c r="F52" s="625"/>
      <c r="G52" s="625"/>
    </row>
    <row r="53" spans="1:7" ht="15.75">
      <c r="A53" s="16"/>
      <c r="B53" s="16"/>
      <c r="C53" s="16"/>
      <c r="D53" s="16"/>
      <c r="E53" s="16"/>
      <c r="F53" s="16"/>
      <c r="G53" s="626"/>
    </row>
    <row r="54" spans="1:7" ht="15.75">
      <c r="A54" s="16"/>
      <c r="B54" s="16"/>
      <c r="C54" s="16"/>
      <c r="D54" s="16"/>
      <c r="E54" s="16"/>
      <c r="F54" s="16"/>
      <c r="G54" s="626"/>
    </row>
    <row r="55" spans="1:7" ht="15.75">
      <c r="A55" s="16"/>
      <c r="B55" s="16"/>
      <c r="C55" s="16"/>
      <c r="D55" s="16"/>
      <c r="E55" s="16"/>
      <c r="F55" s="16"/>
      <c r="G55" s="626"/>
    </row>
    <row r="56" spans="1:7" ht="15.75">
      <c r="A56" s="16"/>
      <c r="B56" s="16"/>
      <c r="C56" s="16"/>
      <c r="D56" s="16"/>
      <c r="E56" s="16"/>
      <c r="F56" s="16"/>
      <c r="G56" s="626"/>
    </row>
    <row r="57" spans="1:7" ht="15.75">
      <c r="A57" s="16"/>
      <c r="B57" s="16"/>
      <c r="C57" s="16"/>
      <c r="D57" s="152"/>
      <c r="E57" s="16"/>
      <c r="F57" s="16"/>
      <c r="G57" s="626"/>
    </row>
    <row r="58" ht="15.75">
      <c r="G58" s="626"/>
    </row>
    <row r="59" ht="15.75">
      <c r="G59" s="626"/>
    </row>
    <row r="60" ht="15.75">
      <c r="G60" s="626"/>
    </row>
    <row r="61" ht="15.75">
      <c r="G61" s="626"/>
    </row>
    <row r="62" ht="15.75">
      <c r="G62" s="626"/>
    </row>
    <row r="63" ht="15.75">
      <c r="G63" s="626"/>
    </row>
    <row r="64" ht="15.75">
      <c r="G64" s="626"/>
    </row>
    <row r="65" ht="15.75">
      <c r="G65" s="62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ksbailey</cp:lastModifiedBy>
  <cp:lastPrinted>2011-07-28T21:16:48Z</cp:lastPrinted>
  <dcterms:created xsi:type="dcterms:W3CDTF">1999-08-06T13:59:57Z</dcterms:created>
  <dcterms:modified xsi:type="dcterms:W3CDTF">2011-07-29T13:34:02Z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