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5"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summ"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'summ'!$A$1:$I$43</definedName>
  </definedNames>
  <calcPr fullCalcOnLoad="1"/>
</workbook>
</file>

<file path=xl/sharedStrings.xml><?xml version="1.0" encoding="utf-8"?>
<sst xmlns="http://schemas.openxmlformats.org/spreadsheetml/2006/main" count="1161" uniqueCount="770">
  <si>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</si>
  <si>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</si>
  <si>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</si>
  <si>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</si>
  <si>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</si>
  <si>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</si>
  <si>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</si>
  <si>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</si>
  <si>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</si>
  <si>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</si>
  <si>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</si>
  <si>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</si>
  <si>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</si>
  <si>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</si>
  <si>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</si>
  <si>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</si>
  <si>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</si>
  <si>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</si>
  <si>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</si>
  <si>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</si>
  <si>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</si>
  <si>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</si>
  <si>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</si>
  <si>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</si>
  <si>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</si>
  <si>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</si>
  <si>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</si>
  <si>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</si>
  <si>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</si>
  <si>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</si>
  <si>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</si>
  <si>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</si>
  <si>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</si>
  <si>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</si>
  <si>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</si>
  <si>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</si>
  <si>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</si>
  <si>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</si>
  <si>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</si>
  <si>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</si>
  <si>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</si>
  <si>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</si>
  <si>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</si>
  <si>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</si>
  <si>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</si>
  <si>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</si>
  <si>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</si>
  <si>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</si>
  <si>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</si>
  <si>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</si>
  <si>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</si>
  <si>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</si>
  <si>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</si>
  <si>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</si>
  <si>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</si>
  <si>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</si>
  <si>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</si>
  <si>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</si>
  <si>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</si>
  <si>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</si>
  <si>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</si>
  <si>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</si>
  <si>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</si>
  <si>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</si>
  <si>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</si>
  <si>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</si>
  <si>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</si>
  <si>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</si>
  <si>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</si>
  <si>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</si>
  <si>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</si>
  <si>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</si>
  <si>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</si>
  <si>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</si>
  <si>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</si>
  <si>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</si>
  <si>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</si>
  <si>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</si>
  <si>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</si>
  <si>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</si>
  <si>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</si>
  <si>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</si>
  <si>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</si>
  <si>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</si>
  <si>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</si>
  <si>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</si>
  <si>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</si>
  <si>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</si>
  <si>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</si>
  <si>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</si>
  <si>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</si>
  <si>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</si>
  <si>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</si>
  <si>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</si>
  <si>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</si>
  <si>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</si>
  <si>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</si>
  <si>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</si>
  <si>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</si>
  <si>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</si>
  <si>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</si>
  <si>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</si>
  <si>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</si>
  <si>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</si>
  <si>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</si>
  <si>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</si>
  <si>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</si>
  <si>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</si>
  <si>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</si>
  <si>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</si>
  <si>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</si>
  <si>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</si>
  <si>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</si>
  <si>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</si>
  <si>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</si>
  <si>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</si>
  <si>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</si>
  <si>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</si>
  <si>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</si>
  <si>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</si>
  <si>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</si>
  <si>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</si>
  <si>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</si>
  <si>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</si>
  <si>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</si>
  <si>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</si>
  <si>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</si>
  <si>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</si>
  <si>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</si>
  <si>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</si>
  <si>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</si>
  <si>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</si>
  <si>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</si>
  <si>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</si>
  <si>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</si>
  <si>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</si>
  <si>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</si>
  <si>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</si>
  <si>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</si>
  <si>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</si>
  <si>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</si>
  <si>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</si>
  <si>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</si>
  <si>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</si>
  <si>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</si>
  <si>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</si>
  <si>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</si>
  <si>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</si>
  <si>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</si>
  <si>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</si>
  <si>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</si>
  <si>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</si>
  <si>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</si>
  <si>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</si>
  <si>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</si>
  <si>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</si>
  <si>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</si>
  <si>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</si>
  <si>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</si>
  <si>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</si>
  <si>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</si>
  <si>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</si>
  <si>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</si>
  <si>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</si>
  <si>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</si>
  <si>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</si>
  <si>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</si>
  <si>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</si>
  <si>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</si>
  <si>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</si>
  <si>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</si>
  <si>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</si>
  <si>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</si>
  <si>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</si>
  <si>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</si>
  <si>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</si>
  <si>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</si>
  <si>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</si>
  <si>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</si>
  <si>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</si>
  <si>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</si>
  <si>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</si>
  <si>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</si>
  <si>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</si>
  <si>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</si>
  <si>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</si>
  <si>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</si>
  <si>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</si>
  <si>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</si>
  <si>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</si>
  <si>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</si>
  <si>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</si>
  <si>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</si>
  <si>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</si>
  <si>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</si>
  <si>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</si>
  <si>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</si>
  <si>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</si>
  <si>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</si>
  <si>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</si>
  <si>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</si>
  <si>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</si>
  <si>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</si>
  <si>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</si>
  <si>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</si>
  <si>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</si>
  <si>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</si>
  <si>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</si>
  <si>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</si>
  <si>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</si>
  <si>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</si>
  <si>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</si>
  <si>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</si>
  <si>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</si>
  <si>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</si>
  <si>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</si>
  <si>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</si>
  <si>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</si>
  <si>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</si>
  <si>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</si>
  <si>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</si>
  <si>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</si>
  <si>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</si>
  <si>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</si>
  <si>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</si>
  <si>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</si>
  <si>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</si>
  <si>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</si>
  <si>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</si>
  <si>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</si>
  <si>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</si>
  <si>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</si>
  <si>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</si>
  <si>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</si>
  <si>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</si>
  <si>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</si>
  <si>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</si>
  <si>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</si>
  <si>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</si>
  <si>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</si>
  <si>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</si>
  <si>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</si>
  <si>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</si>
  <si>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</si>
  <si>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</si>
  <si>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</si>
  <si>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</si>
  <si>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</si>
  <si>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</si>
  <si>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</si>
  <si>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</si>
  <si>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</si>
  <si>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</si>
  <si>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</si>
  <si>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</si>
  <si>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</si>
  <si>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</si>
  <si>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</si>
  <si>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</si>
  <si>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</si>
  <si>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</si>
  <si>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</si>
  <si>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</si>
  <si>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</si>
  <si>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</si>
  <si>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</si>
  <si>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</si>
  <si>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</si>
  <si>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</si>
  <si>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</si>
  <si>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</si>
  <si>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</si>
  <si>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</si>
  <si>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</si>
  <si>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</si>
  <si>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</si>
  <si>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</si>
  <si>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</si>
  <si>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</si>
  <si>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</si>
  <si>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</si>
  <si>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</si>
  <si>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</si>
  <si>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</si>
  <si>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</si>
  <si>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</si>
  <si>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</si>
  <si>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</si>
  <si>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</si>
  <si>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</si>
  <si>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</si>
  <si>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</si>
  <si>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</si>
  <si>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</si>
  <si>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</si>
  <si>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</si>
  <si>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</si>
  <si>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</si>
  <si>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</si>
  <si>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</si>
  <si>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</si>
  <si>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</si>
  <si>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</si>
  <si>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</si>
  <si>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</si>
  <si>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</si>
  <si>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</si>
  <si>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</si>
  <si>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</si>
  <si>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</si>
  <si>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</si>
  <si>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</si>
  <si>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</si>
  <si>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</si>
  <si>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</si>
  <si>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</si>
  <si>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</si>
  <si>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</si>
  <si>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</si>
  <si>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</si>
  <si>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</si>
  <si>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</si>
  <si>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</si>
  <si>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</si>
  <si>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</si>
  <si>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</si>
  <si>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</si>
  <si>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</si>
  <si>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</si>
  <si>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</si>
  <si>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</si>
  <si>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</si>
  <si>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</si>
  <si>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</si>
  <si>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</si>
  <si>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</si>
  <si>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</si>
  <si>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</si>
  <si>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</si>
  <si>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</si>
  <si>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</si>
  <si>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</si>
  <si>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</si>
  <si>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</si>
  <si>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</si>
  <si>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</si>
  <si>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</si>
  <si>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</si>
  <si>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</si>
  <si>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</si>
  <si>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</si>
  <si>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</si>
  <si>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</si>
  <si>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</si>
  <si>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</si>
  <si>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</si>
  <si>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</si>
  <si>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</si>
  <si>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</si>
  <si>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</si>
  <si>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</si>
  <si>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</si>
  <si>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</si>
  <si>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</si>
  <si>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</si>
  <si>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</si>
  <si>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</si>
  <si>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</si>
  <si>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</si>
  <si>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</si>
  <si>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</si>
  <si>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</si>
  <si>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</si>
  <si>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</si>
  <si>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</si>
  <si>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</si>
  <si>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</si>
  <si>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</si>
  <si>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</si>
  <si>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</si>
  <si>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</si>
  <si>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</si>
  <si>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</si>
  <si>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</si>
  <si>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</si>
  <si>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</si>
  <si>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</si>
  <si>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</si>
  <si>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</si>
  <si>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</si>
  <si>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</si>
  <si>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</si>
  <si>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</si>
  <si>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</si>
  <si>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</si>
  <si>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</si>
  <si>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</si>
  <si>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</si>
  <si>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</si>
  <si>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</si>
  <si>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</si>
  <si>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</si>
  <si>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</si>
  <si>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</si>
  <si>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</si>
  <si>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</si>
  <si>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</si>
  <si>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</si>
  <si>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</si>
  <si>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</si>
  <si>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</si>
  <si>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</si>
  <si>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</si>
  <si>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</si>
  <si>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</si>
  <si>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</si>
  <si>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</si>
  <si>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</si>
  <si>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</si>
  <si>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</si>
  <si>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</si>
  <si>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</si>
  <si>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</si>
  <si>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</si>
  <si>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</si>
  <si>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</si>
  <si>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</si>
  <si>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</si>
  <si>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</si>
  <si>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</si>
  <si>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</si>
  <si>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</si>
  <si>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</si>
  <si>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</si>
  <si>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</si>
  <si>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</si>
  <si>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</si>
  <si>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</si>
  <si>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</si>
  <si>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</si>
  <si>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</si>
  <si>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</si>
  <si>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</si>
  <si>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</si>
  <si>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</si>
  <si>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</si>
  <si>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</si>
  <si>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</si>
  <si>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</si>
  <si>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</si>
  <si>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</si>
  <si>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</si>
  <si>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</si>
  <si>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</si>
  <si>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</si>
  <si>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</si>
  <si>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</si>
  <si>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</si>
  <si>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</si>
  <si>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</si>
  <si>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</si>
  <si>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</si>
  <si>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</si>
  <si>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</si>
  <si>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</si>
  <si>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</si>
  <si>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</si>
  <si>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</si>
  <si>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</si>
  <si>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</si>
  <si>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</si>
  <si>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</si>
  <si>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</si>
  <si>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</si>
  <si>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</si>
  <si>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</si>
  <si>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</si>
  <si>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</si>
  <si>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</si>
  <si>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</si>
  <si>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</si>
  <si>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</si>
  <si>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</si>
  <si>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</si>
  <si>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</si>
  <si>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</si>
  <si>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</si>
  <si>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</si>
  <si>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</si>
  <si>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</si>
  <si>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</si>
  <si>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</si>
  <si>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</si>
  <si>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</si>
  <si>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</si>
  <si>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</si>
  <si>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</si>
  <si>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</si>
  <si>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</si>
  <si>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</si>
  <si>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</si>
  <si>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</si>
  <si>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</si>
  <si>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</si>
  <si>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</si>
  <si>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</si>
  <si>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</si>
  <si>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</si>
  <si>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</si>
  <si>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</si>
  <si>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</si>
  <si>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</si>
  <si>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</si>
  <si>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</si>
  <si>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</si>
  <si>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</si>
  <si>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</si>
  <si>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</si>
  <si>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</si>
  <si>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</si>
  <si>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</si>
  <si>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</si>
  <si>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</si>
  <si>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</si>
  <si>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</si>
  <si>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</si>
  <si>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</si>
  <si>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</si>
  <si>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</si>
  <si>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</si>
  <si>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</si>
  <si>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</si>
  <si>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</si>
  <si>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</si>
  <si>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</si>
  <si>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</si>
  <si>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</si>
  <si>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</si>
  <si>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</si>
  <si>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</si>
  <si>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</si>
  <si>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</si>
  <si>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</si>
  <si>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</si>
  <si>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</si>
  <si>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</si>
  <si>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</si>
  <si>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</si>
  <si>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</si>
  <si>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</si>
  <si>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</si>
  <si>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</si>
  <si>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</si>
  <si>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</si>
  <si>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</si>
  <si>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</si>
  <si>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</si>
  <si>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</si>
  <si>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</si>
  <si>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</si>
  <si>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</si>
  <si>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</si>
  <si>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</si>
  <si>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</si>
  <si>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</si>
  <si>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</si>
  <si>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</si>
  <si>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</si>
  <si>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</si>
  <si>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</si>
  <si>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</si>
  <si>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</si>
  <si>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</si>
  <si>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</si>
  <si>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</si>
  <si>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</si>
  <si>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</si>
  <si>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</si>
  <si>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</si>
  <si>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</si>
  <si>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</si>
  <si>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</si>
  <si>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</si>
  <si>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</si>
  <si>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</si>
  <si>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</si>
  <si>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</si>
  <si>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</si>
  <si>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</si>
  <si>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</si>
  <si>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</si>
  <si>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</si>
  <si>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</si>
  <si>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</si>
  <si>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</si>
  <si>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</si>
  <si>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</si>
  <si>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</si>
  <si>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</si>
  <si>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</si>
  <si>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</si>
  <si>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</si>
  <si>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</si>
  <si>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</si>
  <si>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</si>
  <si>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</si>
  <si>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</si>
  <si>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</si>
  <si>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</si>
  <si>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</si>
  <si>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</si>
  <si>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</si>
  <si>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</si>
  <si>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</si>
  <si>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</si>
  <si>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</si>
  <si>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</si>
  <si>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</si>
  <si>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</si>
  <si>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</si>
  <si>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</si>
  <si>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</si>
  <si>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</si>
  <si>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</si>
  <si>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</si>
  <si>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</si>
  <si>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</si>
  <si>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</si>
  <si>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</si>
  <si>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</si>
  <si>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</si>
  <si>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</si>
  <si>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</si>
  <si>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</si>
  <si>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</si>
  <si>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</si>
  <si>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</si>
  <si>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</si>
  <si>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</si>
  <si>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</si>
  <si>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</si>
  <si>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</si>
  <si>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</si>
  <si>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</si>
  <si>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</si>
  <si>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</si>
  <si>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</si>
  <si>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</si>
  <si>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</si>
  <si>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</si>
  <si>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</si>
  <si>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</si>
  <si>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</si>
  <si>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</si>
  <si>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</si>
  <si>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</si>
  <si>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</si>
  <si>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</si>
  <si>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</si>
  <si>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</si>
  <si>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</si>
  <si>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</si>
  <si>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</si>
  <si>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</si>
  <si>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</si>
  <si>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</si>
  <si>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</si>
  <si>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</si>
  <si>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</si>
  <si>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</si>
  <si>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</si>
  <si>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</si>
  <si>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</si>
  <si>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</si>
  <si>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</si>
  <si>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</si>
  <si>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</si>
  <si>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</si>
  <si>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</si>
  <si>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</si>
  <si>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</si>
  <si>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</si>
  <si>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</si>
  <si>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</si>
  <si>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</si>
  <si>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</si>
  <si>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</si>
  <si>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</si>
  <si>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</si>
  <si>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</si>
  <si>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</si>
  <si>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</si>
  <si>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</si>
  <si>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</si>
  <si>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</si>
  <si>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</si>
  <si>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</si>
  <si>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</si>
  <si>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</si>
  <si>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</si>
  <si>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</si>
  <si>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</si>
  <si>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</si>
  <si>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</si>
  <si>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</si>
  <si>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</si>
  <si>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</si>
  <si>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</si>
  <si>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</si>
  <si>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</si>
  <si>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</si>
  <si>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</si>
  <si>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</si>
  <si>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</si>
  <si>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</si>
  <si>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</si>
  <si>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</si>
  <si>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</si>
  <si>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</si>
  <si>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</si>
  <si>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</si>
  <si>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</si>
  <si>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</si>
  <si>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</si>
  <si>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</si>
  <si>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</si>
  <si>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</si>
  <si>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</si>
  <si>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</si>
  <si>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</si>
  <si>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</si>
  <si>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</si>
  <si>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</si>
  <si>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</si>
  <si>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</si>
  <si>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</si>
  <si>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</si>
  <si>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</si>
  <si>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</si>
  <si>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</si>
  <si>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</si>
  <si>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</si>
  <si>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</si>
  <si>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</si>
  <si>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</si>
  <si>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</si>
  <si>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</si>
  <si>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</si>
  <si>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</si>
  <si>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</si>
  <si>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</si>
  <si>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</si>
  <si>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</si>
  <si>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</si>
  <si>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</si>
  <si>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</si>
  <si>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</si>
  <si>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</si>
  <si>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</si>
  <si>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Sedgwick Valley Joint Drainage District</t>
  </si>
  <si>
    <t>Sedgwick County</t>
  </si>
  <si>
    <t>Harvey County</t>
  </si>
  <si>
    <t>Drainage Projects</t>
  </si>
  <si>
    <t>Insurance</t>
  </si>
  <si>
    <t>Legal</t>
  </si>
  <si>
    <t>Administration</t>
  </si>
  <si>
    <t>October 25, 2011</t>
  </si>
  <si>
    <t>8:30 A.M.</t>
  </si>
  <si>
    <t>Sedgwick Co-Op, Sedgwick KS</t>
  </si>
  <si>
    <t>525 N. Main Room 211, Wichita, KS  67203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</si>
</sst>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21"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20" t="s">
        <v>734</v>
      </c>
    </row>
    <row r="59" ht="65.25" customHeight="1">
      <c r="A59" s="620" t="s">
        <v>735</v>
      </c>
    </row>
    <row r="60" ht="66.75" customHeight="1">
      <c r="A60" s="622" t="s">
        <v>736</v>
      </c>
    </row>
    <row r="61" ht="83.25" customHeight="1">
      <c r="A61" s="620"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745</v>
      </c>
    </row>
    <row r="77" ht="67.5" customHeight="1">
      <c r="A77" s="620" t="s">
        <v>746</v>
      </c>
    </row>
    <row r="78" ht="81.75" customHeight="1">
      <c r="A78" s="620"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20" t="s">
        <v>750</v>
      </c>
    </row>
    <row r="87" ht="85.5" customHeight="1">
      <c r="A87" s="620" t="s">
        <v>751</v>
      </c>
    </row>
    <row r="88" ht="100.5" customHeight="1">
      <c r="A88" s="620"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Sedgwick Valley Joint Drainage District</v>
      </c>
      <c r="B1" s="100"/>
      <c r="C1" s="100"/>
      <c r="D1" s="100"/>
      <c r="E1" s="100"/>
      <c r="F1" s="100"/>
      <c r="G1" s="100"/>
      <c r="H1" s="100"/>
      <c r="I1" s="100"/>
      <c r="J1" s="100"/>
      <c r="K1" s="287">
        <f>inputPrYr!D11</f>
        <v>2012</v>
      </c>
    </row>
    <row r="2" spans="1:11" ht="15.75">
      <c r="A2" s="100" t="str">
        <f>inputPrYr!$D$4</f>
        <v>Sedgwick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B1">
      <selection activeCell="E40" sqref="E40"/>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Sedgwick Valley Joint Drainage District</v>
      </c>
      <c r="C1" s="185"/>
      <c r="D1" s="100"/>
      <c r="E1" s="328"/>
      <c r="F1" s="186"/>
    </row>
    <row r="2" spans="2:6" ht="15.75">
      <c r="B2" s="100" t="str">
        <f>inputPrYr!D4</f>
        <v>Sedgwick County</v>
      </c>
      <c r="C2" s="185"/>
      <c r="D2" s="100"/>
      <c r="E2" s="189"/>
      <c r="F2" s="186"/>
    </row>
    <row r="3" spans="2:6" ht="15.75">
      <c r="B3" s="111"/>
      <c r="C3" s="185"/>
      <c r="D3" s="100"/>
      <c r="E3" s="329"/>
      <c r="F3" s="287">
        <f>inputPrYr!D11</f>
        <v>2012</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62692</v>
      </c>
      <c r="D7" s="447">
        <f>C62</f>
        <v>61106.79000000001</v>
      </c>
      <c r="E7" s="164">
        <f>D62</f>
        <v>29280.790000000008</v>
      </c>
      <c r="F7" s="186"/>
    </row>
    <row r="8" spans="2:6" ht="15.75">
      <c r="B8" s="246" t="s">
        <v>123</v>
      </c>
      <c r="C8" s="331"/>
      <c r="D8" s="331"/>
      <c r="E8" s="162"/>
      <c r="F8" s="186"/>
    </row>
    <row r="9" spans="2:6" ht="15.75">
      <c r="B9" s="227" t="s">
        <v>27</v>
      </c>
      <c r="C9" s="443">
        <f>5928+3393</f>
        <v>9321</v>
      </c>
      <c r="D9" s="447">
        <f>inputPrYr!E24</f>
        <v>9359</v>
      </c>
      <c r="E9" s="239" t="s">
        <v>21</v>
      </c>
      <c r="F9" s="186"/>
    </row>
    <row r="10" spans="2:6" ht="15.75">
      <c r="B10" s="227" t="s">
        <v>28</v>
      </c>
      <c r="C10" s="443">
        <f>64+0.39+0.68+4.72</f>
        <v>69.79</v>
      </c>
      <c r="D10" s="443">
        <v>50</v>
      </c>
      <c r="E10" s="304">
        <v>50</v>
      </c>
      <c r="F10" s="186"/>
    </row>
    <row r="11" spans="2:6" ht="15.75">
      <c r="B11" s="227" t="s">
        <v>29</v>
      </c>
      <c r="C11" s="443">
        <v>453</v>
      </c>
      <c r="D11" s="443">
        <v>400</v>
      </c>
      <c r="E11" s="164">
        <f>mvalloc!D11</f>
        <v>424</v>
      </c>
      <c r="F11" s="186"/>
    </row>
    <row r="12" spans="2:6" ht="15.75">
      <c r="B12" s="227" t="s">
        <v>30</v>
      </c>
      <c r="C12" s="443">
        <v>22</v>
      </c>
      <c r="D12" s="443">
        <v>20</v>
      </c>
      <c r="E12" s="164">
        <f>mvalloc!E11</f>
        <v>20</v>
      </c>
      <c r="F12" s="186"/>
    </row>
    <row r="13" spans="2:6" ht="15.75">
      <c r="B13" s="331" t="s">
        <v>105</v>
      </c>
      <c r="C13" s="443">
        <v>0</v>
      </c>
      <c r="D13" s="443"/>
      <c r="E13" s="164">
        <f>mvalloc!F11</f>
        <v>3</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v>73</v>
      </c>
      <c r="D30" s="443">
        <v>50</v>
      </c>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9938.79</v>
      </c>
      <c r="D33" s="446">
        <f>SUM(D9:D31)</f>
        <v>9879</v>
      </c>
      <c r="E33" s="338">
        <f>SUM(E9:E31)</f>
        <v>497</v>
      </c>
      <c r="F33" s="186"/>
    </row>
    <row r="34" spans="2:6" ht="15.75">
      <c r="B34" s="337" t="s">
        <v>33</v>
      </c>
      <c r="C34" s="446">
        <f>C7+C33</f>
        <v>72630.79000000001</v>
      </c>
      <c r="D34" s="446">
        <f>D7+D33</f>
        <v>70985.79000000001</v>
      </c>
      <c r="E34" s="338">
        <f>E7+E33</f>
        <v>29777.790000000008</v>
      </c>
      <c r="F34" s="186"/>
    </row>
    <row r="35" spans="2:6" ht="15.75">
      <c r="B35" s="227" t="s">
        <v>34</v>
      </c>
      <c r="C35" s="231"/>
      <c r="D35" s="231"/>
      <c r="E35" s="134"/>
      <c r="F35" s="186"/>
    </row>
    <row r="36" spans="2:6" ht="15.75">
      <c r="B36" s="332"/>
      <c r="C36" s="443"/>
      <c r="D36" s="443"/>
      <c r="E36" s="122"/>
      <c r="F36" s="186"/>
    </row>
    <row r="37" spans="2:6" ht="15.75">
      <c r="B37" s="332" t="s">
        <v>762</v>
      </c>
      <c r="C37" s="443">
        <v>8235</v>
      </c>
      <c r="D37" s="443">
        <v>32955</v>
      </c>
      <c r="E37" s="122">
        <v>28000</v>
      </c>
      <c r="F37" s="186"/>
    </row>
    <row r="38" spans="2:6" ht="15.75">
      <c r="B38" s="332" t="s">
        <v>763</v>
      </c>
      <c r="C38" s="443">
        <v>250</v>
      </c>
      <c r="D38" s="443">
        <v>250</v>
      </c>
      <c r="E38" s="122">
        <v>250</v>
      </c>
      <c r="F38" s="186"/>
    </row>
    <row r="39" spans="2:6" ht="15.75">
      <c r="B39" s="332" t="s">
        <v>764</v>
      </c>
      <c r="C39" s="443">
        <v>1050</v>
      </c>
      <c r="D39" s="443">
        <v>5000</v>
      </c>
      <c r="E39" s="122">
        <v>5911</v>
      </c>
      <c r="F39" s="186"/>
    </row>
    <row r="40" spans="2:6" ht="15.75">
      <c r="B40" s="332" t="s">
        <v>765</v>
      </c>
      <c r="C40" s="443">
        <v>1989</v>
      </c>
      <c r="D40" s="443">
        <v>3500</v>
      </c>
      <c r="E40" s="122">
        <v>5000</v>
      </c>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41705</v>
      </c>
      <c r="H55" s="564" t="str">
        <f>CONCATENATE("",F3-1," Ending Cash Balance (est.)")</f>
        <v>2011 Ending Cash Balance (est.)</v>
      </c>
      <c r="I55" s="565"/>
      <c r="J55" s="562"/>
    </row>
    <row r="56" spans="2:10" ht="15.75">
      <c r="B56" s="332"/>
      <c r="C56" s="443"/>
      <c r="D56" s="443"/>
      <c r="E56" s="122"/>
      <c r="F56" s="186"/>
      <c r="G56" s="563">
        <f>E33</f>
        <v>497</v>
      </c>
      <c r="H56" s="565" t="str">
        <f>CONCATENATE("",F3," Non-AV Receipts (est.)")</f>
        <v>2012 Non-AV Receipts (est.)</v>
      </c>
      <c r="I56" s="565"/>
      <c r="J56" s="562"/>
    </row>
    <row r="57" spans="2:10" ht="15.75">
      <c r="B57" s="332"/>
      <c r="C57" s="443"/>
      <c r="D57" s="443"/>
      <c r="E57" s="122"/>
      <c r="F57" s="186"/>
      <c r="G57" s="566">
        <f>E68</f>
        <v>9383.209999999992</v>
      </c>
      <c r="H57" s="565" t="str">
        <f>CONCATENATE("",F3," Ad Valorem Tax (est.)")</f>
        <v>2012 Ad Valorem Tax (est.)</v>
      </c>
      <c r="I57" s="565"/>
      <c r="J57" s="562"/>
    </row>
    <row r="58" spans="2:10" ht="15.75">
      <c r="B58" s="231" t="s">
        <v>234</v>
      </c>
      <c r="C58" s="332"/>
      <c r="D58" s="332"/>
      <c r="E58" s="166">
        <f>Nhood!E7</f>
      </c>
      <c r="F58" s="186"/>
      <c r="G58" s="563">
        <f>SUM(G55:G57)</f>
        <v>51585.20999999999</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12100.2</v>
      </c>
      <c r="H60" s="565" t="str">
        <f>CONCATENATE("Less ",F3-2," Expenditures + 5%")</f>
        <v>Less 2010 Expenditures + 5%</v>
      </c>
      <c r="I60" s="565"/>
      <c r="J60" s="562"/>
    </row>
    <row r="61" spans="2:10" ht="15.75">
      <c r="B61" s="337" t="s">
        <v>35</v>
      </c>
      <c r="C61" s="446">
        <f>SUM(C36:C59)</f>
        <v>11524</v>
      </c>
      <c r="D61" s="446">
        <f>SUM(D36:D59)</f>
        <v>41705</v>
      </c>
      <c r="E61" s="338">
        <f>SUM(E36:E59)</f>
        <v>39161</v>
      </c>
      <c r="F61" s="186"/>
      <c r="G61" s="568">
        <f>G58-G60</f>
        <v>39485.009999999995</v>
      </c>
      <c r="H61" s="569" t="str">
        <f>CONCATENATE("Projected ",F3+1," Carryover (est.)")</f>
        <v>Projected 2013 Carryover (est.)</v>
      </c>
      <c r="I61" s="570"/>
      <c r="J61" s="571"/>
    </row>
    <row r="62" spans="2:10" ht="15.75">
      <c r="B62" s="227" t="s">
        <v>122</v>
      </c>
      <c r="C62" s="444">
        <f>C34-C61</f>
        <v>61106.79000000001</v>
      </c>
      <c r="D62" s="444">
        <f>D34-D61</f>
        <v>29280.790000000008</v>
      </c>
      <c r="E62" s="239" t="s">
        <v>21</v>
      </c>
      <c r="F62" s="186"/>
      <c r="G62" s="98"/>
      <c r="H62" s="98"/>
      <c r="I62" s="98"/>
      <c r="J62" s="98"/>
    </row>
    <row r="63" spans="2:10" ht="15.75">
      <c r="B63" s="189" t="str">
        <f>CONCATENATE("",F3-2,"/",F3-1," Budget Authority Amount:")</f>
        <v>2010/2011 Budget Authority Amount:</v>
      </c>
      <c r="C63" s="201">
        <f>inputOth!B109</f>
        <v>69694</v>
      </c>
      <c r="D63" s="178">
        <f>inputPrYr!D24</f>
        <v>43205</v>
      </c>
      <c r="E63" s="239" t="s">
        <v>21</v>
      </c>
      <c r="F63" s="339"/>
      <c r="G63" s="572">
        <f>IF(inputOth!E12=0,"",ROUND(gen!E68/inputOth!E12*1000,3))</f>
        <v>2.753</v>
      </c>
      <c r="H63" s="573" t="str">
        <f>CONCATENATE("Projected ",F3-1," Mill Rate (est.)")</f>
        <v>Projected 2011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39161</v>
      </c>
      <c r="F65" s="186"/>
      <c r="G65" s="676" t="str">
        <f>CONCATENATE("Desired Carryover Into ",F3+1,"")</f>
        <v>Desired Carryover Into 2013</v>
      </c>
      <c r="H65" s="679"/>
      <c r="I65" s="679"/>
      <c r="J65" s="678"/>
    </row>
    <row r="66" spans="2:10" ht="15.75">
      <c r="B66" s="555" t="str">
        <f>CONCATENATE(C80,"     ",D80)</f>
        <v>     </v>
      </c>
      <c r="C66" s="557"/>
      <c r="D66" s="558" t="s">
        <v>698</v>
      </c>
      <c r="E66" s="167">
        <f>IF(E65-E34&gt;0,E65-E34,0)</f>
        <v>9383.209999999992</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70" t="str">
        <f>CONCATENATE("Amount of  ",$F$3-1," Ad Valorem Tax")</f>
        <v>Amount of  2011 Ad Valorem Tax</v>
      </c>
      <c r="D68" s="671"/>
      <c r="E68" s="167">
        <f>E66+E67</f>
        <v>9383.209999999992</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Sedgwick Valley Joint Drainage District</v>
      </c>
      <c r="C1" s="100"/>
      <c r="D1" s="100"/>
      <c r="E1" s="328">
        <f>inputPrYr!$D$11</f>
        <v>2012</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2013</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K7" sqref="K7"/>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63" t="s">
        <v>106</v>
      </c>
      <c r="B3" s="663"/>
      <c r="C3" s="663"/>
      <c r="D3" s="663"/>
      <c r="E3" s="663"/>
      <c r="F3" s="663"/>
      <c r="G3" s="663"/>
      <c r="H3" s="663"/>
      <c r="I3" s="140">
        <f>inputPrYr!D11</f>
        <v>2012</v>
      </c>
    </row>
    <row r="4" spans="1:8" ht="15.75">
      <c r="A4" s="634" t="str">
        <f>inputPrYr!D3</f>
        <v>Sedgwick Valley Joint Drainage District</v>
      </c>
      <c r="B4" s="634"/>
      <c r="C4" s="634"/>
      <c r="D4" s="634"/>
      <c r="E4" s="634"/>
      <c r="F4" s="634"/>
      <c r="G4" s="634"/>
      <c r="H4" s="634"/>
    </row>
    <row r="5" spans="1:8" ht="15.75">
      <c r="A5" s="685" t="str">
        <f>inputPrYr!D4</f>
        <v>Sedgwick County</v>
      </c>
      <c r="B5" s="685"/>
      <c r="C5" s="685"/>
      <c r="D5" s="685"/>
      <c r="E5" s="685"/>
      <c r="F5" s="685"/>
      <c r="G5" s="685"/>
      <c r="H5" s="685"/>
    </row>
    <row r="6" spans="1:8" ht="15.75">
      <c r="A6" s="686" t="str">
        <f>CONCATENATE("will meet on ",inputBudSum!B5," at ",inputBudSum!B7," at ",inputBudSum!B9," for the purpose of hearing and")</f>
        <v>will meet on October 25, 2011 at 8:30 A.M. at Sedgwick Co-Op, Sedgwick KS for the purpose of hearing and</v>
      </c>
      <c r="B6" s="686"/>
      <c r="C6" s="686"/>
      <c r="D6" s="686"/>
      <c r="E6" s="686"/>
      <c r="F6" s="686"/>
      <c r="G6" s="686"/>
      <c r="H6" s="686"/>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525 N. Main Room 211, Wichita, KS  67203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7" t="str">
        <f>CONCATENATE("Estimated Value Of One Mill For ",I3,"")</f>
        <v>Estimated Value Of One Mill For 2012</v>
      </c>
      <c r="K11" s="688"/>
      <c r="L11" s="688"/>
      <c r="M11" s="689"/>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ROUND(F27/1000,0)</f>
        <v>3408</v>
      </c>
    </row>
    <row r="14" spans="1:13" ht="15.75">
      <c r="A14" s="159"/>
      <c r="B14" s="157"/>
      <c r="C14" s="158" t="s">
        <v>44</v>
      </c>
      <c r="D14" s="157"/>
      <c r="E14" s="158" t="s">
        <v>44</v>
      </c>
      <c r="F14" s="159" t="s">
        <v>229</v>
      </c>
      <c r="G14" s="683"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84"/>
      <c r="H15" s="161" t="s">
        <v>178</v>
      </c>
      <c r="J15" s="687" t="str">
        <f>CONCATENATE("Want The Mill Rate The Same As For ",I3-1,"?")</f>
        <v>Want The Mill Rate The Same As For 2011?</v>
      </c>
      <c r="K15" s="690"/>
      <c r="L15" s="690"/>
      <c r="M15" s="691"/>
    </row>
    <row r="16" spans="1:13" ht="15.75">
      <c r="A16" s="134" t="str">
        <f>inputPrYr!B24</f>
        <v>General</v>
      </c>
      <c r="B16" s="162">
        <f>IF(gen!$C$61&lt;&gt;0,gen!$C$61,"  ")</f>
        <v>11524</v>
      </c>
      <c r="C16" s="163">
        <f>IF(inputPrYr!D43&gt;0,inputPrYr!D43,"  ")</f>
        <v>2.972</v>
      </c>
      <c r="D16" s="162">
        <f>IF(gen!$D$61&lt;&gt;0,gen!$D$61,"  ")</f>
        <v>41705</v>
      </c>
      <c r="E16" s="163">
        <f>IF(inputOth!D46&gt;0,inputOth!D46,"  ")</f>
        <v>2.712</v>
      </c>
      <c r="F16" s="162">
        <f>IF(gen!$E$61&lt;&gt;0,gen!$E$61,"  ")</f>
        <v>39161</v>
      </c>
      <c r="G16" s="162">
        <f>IF(gen!$E$68&lt;&gt;0,gen!$E$68,"  ")</f>
        <v>9383.209999999992</v>
      </c>
      <c r="H16" s="163">
        <f>IF(gen!E68&gt;0,ROUND(G16/$F$27*1000,3)," ")</f>
        <v>2.753</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2.712</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-140.20999999999185</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7" t="str">
        <f>CONCATENATE("Impact On Keeping The Same Mill Rate As For ",I3-1,"")</f>
        <v>Impact On Keeping The Same Mill Rate As For 2011</v>
      </c>
      <c r="K22" s="692"/>
      <c r="L22" s="692"/>
      <c r="M22" s="693"/>
    </row>
    <row r="23" spans="1:13" ht="15.75">
      <c r="A23" s="120" t="s">
        <v>130</v>
      </c>
      <c r="B23" s="611">
        <f>SUM(B16:B22)</f>
        <v>11524</v>
      </c>
      <c r="C23" s="612">
        <f aca="true" t="shared" si="0" ref="C23:H23">SUM(C16:C21)</f>
        <v>2.972</v>
      </c>
      <c r="D23" s="611">
        <f t="shared" si="0"/>
        <v>41705</v>
      </c>
      <c r="E23" s="612">
        <f t="shared" si="0"/>
        <v>2.712</v>
      </c>
      <c r="F23" s="611">
        <f t="shared" si="0"/>
        <v>39161</v>
      </c>
      <c r="G23" s="613">
        <f>SUM(G16:G21)</f>
        <v>9383.209999999992</v>
      </c>
      <c r="H23" s="612">
        <f t="shared" si="0"/>
        <v>2.753</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9383.209999999992</v>
      </c>
    </row>
    <row r="25" spans="1:13" ht="16.5" thickBot="1">
      <c r="A25" s="120" t="s">
        <v>184</v>
      </c>
      <c r="B25" s="172">
        <f>SUM(B23-B24)</f>
        <v>11524</v>
      </c>
      <c r="C25" s="173"/>
      <c r="D25" s="172">
        <f>SUM(D23-D24)</f>
        <v>41705</v>
      </c>
      <c r="E25" s="173"/>
      <c r="F25" s="174">
        <f>SUM(F23-F24)</f>
        <v>39161</v>
      </c>
      <c r="G25" s="170"/>
      <c r="H25" s="171"/>
      <c r="J25" s="598" t="str">
        <f>CONCATENATE("",I3-1," Ad Valorem Tax Revenue:")</f>
        <v>2011 Ad Valorem Tax Revenue:</v>
      </c>
      <c r="K25" s="593"/>
      <c r="L25" s="593"/>
      <c r="M25" s="606">
        <f>ROUND(F27*M17/1000,0)</f>
        <v>9243</v>
      </c>
    </row>
    <row r="26" spans="1:13" ht="16.5" thickTop="1">
      <c r="A26" s="120" t="s">
        <v>47</v>
      </c>
      <c r="B26" s="175">
        <f>inputPrYr!E50</f>
        <v>9310</v>
      </c>
      <c r="C26" s="159"/>
      <c r="D26" s="175">
        <f>inputPrYr!E29</f>
        <v>9359</v>
      </c>
      <c r="E26" s="159"/>
      <c r="F26" s="176" t="s">
        <v>185</v>
      </c>
      <c r="G26" s="100"/>
      <c r="H26" s="100"/>
      <c r="J26" s="607" t="s">
        <v>703</v>
      </c>
      <c r="K26" s="608"/>
      <c r="L26" s="608"/>
      <c r="M26" s="597">
        <f>M24-M25</f>
        <v>140.20999999999185</v>
      </c>
    </row>
    <row r="27" spans="1:13" ht="16.5" thickBot="1">
      <c r="A27" s="120" t="s">
        <v>219</v>
      </c>
      <c r="B27" s="177">
        <f>inputPrYr!E51</f>
        <v>3132513</v>
      </c>
      <c r="C27" s="159"/>
      <c r="D27" s="177">
        <f>inputOth!E60</f>
        <v>3451110</v>
      </c>
      <c r="E27" s="159"/>
      <c r="F27" s="177">
        <f>inputOth!E12</f>
        <v>3408208</v>
      </c>
      <c r="G27" s="100"/>
      <c r="H27" s="100"/>
      <c r="J27" s="609"/>
      <c r="K27" s="609"/>
      <c r="L27" s="609"/>
      <c r="M27" s="5"/>
    </row>
    <row r="28" spans="1:13" ht="16.5" thickTop="1">
      <c r="A28" s="103"/>
      <c r="B28" s="170"/>
      <c r="C28" s="107"/>
      <c r="D28" s="170"/>
      <c r="E28" s="107"/>
      <c r="F28" s="170"/>
      <c r="G28" s="100"/>
      <c r="H28" s="100"/>
      <c r="J28" s="687" t="s">
        <v>704</v>
      </c>
      <c r="K28" s="690"/>
      <c r="L28" s="690"/>
      <c r="M28" s="691"/>
    </row>
    <row r="29" spans="1:13" ht="15.75">
      <c r="A29" s="99" t="s">
        <v>48</v>
      </c>
      <c r="B29" s="100"/>
      <c r="C29" s="100"/>
      <c r="D29" s="100"/>
      <c r="E29" s="100"/>
      <c r="F29" s="100"/>
      <c r="G29" s="100"/>
      <c r="H29" s="100"/>
      <c r="J29" s="598"/>
      <c r="K29" s="593"/>
      <c r="L29" s="593"/>
      <c r="M29" s="599"/>
    </row>
    <row r="30" spans="1:13" ht="15.75">
      <c r="A30" s="99" t="s">
        <v>186</v>
      </c>
      <c r="B30" s="149">
        <f>I3-2</f>
        <v>2010</v>
      </c>
      <c r="C30" s="100"/>
      <c r="D30" s="149">
        <f>I3-1</f>
        <v>2011</v>
      </c>
      <c r="E30" s="100"/>
      <c r="F30" s="149">
        <f>I3</f>
        <v>2012</v>
      </c>
      <c r="G30" s="100"/>
      <c r="H30" s="100"/>
      <c r="J30" s="598" t="str">
        <f>CONCATENATE("Current ",I3," Estimated Mill Rate:")</f>
        <v>Current 2012 Estimated Mill Rate:</v>
      </c>
      <c r="K30" s="593"/>
      <c r="L30" s="593"/>
      <c r="M30" s="600">
        <f>H23</f>
        <v>2.753</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c r="B41" s="654"/>
      <c r="C41" s="152"/>
      <c r="D41" s="100"/>
      <c r="E41" s="100"/>
      <c r="F41" s="100"/>
      <c r="G41" s="100"/>
      <c r="H41" s="140"/>
    </row>
    <row r="42" spans="1:8" ht="15.75">
      <c r="A42" s="150" t="s">
        <v>53</v>
      </c>
      <c r="B42" s="110"/>
      <c r="C42" s="100"/>
      <c r="D42" s="189" t="s">
        <v>37</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Sedgwick Valley Joint Drainage District</v>
      </c>
      <c r="C1" s="100"/>
      <c r="D1" s="100"/>
      <c r="E1" s="287"/>
    </row>
    <row r="2" spans="2:5" ht="15.75">
      <c r="B2" s="100" t="str">
        <f>inputPrYr!D4</f>
        <v>Sedgwick County</v>
      </c>
      <c r="C2" s="100"/>
      <c r="D2" s="100"/>
      <c r="E2" s="189"/>
    </row>
    <row r="3" spans="2:6" ht="15.75">
      <c r="B3" s="111"/>
      <c r="C3" s="185"/>
      <c r="D3" s="185"/>
      <c r="E3" s="329"/>
      <c r="F3" s="148">
        <f>inputPrYr!D11</f>
        <v>2012</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Sedgwick Valley Joint Drainage District</v>
      </c>
      <c r="C1" s="185"/>
      <c r="D1" s="100"/>
      <c r="E1" s="287"/>
    </row>
    <row r="2" spans="2:5" ht="15.75">
      <c r="B2" s="100" t="str">
        <f>inputPrYr!D4</f>
        <v>Sedgwick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Sedgwick Valley Joint Drainage District</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Sedgwick Valley Joint Drainage District</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2012 Neighborhood Revitalization Rebate</v>
      </c>
      <c r="C4" s="698"/>
      <c r="D4" s="698"/>
      <c r="E4" s="664"/>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3408208</v>
      </c>
      <c r="E16" s="100"/>
      <c r="F16" s="140"/>
    </row>
    <row r="17" spans="1:6" ht="15.75">
      <c r="A17" s="100"/>
      <c r="B17" s="100"/>
      <c r="C17" s="100"/>
      <c r="D17" s="100"/>
      <c r="E17" s="100"/>
      <c r="F17" s="140"/>
    </row>
    <row r="18" spans="1:6" ht="15.75">
      <c r="A18" s="100"/>
      <c r="B18" s="699" t="s">
        <v>342</v>
      </c>
      <c r="C18" s="699"/>
      <c r="D18" s="205">
        <f>IF(D16&gt;0,(D16*0.001),"")</f>
        <v>3408.208</v>
      </c>
      <c r="E18" s="100"/>
      <c r="F18" s="140"/>
    </row>
    <row r="19" spans="1:6" ht="15.75">
      <c r="A19" s="100"/>
      <c r="B19" s="189"/>
      <c r="C19" s="189"/>
      <c r="D19" s="206"/>
      <c r="E19" s="100"/>
      <c r="F19" s="140"/>
    </row>
    <row r="20" spans="1:6" ht="15.75">
      <c r="A20" s="696" t="s">
        <v>323</v>
      </c>
      <c r="B20" s="664"/>
      <c r="C20" s="664"/>
      <c r="D20" s="208">
        <f>inputOth!D42</f>
        <v>0</v>
      </c>
      <c r="E20" s="209"/>
      <c r="F20" s="209"/>
    </row>
    <row r="21" spans="1:6" ht="15">
      <c r="A21" s="209"/>
      <c r="B21" s="209"/>
      <c r="C21" s="209"/>
      <c r="D21" s="210"/>
      <c r="E21" s="209"/>
      <c r="F21" s="209"/>
    </row>
    <row r="22" spans="1:6" ht="15.75">
      <c r="A22" s="209"/>
      <c r="B22" s="696" t="s">
        <v>324</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136</v>
      </c>
      <c r="C1" s="704"/>
      <c r="D1" s="704"/>
      <c r="E1" s="704"/>
      <c r="F1" s="704"/>
      <c r="G1" s="704"/>
      <c r="H1" s="704"/>
    </row>
    <row r="2" spans="2:8" ht="15.75">
      <c r="B2" s="43"/>
      <c r="C2"/>
      <c r="D2"/>
      <c r="E2"/>
      <c r="F2"/>
      <c r="G2"/>
      <c r="H2"/>
    </row>
    <row r="3" spans="2:8" ht="15.75">
      <c r="B3" s="705" t="s">
        <v>133</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Sedgwick Valley Joint Drainage District District with respect to financing the 2012 annual budget for Sedgwick Valley Joint Drainage District , Sedgwick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Sedgwick Valley Joint Drainage District district budget exceed the amount levied to finance the</v>
      </c>
      <c r="C9"/>
      <c r="D9"/>
      <c r="E9"/>
      <c r="F9"/>
      <c r="G9"/>
      <c r="H9"/>
    </row>
    <row r="10" spans="2:8" ht="15.75">
      <c r="B10" s="49" t="str">
        <f>CONCATENATE("",inputPrYr!D11-1," ",inputPrYr!D3," except with regard to revenue produced and attributable to the")</f>
        <v>2011 Sedgwick Valley Joint Drainage District except with regard to revenue produced and attributable to the</v>
      </c>
      <c r="C10"/>
      <c r="D10"/>
      <c r="E10"/>
      <c r="F10"/>
      <c r="G10"/>
      <c r="H10"/>
    </row>
    <row r="11" spans="2:8" ht="15.75">
      <c r="B11" s="707" t="s">
        <v>188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154</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Sedgwick Valley Joint Drainage District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Sedgwick Valley Joint Drainage District that is our desire to notify the public of the possibility of increased property taxes to finance the 2012 Sedgwick Valley Joint Drainage District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Sedgwick Valley Joint Drainage District District Board, Sedgwick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Sedgwick Valley Joint Drainage District District Board</v>
      </c>
      <c r="C31"/>
      <c r="D31"/>
      <c r="E31"/>
      <c r="F31"/>
      <c r="G31"/>
      <c r="H31"/>
    </row>
    <row r="32" spans="2:8" ht="15.75">
      <c r="B32" s="45"/>
      <c r="C32"/>
      <c r="D32"/>
      <c r="E32"/>
      <c r="F32"/>
      <c r="G32"/>
      <c r="H32"/>
    </row>
    <row r="33" spans="2:8" ht="15.75">
      <c r="B33"/>
      <c r="C33"/>
      <c r="D33"/>
      <c r="E33" s="701" t="s">
        <v>134</v>
      </c>
      <c r="F33" s="701"/>
      <c r="G33" s="701"/>
      <c r="H33" s="701"/>
    </row>
    <row r="34" spans="2:8" ht="15.75">
      <c r="B34"/>
      <c r="C34"/>
      <c r="D34"/>
      <c r="E34" s="701" t="s">
        <v>137</v>
      </c>
      <c r="F34" s="701"/>
      <c r="G34" s="701"/>
      <c r="H34" s="701"/>
    </row>
    <row r="35" spans="2:8" ht="15.75">
      <c r="B35" s="45"/>
      <c r="C35"/>
      <c r="D35"/>
      <c r="E35" s="701"/>
      <c r="F35" s="701"/>
      <c r="G35" s="701"/>
      <c r="H35" s="701"/>
    </row>
    <row r="36" spans="2:8" ht="15.75">
      <c r="B36"/>
      <c r="C36"/>
      <c r="D36"/>
      <c r="E36" s="701" t="s">
        <v>134</v>
      </c>
      <c r="F36" s="701"/>
      <c r="G36" s="701"/>
      <c r="H36" s="701"/>
    </row>
    <row r="37" spans="2:8" ht="15.75">
      <c r="B37"/>
      <c r="C37"/>
      <c r="D37"/>
      <c r="E37" s="701" t="s">
        <v>138</v>
      </c>
      <c r="F37" s="701"/>
      <c r="G37" s="701"/>
      <c r="H37" s="701"/>
    </row>
    <row r="38" spans="2:8" ht="15.75">
      <c r="B38" s="45"/>
      <c r="C38"/>
      <c r="D38"/>
      <c r="E38" s="701"/>
      <c r="F38" s="701"/>
      <c r="G38" s="701"/>
      <c r="H38" s="701"/>
    </row>
    <row r="39" spans="2:8" ht="15.75">
      <c r="B39"/>
      <c r="C39"/>
      <c r="D39"/>
      <c r="E39" s="701" t="s">
        <v>134</v>
      </c>
      <c r="F39" s="701"/>
      <c r="G39" s="701"/>
      <c r="H39" s="701"/>
    </row>
    <row r="40" spans="2:8" ht="15.75">
      <c r="B40"/>
      <c r="C40"/>
      <c r="D40"/>
      <c r="E40" s="701" t="s">
        <v>139</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22">
      <selection activeCell="D44" sqref="D44"/>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759</v>
      </c>
      <c r="E3" s="103"/>
    </row>
    <row r="4" spans="1:5" ht="15.75">
      <c r="A4" s="101" t="s">
        <v>242</v>
      </c>
      <c r="B4" s="100"/>
      <c r="C4" s="100"/>
      <c r="D4" s="104" t="s">
        <v>760</v>
      </c>
      <c r="E4" s="103"/>
    </row>
    <row r="5" spans="1:5" ht="15.75">
      <c r="A5" s="101" t="s">
        <v>158</v>
      </c>
      <c r="B5" s="100"/>
      <c r="C5" s="100"/>
      <c r="D5" s="105"/>
      <c r="E5" s="103"/>
    </row>
    <row r="6" spans="1:5" ht="15.75">
      <c r="A6" s="106" t="s">
        <v>243</v>
      </c>
      <c r="B6" s="107"/>
      <c r="C6" s="107"/>
      <c r="D6" s="102" t="s">
        <v>761</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306</v>
      </c>
      <c r="E23" s="636"/>
    </row>
    <row r="24" spans="1:5" ht="15.75">
      <c r="A24" s="100"/>
      <c r="B24" s="120" t="s">
        <v>5</v>
      </c>
      <c r="C24" s="121"/>
      <c r="D24" s="122">
        <v>43205</v>
      </c>
      <c r="E24" s="122">
        <v>9359</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9359</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43205</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2.972</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2.972</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9310</v>
      </c>
    </row>
    <row r="51" spans="1:5" ht="15.75">
      <c r="A51" s="138" t="str">
        <f>CONCATENATE("Assessed Valuation (",D11-2," budget column):")</f>
        <v>Assessed Valuation (2010 budget column):</v>
      </c>
      <c r="B51" s="114"/>
      <c r="C51" s="100"/>
      <c r="D51" s="100"/>
      <c r="E51" s="139">
        <v>3132513</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0" t="s">
        <v>604</v>
      </c>
      <c r="C6" s="728"/>
      <c r="D6" s="728"/>
      <c r="E6" s="728"/>
      <c r="F6" s="728"/>
      <c r="G6" s="728"/>
      <c r="H6" s="728"/>
      <c r="I6" s="728"/>
      <c r="J6" s="728"/>
      <c r="K6" s="728"/>
      <c r="L6" s="473"/>
    </row>
    <row r="7" spans="1:12" ht="40.5" customHeight="1">
      <c r="A7" s="470"/>
      <c r="B7" s="739" t="s">
        <v>605</v>
      </c>
      <c r="C7" s="740"/>
      <c r="D7" s="740"/>
      <c r="E7" s="740"/>
      <c r="F7" s="740"/>
      <c r="G7" s="740"/>
      <c r="H7" s="740"/>
      <c r="I7" s="740"/>
      <c r="J7" s="740"/>
      <c r="K7" s="740"/>
      <c r="L7" s="470"/>
    </row>
    <row r="8" spans="1:12" ht="14.25">
      <c r="A8" s="470"/>
      <c r="B8" s="736" t="s">
        <v>606</v>
      </c>
      <c r="C8" s="736"/>
      <c r="D8" s="736"/>
      <c r="E8" s="736"/>
      <c r="F8" s="736"/>
      <c r="G8" s="736"/>
      <c r="H8" s="736"/>
      <c r="I8" s="736"/>
      <c r="J8" s="736"/>
      <c r="K8" s="736"/>
      <c r="L8" s="470"/>
    </row>
    <row r="9" spans="1:12" ht="14.25">
      <c r="A9" s="470"/>
      <c r="L9" s="470"/>
    </row>
    <row r="10" spans="1:12" ht="14.25">
      <c r="A10" s="470"/>
      <c r="B10" s="736" t="s">
        <v>607</v>
      </c>
      <c r="C10" s="736"/>
      <c r="D10" s="736"/>
      <c r="E10" s="736"/>
      <c r="F10" s="736"/>
      <c r="G10" s="736"/>
      <c r="H10" s="736"/>
      <c r="I10" s="736"/>
      <c r="J10" s="736"/>
      <c r="K10" s="736"/>
      <c r="L10" s="470"/>
    </row>
    <row r="11" spans="1:12" ht="14.25">
      <c r="A11" s="470"/>
      <c r="B11" s="474"/>
      <c r="C11" s="474"/>
      <c r="D11" s="474"/>
      <c r="E11" s="474"/>
      <c r="F11" s="474"/>
      <c r="G11" s="474"/>
      <c r="H11" s="474"/>
      <c r="I11" s="474"/>
      <c r="J11" s="474"/>
      <c r="K11" s="474"/>
      <c r="L11" s="470"/>
    </row>
    <row r="12" spans="1:12" ht="32.25" customHeight="1">
      <c r="A12" s="470"/>
      <c r="B12" s="721" t="s">
        <v>608</v>
      </c>
      <c r="C12" s="721"/>
      <c r="D12" s="721"/>
      <c r="E12" s="721"/>
      <c r="F12" s="721"/>
      <c r="G12" s="721"/>
      <c r="H12" s="721"/>
      <c r="I12" s="721"/>
      <c r="J12" s="721"/>
      <c r="K12" s="721"/>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23">
        <v>133685008</v>
      </c>
      <c r="G23" s="723"/>
      <c r="L23" s="470"/>
    </row>
    <row r="24" spans="1:12" ht="14.25">
      <c r="A24" s="470"/>
      <c r="L24" s="470"/>
    </row>
    <row r="25" spans="1:12" ht="14.25">
      <c r="A25" s="470"/>
      <c r="C25" s="737">
        <f>F23</f>
        <v>133685008</v>
      </c>
      <c r="D25" s="737"/>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605</v>
      </c>
      <c r="C30" s="725"/>
      <c r="D30" s="725"/>
      <c r="E30" s="725"/>
      <c r="F30" s="725"/>
      <c r="G30" s="725"/>
      <c r="H30" s="725"/>
      <c r="I30" s="725"/>
      <c r="J30" s="725"/>
      <c r="K30" s="725"/>
      <c r="L30" s="470"/>
    </row>
    <row r="31" spans="1:12" ht="14.25">
      <c r="A31" s="470"/>
      <c r="B31" s="736" t="s">
        <v>619</v>
      </c>
      <c r="C31" s="736"/>
      <c r="D31" s="736"/>
      <c r="E31" s="736"/>
      <c r="F31" s="736"/>
      <c r="G31" s="736"/>
      <c r="H31" s="736"/>
      <c r="I31" s="736"/>
      <c r="J31" s="736"/>
      <c r="K31" s="736"/>
      <c r="L31" s="470"/>
    </row>
    <row r="32" spans="1:12" ht="14.25">
      <c r="A32" s="470"/>
      <c r="L32" s="470"/>
    </row>
    <row r="33" spans="1:12" ht="14.25">
      <c r="A33" s="470"/>
      <c r="B33" s="736" t="s">
        <v>620</v>
      </c>
      <c r="C33" s="736"/>
      <c r="D33" s="736"/>
      <c r="E33" s="736"/>
      <c r="F33" s="736"/>
      <c r="G33" s="736"/>
      <c r="H33" s="736"/>
      <c r="I33" s="736"/>
      <c r="J33" s="736"/>
      <c r="K33" s="736"/>
      <c r="L33" s="470"/>
    </row>
    <row r="34" spans="1:12" ht="14.25">
      <c r="A34" s="470"/>
      <c r="L34" s="470"/>
    </row>
    <row r="35" spans="1:12" ht="89.25" customHeight="1">
      <c r="A35" s="470"/>
      <c r="B35" s="721" t="s">
        <v>621</v>
      </c>
      <c r="C35" s="731"/>
      <c r="D35" s="731"/>
      <c r="E35" s="731"/>
      <c r="F35" s="731"/>
      <c r="G35" s="731"/>
      <c r="H35" s="731"/>
      <c r="I35" s="731"/>
      <c r="J35" s="731"/>
      <c r="K35" s="731"/>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38">
        <v>3120000</v>
      </c>
      <c r="D41" s="738"/>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23">
        <v>133685008</v>
      </c>
      <c r="C48" s="723"/>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32" t="s">
        <v>629</v>
      </c>
      <c r="H50" s="733"/>
      <c r="I50" s="483" t="s">
        <v>615</v>
      </c>
      <c r="J50" s="493">
        <f>B50/F50</f>
        <v>52.8690023342034</v>
      </c>
      <c r="K50" s="485"/>
      <c r="L50" s="470"/>
    </row>
    <row r="51" spans="1:15" ht="15" thickBot="1">
      <c r="A51" s="470"/>
      <c r="B51" s="486"/>
      <c r="C51" s="487"/>
      <c r="D51" s="487"/>
      <c r="E51" s="487"/>
      <c r="F51" s="487"/>
      <c r="G51" s="487"/>
      <c r="H51" s="487"/>
      <c r="I51" s="734" t="s">
        <v>630</v>
      </c>
      <c r="J51" s="734"/>
      <c r="K51" s="735"/>
      <c r="L51" s="470"/>
      <c r="O51" s="494"/>
    </row>
    <row r="52" spans="1:12" ht="40.5" customHeight="1">
      <c r="A52" s="470"/>
      <c r="B52" s="725" t="s">
        <v>605</v>
      </c>
      <c r="C52" s="725"/>
      <c r="D52" s="725"/>
      <c r="E52" s="725"/>
      <c r="F52" s="725"/>
      <c r="G52" s="725"/>
      <c r="H52" s="725"/>
      <c r="I52" s="725"/>
      <c r="J52" s="725"/>
      <c r="K52" s="725"/>
      <c r="L52" s="470"/>
    </row>
    <row r="53" spans="1:12" ht="14.25">
      <c r="A53" s="470"/>
      <c r="B53" s="736" t="s">
        <v>631</v>
      </c>
      <c r="C53" s="736"/>
      <c r="D53" s="736"/>
      <c r="E53" s="736"/>
      <c r="F53" s="736"/>
      <c r="G53" s="736"/>
      <c r="H53" s="736"/>
      <c r="I53" s="736"/>
      <c r="J53" s="736"/>
      <c r="K53" s="736"/>
      <c r="L53" s="470"/>
    </row>
    <row r="54" spans="1:12" ht="14.25">
      <c r="A54" s="470"/>
      <c r="B54" s="474"/>
      <c r="C54" s="474"/>
      <c r="D54" s="474"/>
      <c r="E54" s="474"/>
      <c r="F54" s="474"/>
      <c r="G54" s="474"/>
      <c r="H54" s="474"/>
      <c r="I54" s="474"/>
      <c r="J54" s="474"/>
      <c r="K54" s="474"/>
      <c r="L54" s="470"/>
    </row>
    <row r="55" spans="1:12" ht="14.25">
      <c r="A55" s="470"/>
      <c r="B55" s="720" t="s">
        <v>632</v>
      </c>
      <c r="C55" s="720"/>
      <c r="D55" s="720"/>
      <c r="E55" s="720"/>
      <c r="F55" s="720"/>
      <c r="G55" s="720"/>
      <c r="H55" s="720"/>
      <c r="I55" s="720"/>
      <c r="J55" s="720"/>
      <c r="K55" s="720"/>
      <c r="L55" s="470"/>
    </row>
    <row r="56" spans="1:12" ht="15" customHeight="1">
      <c r="A56" s="470"/>
      <c r="L56" s="470"/>
    </row>
    <row r="57" spans="1:24" ht="74.25" customHeight="1">
      <c r="A57" s="470"/>
      <c r="B57" s="721" t="s">
        <v>633</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1"/>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23">
        <v>133685008</v>
      </c>
      <c r="D74" s="723"/>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23">
        <v>5000</v>
      </c>
      <c r="D77" s="723"/>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23">
        <v>100000</v>
      </c>
      <c r="D80" s="723"/>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4">
        <f>H80</f>
        <v>11500</v>
      </c>
      <c r="D83" s="724"/>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605</v>
      </c>
      <c r="C85" s="725"/>
      <c r="D85" s="725"/>
      <c r="E85" s="725"/>
      <c r="F85" s="725"/>
      <c r="G85" s="725"/>
      <c r="H85" s="725"/>
      <c r="I85" s="725"/>
      <c r="J85" s="725"/>
      <c r="K85" s="725"/>
      <c r="L85" s="470"/>
    </row>
    <row r="86" spans="1:12" ht="14.25">
      <c r="A86" s="470"/>
      <c r="B86" s="720" t="s">
        <v>653</v>
      </c>
      <c r="C86" s="720"/>
      <c r="D86" s="720"/>
      <c r="E86" s="720"/>
      <c r="F86" s="720"/>
      <c r="G86" s="720"/>
      <c r="H86" s="720"/>
      <c r="I86" s="720"/>
      <c r="J86" s="720"/>
      <c r="K86" s="720"/>
      <c r="L86" s="470"/>
    </row>
    <row r="87" spans="1:12" ht="14.25">
      <c r="A87" s="470"/>
      <c r="B87" s="510"/>
      <c r="C87" s="510"/>
      <c r="D87" s="510"/>
      <c r="E87" s="510"/>
      <c r="F87" s="510"/>
      <c r="G87" s="510"/>
      <c r="H87" s="510"/>
      <c r="I87" s="510"/>
      <c r="J87" s="510"/>
      <c r="K87" s="510"/>
      <c r="L87" s="470"/>
    </row>
    <row r="88" spans="1:12" ht="14.25">
      <c r="A88" s="470"/>
      <c r="B88" s="720" t="s">
        <v>654</v>
      </c>
      <c r="C88" s="720"/>
      <c r="D88" s="720"/>
      <c r="E88" s="720"/>
      <c r="F88" s="720"/>
      <c r="G88" s="720"/>
      <c r="H88" s="720"/>
      <c r="I88" s="720"/>
      <c r="J88" s="720"/>
      <c r="K88" s="720"/>
      <c r="L88" s="470"/>
    </row>
    <row r="89" spans="1:12" ht="14.25">
      <c r="A89" s="470"/>
      <c r="B89" s="511"/>
      <c r="C89" s="511"/>
      <c r="D89" s="511"/>
      <c r="E89" s="511"/>
      <c r="F89" s="511"/>
      <c r="G89" s="511"/>
      <c r="H89" s="511"/>
      <c r="I89" s="511"/>
      <c r="J89" s="511"/>
      <c r="K89" s="511"/>
      <c r="L89" s="470"/>
    </row>
    <row r="90" spans="1:12" ht="45" customHeight="1">
      <c r="A90" s="470"/>
      <c r="B90" s="721" t="s">
        <v>655</v>
      </c>
      <c r="C90" s="721"/>
      <c r="D90" s="721"/>
      <c r="E90" s="721"/>
      <c r="F90" s="721"/>
      <c r="G90" s="721"/>
      <c r="H90" s="721"/>
      <c r="I90" s="721"/>
      <c r="J90" s="721"/>
      <c r="K90" s="721"/>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23">
        <v>133685008</v>
      </c>
      <c r="D94" s="723"/>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23">
        <v>50000</v>
      </c>
      <c r="D97" s="723"/>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23">
        <v>2500000</v>
      </c>
      <c r="D100" s="723"/>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4">
        <f>H100</f>
        <v>750000</v>
      </c>
      <c r="D103" s="724"/>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605</v>
      </c>
      <c r="C105" s="726"/>
      <c r="D105" s="726"/>
      <c r="E105" s="726"/>
      <c r="F105" s="726"/>
      <c r="G105" s="726"/>
      <c r="H105" s="726"/>
      <c r="I105" s="726"/>
      <c r="J105" s="726"/>
      <c r="K105" s="726"/>
      <c r="L105" s="470"/>
    </row>
    <row r="106" spans="1:12" ht="15" customHeight="1">
      <c r="A106" s="470"/>
      <c r="B106" s="727" t="s">
        <v>657</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23">
        <v>133685008</v>
      </c>
      <c r="D114" s="723"/>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23">
        <v>50000</v>
      </c>
      <c r="D117" s="723"/>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23">
        <v>2500000</v>
      </c>
      <c r="D120" s="723"/>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4">
        <f>H120</f>
        <v>625000</v>
      </c>
      <c r="D123" s="724"/>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605</v>
      </c>
      <c r="C125" s="725"/>
      <c r="D125" s="725"/>
      <c r="E125" s="725"/>
      <c r="F125" s="725"/>
      <c r="G125" s="725"/>
      <c r="H125" s="725"/>
      <c r="I125" s="725"/>
      <c r="J125" s="725"/>
      <c r="K125" s="725"/>
      <c r="L125" s="525"/>
    </row>
    <row r="126" spans="1:12" ht="14.25">
      <c r="A126" s="470"/>
      <c r="B126" s="720" t="s">
        <v>660</v>
      </c>
      <c r="C126" s="720"/>
      <c r="D126" s="720"/>
      <c r="E126" s="720"/>
      <c r="F126" s="720"/>
      <c r="G126" s="720"/>
      <c r="H126" s="720"/>
      <c r="I126" s="720"/>
      <c r="J126" s="720"/>
      <c r="K126" s="720"/>
      <c r="L126" s="525"/>
    </row>
    <row r="127" spans="1:12" ht="14.25">
      <c r="A127" s="470"/>
      <c r="B127" s="474"/>
      <c r="C127" s="474"/>
      <c r="D127" s="474"/>
      <c r="E127" s="474"/>
      <c r="F127" s="474"/>
      <c r="G127" s="474"/>
      <c r="H127" s="474"/>
      <c r="I127" s="474"/>
      <c r="J127" s="474"/>
      <c r="K127" s="474"/>
      <c r="L127" s="525"/>
    </row>
    <row r="128" spans="1:12" ht="14.25">
      <c r="A128" s="470"/>
      <c r="B128" s="720" t="s">
        <v>661</v>
      </c>
      <c r="C128" s="720"/>
      <c r="D128" s="720"/>
      <c r="E128" s="720"/>
      <c r="F128" s="720"/>
      <c r="G128" s="720"/>
      <c r="H128" s="720"/>
      <c r="I128" s="720"/>
      <c r="J128" s="720"/>
      <c r="K128" s="720"/>
      <c r="L128" s="525"/>
    </row>
    <row r="129" spans="1:12" ht="14.25">
      <c r="A129" s="470"/>
      <c r="B129" s="511"/>
      <c r="C129" s="511"/>
      <c r="D129" s="511"/>
      <c r="E129" s="511"/>
      <c r="F129" s="511"/>
      <c r="G129" s="511"/>
      <c r="H129" s="511"/>
      <c r="I129" s="511"/>
      <c r="J129" s="511"/>
      <c r="K129" s="511"/>
      <c r="L129" s="525"/>
    </row>
    <row r="130" spans="1:12" ht="74.25" customHeight="1">
      <c r="A130" s="470"/>
      <c r="B130" s="721" t="s">
        <v>662</v>
      </c>
      <c r="C130" s="721"/>
      <c r="D130" s="721"/>
      <c r="E130" s="721"/>
      <c r="F130" s="721"/>
      <c r="G130" s="721"/>
      <c r="H130" s="721"/>
      <c r="I130" s="721"/>
      <c r="J130" s="721"/>
      <c r="K130" s="721"/>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22" t="s">
        <v>663</v>
      </c>
      <c r="D133" s="722"/>
      <c r="E133" s="482"/>
      <c r="F133" s="483" t="s">
        <v>664</v>
      </c>
      <c r="G133" s="482"/>
      <c r="H133" s="722" t="s">
        <v>649</v>
      </c>
      <c r="I133" s="722"/>
      <c r="J133" s="482"/>
      <c r="K133" s="485"/>
      <c r="L133" s="470"/>
    </row>
    <row r="134" spans="1:12" ht="14.25">
      <c r="A134" s="470"/>
      <c r="B134" s="491" t="s">
        <v>642</v>
      </c>
      <c r="C134" s="723">
        <v>100000</v>
      </c>
      <c r="D134" s="723"/>
      <c r="E134" s="483" t="s">
        <v>21</v>
      </c>
      <c r="F134" s="483">
        <v>0.115</v>
      </c>
      <c r="G134" s="483" t="s">
        <v>615</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649</v>
      </c>
      <c r="D136" s="711"/>
      <c r="E136" s="502"/>
      <c r="F136" s="503" t="s">
        <v>665</v>
      </c>
      <c r="G136" s="503"/>
      <c r="H136" s="502"/>
      <c r="I136" s="502"/>
      <c r="J136" s="502" t="s">
        <v>666</v>
      </c>
      <c r="K136" s="504"/>
      <c r="L136" s="470"/>
    </row>
    <row r="137" spans="1:12" ht="14.25">
      <c r="A137" s="470"/>
      <c r="B137" s="491" t="s">
        <v>645</v>
      </c>
      <c r="C137" s="712">
        <f>H134</f>
        <v>11500</v>
      </c>
      <c r="D137" s="71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669</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12" t="s">
        <v>670</v>
      </c>
      <c r="D147" s="712"/>
      <c r="E147" s="483"/>
      <c r="F147" s="543" t="s">
        <v>671</v>
      </c>
      <c r="G147" s="483"/>
      <c r="H147" s="483"/>
      <c r="I147" s="483"/>
      <c r="J147" s="716" t="s">
        <v>672</v>
      </c>
      <c r="K147" s="717"/>
      <c r="L147" s="470"/>
    </row>
    <row r="148" spans="1:12" ht="14.25">
      <c r="A148" s="470"/>
      <c r="B148" s="491"/>
      <c r="C148" s="718">
        <v>52.869</v>
      </c>
      <c r="D148" s="718"/>
      <c r="E148" s="483" t="s">
        <v>21</v>
      </c>
      <c r="F148" s="548">
        <v>133685008</v>
      </c>
      <c r="G148" s="549" t="s">
        <v>616</v>
      </c>
      <c r="H148" s="483">
        <v>1000</v>
      </c>
      <c r="I148" s="483" t="s">
        <v>615</v>
      </c>
      <c r="J148" s="712">
        <f>C148*(F148/1000)</f>
        <v>7067792.687952</v>
      </c>
      <c r="K148" s="719"/>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756</v>
      </c>
    </row>
    <row r="2" ht="15.75">
      <c r="A2" s="619" t="s">
        <v>757</v>
      </c>
    </row>
    <row r="3" ht="15.75">
      <c r="A3" s="619" t="s">
        <v>758</v>
      </c>
    </row>
    <row r="5" ht="15.75">
      <c r="A5" s="431" t="s">
        <v>694</v>
      </c>
    </row>
    <row r="6" ht="15.75">
      <c r="A6" s="619" t="s">
        <v>706</v>
      </c>
    </row>
    <row r="7" ht="15.75">
      <c r="A7" s="619" t="s">
        <v>707</v>
      </c>
    </row>
    <row r="8" ht="31.5">
      <c r="A8" s="620" t="s">
        <v>708</v>
      </c>
    </row>
    <row r="9" ht="15.75">
      <c r="A9" s="619" t="s">
        <v>709</v>
      </c>
    </row>
    <row r="10" ht="15.75">
      <c r="A10" s="619" t="s">
        <v>710</v>
      </c>
    </row>
    <row r="11" ht="15.75">
      <c r="A11" s="619" t="s">
        <v>711</v>
      </c>
    </row>
    <row r="12" ht="15.75">
      <c r="A12" s="619" t="s">
        <v>712</v>
      </c>
    </row>
    <row r="13" ht="15.75">
      <c r="A13" s="619" t="s">
        <v>713</v>
      </c>
    </row>
    <row r="14" ht="15.75">
      <c r="A14" s="619" t="s">
        <v>714</v>
      </c>
    </row>
    <row r="15" ht="15.75">
      <c r="A15" s="619" t="s">
        <v>715</v>
      </c>
    </row>
    <row r="16" ht="15.75">
      <c r="A16" s="619" t="s">
        <v>716</v>
      </c>
    </row>
    <row r="17" ht="15.75">
      <c r="A17" s="619" t="s">
        <v>717</v>
      </c>
    </row>
    <row r="18" ht="15.75">
      <c r="A18" s="619" t="s">
        <v>718</v>
      </c>
    </row>
    <row r="19" ht="15.75">
      <c r="A19" s="619" t="s">
        <v>719</v>
      </c>
    </row>
    <row r="20" ht="15.75">
      <c r="A20" s="619" t="s">
        <v>720</v>
      </c>
    </row>
    <row r="21" ht="15.75">
      <c r="A21" s="619" t="s">
        <v>721</v>
      </c>
    </row>
    <row r="22" ht="15.75">
      <c r="A22" s="619" t="s">
        <v>722</v>
      </c>
    </row>
    <row r="23" ht="15.75">
      <c r="A23" s="619" t="s">
        <v>723</v>
      </c>
    </row>
    <row r="24" ht="15.75">
      <c r="A24" s="619" t="s">
        <v>724</v>
      </c>
    </row>
    <row r="25" ht="15.75">
      <c r="A25" s="619" t="s">
        <v>725</v>
      </c>
    </row>
    <row r="26" ht="15.75">
      <c r="A26" s="619" t="s">
        <v>726</v>
      </c>
    </row>
    <row r="27" ht="15.75">
      <c r="A27" s="619" t="s">
        <v>727</v>
      </c>
    </row>
    <row r="28" ht="15.75">
      <c r="A28" s="619" t="s">
        <v>728</v>
      </c>
    </row>
    <row r="29" ht="15.75">
      <c r="A29" s="619"/>
    </row>
    <row r="30" ht="15.75">
      <c r="A30" s="431" t="s">
        <v>589</v>
      </c>
    </row>
    <row r="31" ht="15.75">
      <c r="A31" s="148" t="s">
        <v>592</v>
      </c>
    </row>
    <row r="32" ht="15.75">
      <c r="A32" s="148" t="s">
        <v>590</v>
      </c>
    </row>
    <row r="33" ht="15.75">
      <c r="A33" s="148" t="s">
        <v>591</v>
      </c>
    </row>
    <row r="35" ht="15.75">
      <c r="A35" s="440" t="s">
        <v>581</v>
      </c>
    </row>
    <row r="36" ht="15.75">
      <c r="A36" s="148" t="s">
        <v>588</v>
      </c>
    </row>
    <row r="38" ht="15.75">
      <c r="A38" s="431" t="s">
        <v>574</v>
      </c>
    </row>
    <row r="39" ht="15.75">
      <c r="A39" s="432" t="s">
        <v>575</v>
      </c>
    </row>
    <row r="40" ht="15.75">
      <c r="A40" s="432" t="s">
        <v>576</v>
      </c>
    </row>
    <row r="41" ht="15.75">
      <c r="A41" s="432" t="s">
        <v>577</v>
      </c>
    </row>
    <row r="42" ht="15.75">
      <c r="A42" s="148" t="s">
        <v>578</v>
      </c>
    </row>
    <row r="44" ht="15.75">
      <c r="A44" s="396" t="s">
        <v>322</v>
      </c>
    </row>
    <row r="45" ht="15.75">
      <c r="A45" s="404" t="s">
        <v>336</v>
      </c>
    </row>
    <row r="46" ht="15.75">
      <c r="A46" s="404" t="s">
        <v>337</v>
      </c>
    </row>
    <row r="47" ht="15.75">
      <c r="A47" s="404" t="s">
        <v>338</v>
      </c>
    </row>
    <row r="48" ht="15.75">
      <c r="A48" s="404" t="s">
        <v>339</v>
      </c>
    </row>
    <row r="49" ht="15.75">
      <c r="A49" s="404" t="s">
        <v>340</v>
      </c>
    </row>
    <row r="50" ht="15.75">
      <c r="A50" s="404" t="s">
        <v>341</v>
      </c>
    </row>
    <row r="51" ht="15.75">
      <c r="A51" s="406" t="s">
        <v>343</v>
      </c>
    </row>
    <row r="53" ht="15.75">
      <c r="A53" s="396" t="s">
        <v>303</v>
      </c>
    </row>
    <row r="54" ht="15.75">
      <c r="A54" s="1" t="s">
        <v>304</v>
      </c>
    </row>
    <row r="55" ht="15.75">
      <c r="A55" s="1" t="s">
        <v>307</v>
      </c>
    </row>
    <row r="56" ht="15.75">
      <c r="A56" s="1" t="s">
        <v>309</v>
      </c>
    </row>
    <row r="57" ht="15.75">
      <c r="A57" s="1" t="s">
        <v>308</v>
      </c>
    </row>
    <row r="59" ht="15.75">
      <c r="A59" s="396" t="s">
        <v>301</v>
      </c>
    </row>
    <row r="60" ht="15.75">
      <c r="A60" s="1" t="s">
        <v>302</v>
      </c>
    </row>
    <row r="62" ht="15.75">
      <c r="A62" s="396" t="s">
        <v>297</v>
      </c>
    </row>
    <row r="63" ht="15.75">
      <c r="A63" s="1" t="s">
        <v>298</v>
      </c>
    </row>
    <row r="64" ht="15.75">
      <c r="A64" s="1" t="s">
        <v>299</v>
      </c>
    </row>
    <row r="65" ht="15.75">
      <c r="A65" s="1" t="s">
        <v>300</v>
      </c>
    </row>
    <row r="67" ht="15.75">
      <c r="A67" s="397" t="s">
        <v>293</v>
      </c>
    </row>
    <row r="68" ht="15.75">
      <c r="A68" s="1" t="s">
        <v>294</v>
      </c>
    </row>
    <row r="69" ht="15.75">
      <c r="A69" s="1" t="s">
        <v>295</v>
      </c>
    </row>
    <row r="71" ht="15.75">
      <c r="A71" s="397" t="s">
        <v>272</v>
      </c>
    </row>
    <row r="72" ht="15.75">
      <c r="A72" s="1" t="s">
        <v>256</v>
      </c>
    </row>
    <row r="73" ht="33" customHeight="1">
      <c r="A73" s="4" t="s">
        <v>257</v>
      </c>
    </row>
    <row r="74" ht="15.75">
      <c r="A74" s="1" t="s">
        <v>258</v>
      </c>
    </row>
    <row r="75" ht="15.75">
      <c r="A75" s="1" t="s">
        <v>259</v>
      </c>
    </row>
    <row r="76" ht="15.75">
      <c r="A76" s="1" t="s">
        <v>260</v>
      </c>
    </row>
    <row r="77" ht="15.75">
      <c r="A77" s="1" t="s">
        <v>261</v>
      </c>
    </row>
    <row r="78" ht="36" customHeight="1">
      <c r="A78" s="4" t="s">
        <v>262</v>
      </c>
    </row>
    <row r="79" ht="35.25" customHeight="1">
      <c r="A79" s="4" t="s">
        <v>263</v>
      </c>
    </row>
    <row r="80" ht="33" customHeight="1">
      <c r="A80" s="4" t="s">
        <v>264</v>
      </c>
    </row>
    <row r="81" ht="24" customHeight="1">
      <c r="A81" s="4" t="s">
        <v>265</v>
      </c>
    </row>
    <row r="82" ht="35.25" customHeight="1">
      <c r="A82" s="4" t="s">
        <v>266</v>
      </c>
    </row>
    <row r="83" ht="15.75">
      <c r="A83" s="1" t="s">
        <v>267</v>
      </c>
    </row>
    <row r="84" ht="15.75">
      <c r="A84" s="1" t="s">
        <v>268</v>
      </c>
    </row>
    <row r="85" ht="15.75">
      <c r="A85" s="1" t="s">
        <v>269</v>
      </c>
    </row>
    <row r="86" ht="15.75">
      <c r="A86" s="1" t="s">
        <v>270</v>
      </c>
    </row>
    <row r="87" ht="15.75">
      <c r="A87" s="1" t="s">
        <v>271</v>
      </c>
    </row>
    <row r="90" ht="15.75">
      <c r="A90" s="1" t="s">
        <v>189</v>
      </c>
    </row>
    <row r="91" ht="15.75">
      <c r="A91" s="1" t="s">
        <v>190</v>
      </c>
    </row>
    <row r="92" ht="15.75">
      <c r="A92" s="1" t="s">
        <v>191</v>
      </c>
    </row>
    <row r="93" ht="15.75">
      <c r="A93" s="1" t="s">
        <v>192</v>
      </c>
    </row>
    <row r="94" ht="15.75">
      <c r="A94" s="1" t="s">
        <v>193</v>
      </c>
    </row>
    <row r="95" ht="15.75">
      <c r="A95" s="1" t="s">
        <v>194</v>
      </c>
    </row>
    <row r="96" ht="15.75">
      <c r="A96" s="1" t="s">
        <v>195</v>
      </c>
    </row>
    <row r="97" ht="15.75">
      <c r="A97" s="1" t="s">
        <v>196</v>
      </c>
    </row>
    <row r="98" ht="15.75">
      <c r="A98" s="1" t="s">
        <v>197</v>
      </c>
    </row>
    <row r="99" ht="15.75">
      <c r="A99" s="1" t="s">
        <v>198</v>
      </c>
    </row>
    <row r="100" ht="15.75">
      <c r="A100" s="1" t="s">
        <v>199</v>
      </c>
    </row>
    <row r="101" ht="15.75">
      <c r="A101" s="1" t="s">
        <v>200</v>
      </c>
    </row>
    <row r="102" ht="15.75">
      <c r="A102" s="1" t="s">
        <v>201</v>
      </c>
    </row>
    <row r="103" ht="15.75">
      <c r="A103" s="1" t="s">
        <v>202</v>
      </c>
    </row>
    <row r="104" ht="15.75">
      <c r="A104" s="1" t="s">
        <v>203</v>
      </c>
    </row>
    <row r="105" ht="15.75">
      <c r="A105" s="1" t="s">
        <v>212</v>
      </c>
    </row>
    <row r="106" ht="15.75">
      <c r="A106" s="1" t="s">
        <v>220</v>
      </c>
    </row>
    <row r="107" ht="15.75">
      <c r="A107" s="1" t="s">
        <v>221</v>
      </c>
    </row>
    <row r="108" ht="15.75">
      <c r="A108" s="1" t="s">
        <v>237</v>
      </c>
    </row>
    <row r="109" ht="15.75">
      <c r="A109" s="1" t="s">
        <v>238</v>
      </c>
    </row>
    <row r="110" ht="15.75">
      <c r="A110" s="1" t="s">
        <v>239</v>
      </c>
    </row>
    <row r="111" ht="15.75">
      <c r="A111" s="1" t="s">
        <v>232</v>
      </c>
    </row>
    <row r="112" ht="15.75">
      <c r="A112" s="1" t="s">
        <v>233</v>
      </c>
    </row>
    <row r="113" ht="15.75">
      <c r="A113" s="1" t="s">
        <v>240</v>
      </c>
    </row>
    <row r="114" ht="15.75">
      <c r="A114" s="1" t="s">
        <v>241</v>
      </c>
    </row>
    <row r="115" ht="15.75">
      <c r="A115" s="1" t="s">
        <v>250</v>
      </c>
    </row>
    <row r="116" ht="15.75">
      <c r="A116" s="1" t="s">
        <v>251</v>
      </c>
    </row>
    <row r="117" ht="15.75">
      <c r="A117"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9">
      <selection activeCell="E103" sqref="E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Sedgwick Valley Joint Drainage District</v>
      </c>
      <c r="B1" s="37"/>
      <c r="C1" s="37"/>
      <c r="D1" s="37"/>
      <c r="E1" s="15">
        <f>inputPrYr!D11</f>
        <v>2012</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Sedgwick County</v>
      </c>
      <c r="B7" s="21"/>
      <c r="C7" s="21"/>
      <c r="D7" s="12">
        <v>2154717</v>
      </c>
      <c r="E7" s="25"/>
    </row>
    <row r="8" spans="1:5" ht="15.75">
      <c r="A8" s="28" t="str">
        <f>inputPrYr!$D$6</f>
        <v>Harvey County</v>
      </c>
      <c r="B8" s="21"/>
      <c r="C8" s="21"/>
      <c r="D8" s="12">
        <v>1253491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3408208</v>
      </c>
    </row>
    <row r="13" spans="1:5" ht="16.5" thickTop="1">
      <c r="A13" s="63" t="str">
        <f>CONCATENATE("New Improvements for ",inputPrYr!D11-1,":")</f>
        <v>New Improvements for 2011:</v>
      </c>
      <c r="B13" s="21"/>
      <c r="C13" s="21"/>
      <c r="D13" s="21"/>
      <c r="E13" s="60"/>
    </row>
    <row r="14" spans="1:5" ht="15.75">
      <c r="A14" s="28" t="str">
        <f>inputPrYr!$D$4</f>
        <v>Sedgwick County</v>
      </c>
      <c r="B14" s="21"/>
      <c r="C14" s="21"/>
      <c r="D14" s="51">
        <v>6168</v>
      </c>
      <c r="E14" s="15"/>
    </row>
    <row r="15" spans="1:5" ht="15.75">
      <c r="A15" s="28" t="str">
        <f>inputPrYr!$D$6</f>
        <v>Harvey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6168</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Sedgwick County</v>
      </c>
      <c r="B21" s="21"/>
      <c r="C21" s="21"/>
      <c r="D21" s="51">
        <v>23816</v>
      </c>
      <c r="E21" s="15"/>
    </row>
    <row r="22" spans="1:5" ht="15.75">
      <c r="A22" s="28" t="str">
        <f>inputPrYr!$D$6</f>
        <v>Harvey County</v>
      </c>
      <c r="B22" s="21"/>
      <c r="C22" s="21"/>
      <c r="D22" s="51">
        <v>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23816</v>
      </c>
    </row>
    <row r="27" spans="1:5" ht="16.5" thickTop="1">
      <c r="A27" s="63" t="str">
        <f>CONCATENATE("Property that has changed in use for ",inputPrYr!D11-1,":")</f>
        <v>Property that has changed in use for 2011:</v>
      </c>
      <c r="B27" s="21"/>
      <c r="C27" s="21"/>
      <c r="D27" s="21"/>
      <c r="E27" s="60"/>
    </row>
    <row r="28" spans="1:5" ht="15.75">
      <c r="A28" s="28" t="str">
        <f>inputPrYr!$D$4</f>
        <v>Sedgwick County</v>
      </c>
      <c r="B28" s="21"/>
      <c r="C28" s="21"/>
      <c r="D28" s="51">
        <v>2724</v>
      </c>
      <c r="E28" s="15"/>
    </row>
    <row r="29" spans="1:5" ht="15.75">
      <c r="A29" s="28" t="str">
        <f>inputPrYr!$D$6</f>
        <v>Harvey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2724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Sedgwick County</v>
      </c>
      <c r="B35" s="21"/>
      <c r="C35" s="21"/>
      <c r="D35" s="81">
        <v>42704</v>
      </c>
      <c r="E35" s="60"/>
    </row>
    <row r="36" spans="1:5" ht="15.75">
      <c r="A36" s="28" t="str">
        <f>inputPrYr!$D$6</f>
        <v>Harvey County</v>
      </c>
      <c r="B36" s="21"/>
      <c r="C36" s="21"/>
      <c r="D36" s="82"/>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42704</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57</v>
      </c>
      <c r="E45" s="50"/>
    </row>
    <row r="46" spans="1:5" ht="15.75">
      <c r="A46" s="57" t="s">
        <v>5</v>
      </c>
      <c r="B46" s="18"/>
      <c r="C46" s="21"/>
      <c r="D46" s="77">
        <v>2.712</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2.712</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Sedgwick County</v>
      </c>
      <c r="B55" s="37"/>
      <c r="C55" s="37"/>
      <c r="D55" s="81">
        <v>2134373</v>
      </c>
      <c r="E55" s="37"/>
    </row>
    <row r="56" spans="1:5" ht="15.75">
      <c r="A56" s="28" t="str">
        <f>inputPrYr!$D$6</f>
        <v>Harvey County</v>
      </c>
      <c r="B56" s="37"/>
      <c r="C56" s="37"/>
      <c r="D56" s="82">
        <v>1316737</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3451110</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Sedgwick County</v>
      </c>
      <c r="B64" s="15"/>
      <c r="C64" s="15"/>
      <c r="D64" s="12">
        <v>424</v>
      </c>
      <c r="E64" s="25"/>
    </row>
    <row r="65" spans="1:5" ht="15.75">
      <c r="A65" s="28" t="str">
        <f>inputPrYr!$D$6</f>
        <v>Harvey County</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424</v>
      </c>
    </row>
    <row r="70" spans="1:5" ht="16.5" thickTop="1">
      <c r="A70" s="64" t="s">
        <v>150</v>
      </c>
      <c r="B70" s="15"/>
      <c r="C70" s="15"/>
      <c r="D70" s="15"/>
      <c r="E70" s="50"/>
    </row>
    <row r="71" spans="1:5" ht="15.75">
      <c r="A71" s="28" t="str">
        <f>inputPrYr!$D$4</f>
        <v>Sedgwick County</v>
      </c>
      <c r="B71" s="15"/>
      <c r="C71" s="15"/>
      <c r="D71" s="12">
        <v>20</v>
      </c>
      <c r="E71" s="25"/>
    </row>
    <row r="72" spans="1:5" ht="15.75">
      <c r="A72" s="28" t="str">
        <f>inputPrYr!$D$6</f>
        <v>Harvey County</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20</v>
      </c>
    </row>
    <row r="77" spans="1:5" ht="16.5" thickTop="1">
      <c r="A77" s="64" t="s">
        <v>146</v>
      </c>
      <c r="B77" s="15"/>
      <c r="C77" s="15"/>
      <c r="D77" s="15"/>
      <c r="E77" s="50"/>
    </row>
    <row r="78" spans="1:5" ht="15.75">
      <c r="A78" s="28" t="str">
        <f>inputPrYr!$D$4</f>
        <v>Sedgwick County</v>
      </c>
      <c r="B78" s="15"/>
      <c r="C78" s="15"/>
      <c r="D78" s="12">
        <v>3</v>
      </c>
      <c r="E78" s="25"/>
    </row>
    <row r="79" spans="1:5" ht="15.75">
      <c r="A79" s="28" t="str">
        <f>inputPrYr!$D$6</f>
        <v>Harvey County</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3</v>
      </c>
    </row>
    <row r="84" spans="1:5" ht="16.5" thickTop="1">
      <c r="A84" s="64" t="s">
        <v>252</v>
      </c>
      <c r="B84" s="15"/>
      <c r="C84" s="15"/>
      <c r="D84" s="50"/>
      <c r="E84" s="50"/>
    </row>
    <row r="85" spans="1:5" ht="15.75">
      <c r="A85" s="28" t="str">
        <f>inputPrYr!$D$4</f>
        <v>Sedgwick County</v>
      </c>
      <c r="B85" s="15"/>
      <c r="C85" s="15"/>
      <c r="D85" s="81">
        <v>0</v>
      </c>
      <c r="E85" s="50"/>
    </row>
    <row r="86" spans="1:5" ht="15.75">
      <c r="A86" s="28" t="str">
        <f>inputPrYr!$D$6</f>
        <v>Harvey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Sedgwick County</v>
      </c>
      <c r="B96" s="22"/>
      <c r="C96" s="92"/>
      <c r="D96" s="62"/>
      <c r="E96" s="52"/>
    </row>
    <row r="97" spans="1:5" ht="15.75">
      <c r="A97" s="28" t="str">
        <f>inputPrYr!$D$6</f>
        <v>Harvey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228</v>
      </c>
      <c r="B108" s="88" t="s">
        <v>229</v>
      </c>
      <c r="C108" s="85" t="s">
        <v>230</v>
      </c>
      <c r="D108" s="89"/>
      <c r="E108" s="89"/>
    </row>
    <row r="109" spans="1:5" ht="15.75">
      <c r="A109" s="90" t="str">
        <f>inputPrYr!B24</f>
        <v>General</v>
      </c>
      <c r="B109" s="62">
        <v>69694</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3">
      <selection activeCell="B13" sqref="B13"/>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766</v>
      </c>
      <c r="C5" s="411"/>
      <c r="D5" s="409" t="s">
        <v>755</v>
      </c>
      <c r="E5" s="407"/>
      <c r="F5" s="407"/>
    </row>
    <row r="6" spans="1:6" ht="15.75">
      <c r="A6" s="409"/>
      <c r="B6" s="412"/>
      <c r="C6" s="413"/>
      <c r="D6" s="409" t="s">
        <v>754</v>
      </c>
      <c r="E6" s="407"/>
      <c r="F6" s="407"/>
    </row>
    <row r="7" spans="1:6" ht="15.75">
      <c r="A7" s="409" t="s">
        <v>348</v>
      </c>
      <c r="B7" s="410" t="s">
        <v>767</v>
      </c>
      <c r="C7" s="414"/>
      <c r="D7" s="409"/>
      <c r="E7" s="407"/>
      <c r="F7" s="407"/>
    </row>
    <row r="8" spans="1:6" ht="15.75">
      <c r="A8" s="409"/>
      <c r="B8" s="409"/>
      <c r="C8" s="409"/>
      <c r="D8" s="409"/>
      <c r="E8" s="407"/>
      <c r="F8" s="407"/>
    </row>
    <row r="9" spans="1:6" ht="15.75">
      <c r="A9" s="409" t="s">
        <v>349</v>
      </c>
      <c r="B9" s="415" t="s">
        <v>768</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769</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75</v>
      </c>
      <c r="B2" s="656"/>
      <c r="C2" s="656"/>
      <c r="D2" s="656"/>
      <c r="E2" s="656"/>
      <c r="F2" s="656"/>
      <c r="G2" s="656"/>
    </row>
    <row r="3" spans="1:7" ht="15.75">
      <c r="A3" s="100"/>
      <c r="B3" s="100"/>
      <c r="C3" s="100"/>
      <c r="D3" s="100"/>
      <c r="E3" s="100"/>
      <c r="F3" s="100"/>
      <c r="G3" s="110">
        <f>inputPrYr!D11</f>
        <v>2012</v>
      </c>
    </row>
    <row r="4" spans="1:7" ht="15.75">
      <c r="A4" s="659" t="str">
        <f>CONCATENATE("To the Clerk of ",inputPrYr!D4,", State of Kansas")</f>
        <v>To the Clerk of Sedgwick County, State of Kansas</v>
      </c>
      <c r="B4" s="659"/>
      <c r="C4" s="659"/>
      <c r="D4" s="659"/>
      <c r="E4" s="659"/>
      <c r="F4" s="659"/>
      <c r="G4" s="659"/>
    </row>
    <row r="5" spans="1:7" ht="15.75">
      <c r="A5" s="151" t="s">
        <v>176</v>
      </c>
      <c r="B5" s="110"/>
      <c r="C5" s="110"/>
      <c r="D5" s="110"/>
      <c r="E5" s="110"/>
      <c r="F5" s="110"/>
      <c r="G5" s="110"/>
    </row>
    <row r="6" spans="1:7" ht="15.75">
      <c r="A6" s="634" t="str">
        <f>inputPrYr!D3</f>
        <v>Sedgwick Valley Joint Drainage District</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2012 Adopted Budget</v>
      </c>
      <c r="F12" s="661"/>
      <c r="G12" s="662"/>
    </row>
    <row r="13" spans="1:8" ht="15.75">
      <c r="A13" s="99"/>
      <c r="B13" s="100"/>
      <c r="C13" s="100"/>
      <c r="D13" s="127"/>
      <c r="E13" s="213" t="s">
        <v>11</v>
      </c>
      <c r="F13" s="657" t="str">
        <f>CONCATENATE("Amount of  ",G3-1," Ad Valorem Tax")</f>
        <v>Amount of  2011 Ad Valorem Tax</v>
      </c>
      <c r="G13" s="214" t="s">
        <v>12</v>
      </c>
      <c r="H13" s="215"/>
    </row>
    <row r="14" spans="1:7" ht="15.75">
      <c r="A14" s="100"/>
      <c r="B14" s="100"/>
      <c r="C14" s="100"/>
      <c r="D14" s="216" t="s">
        <v>13</v>
      </c>
      <c r="E14" s="157" t="s">
        <v>229</v>
      </c>
      <c r="F14" s="658"/>
      <c r="G14" s="214" t="s">
        <v>14</v>
      </c>
    </row>
    <row r="15" spans="1:7" ht="15.75">
      <c r="A15" s="101" t="s">
        <v>15</v>
      </c>
      <c r="B15" s="100"/>
      <c r="C15" s="100"/>
      <c r="D15" s="157" t="s">
        <v>16</v>
      </c>
      <c r="E15" s="157" t="s">
        <v>593</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f>inputPrYr!C24</f>
        <v>0</v>
      </c>
      <c r="D22" s="201">
        <v>6</v>
      </c>
      <c r="E22" s="229">
        <f>IF(gen!$E$61&lt;&gt;0,gen!$E$61,"  ")</f>
        <v>39161</v>
      </c>
      <c r="F22" s="229">
        <f>IF(gen!$E$68&lt;&gt;0,gen!$E$68,"  ")</f>
        <v>9383.209999999992</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39161</v>
      </c>
      <c r="F29" s="177">
        <f>SUM(F22:F27)</f>
        <v>9383.209999999992</v>
      </c>
      <c r="G29" s="241">
        <f>IF(SUM(G22:G27)=0,"",SUM(G22:G27))</f>
      </c>
    </row>
    <row r="30" spans="1:7" ht="16.5" thickTop="1">
      <c r="A30" s="227" t="s">
        <v>208</v>
      </c>
      <c r="B30" s="232"/>
      <c r="C30" s="225"/>
      <c r="D30" s="242">
        <f>summ!E42</f>
        <v>0</v>
      </c>
      <c r="E30" s="243" t="s">
        <v>210</v>
      </c>
      <c r="F30" s="244" t="str">
        <f>IF(F29&gt;computation!J34,"Yes","No")</f>
        <v>Yes</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2" t="s">
        <v>132</v>
      </c>
      <c r="G33" s="662"/>
    </row>
    <row r="34" spans="1:7" ht="15.75">
      <c r="A34" s="100" t="s">
        <v>344</v>
      </c>
      <c r="B34" s="100"/>
      <c r="C34" s="99" t="s">
        <v>22</v>
      </c>
      <c r="D34" s="227" t="str">
        <f>inputPrYr!D4</f>
        <v>Sedgwick County</v>
      </c>
      <c r="E34" s="232"/>
      <c r="F34" s="648"/>
      <c r="G34" s="649"/>
    </row>
    <row r="35" spans="1:7" ht="15.75">
      <c r="A35" s="247"/>
      <c r="B35" s="247"/>
      <c r="C35" s="99" t="s">
        <v>22</v>
      </c>
      <c r="D35" s="227" t="str">
        <f>inputPrYr!D6</f>
        <v>Harvey County</v>
      </c>
      <c r="E35" s="232"/>
      <c r="F35" s="648"/>
      <c r="G35" s="649"/>
    </row>
    <row r="36" spans="1:7" ht="15.75">
      <c r="A36" s="248"/>
      <c r="B36" s="248"/>
      <c r="C36" s="99" t="s">
        <v>22</v>
      </c>
      <c r="D36" s="227">
        <f>inputPrYr!D7</f>
        <v>0</v>
      </c>
      <c r="E36" s="232"/>
      <c r="F36" s="648"/>
      <c r="G36" s="649"/>
    </row>
    <row r="37" spans="1:7" ht="15.75">
      <c r="A37" s="103" t="s">
        <v>345</v>
      </c>
      <c r="B37" s="221"/>
      <c r="C37" s="99" t="s">
        <v>22</v>
      </c>
      <c r="D37" s="227">
        <f>inputPrYr!D8</f>
        <v>0</v>
      </c>
      <c r="E37" s="232"/>
      <c r="F37" s="648"/>
      <c r="G37" s="649"/>
    </row>
    <row r="38" spans="1:7" ht="15.75">
      <c r="A38" s="247"/>
      <c r="B38" s="247"/>
      <c r="C38" s="99" t="s">
        <v>22</v>
      </c>
      <c r="D38" s="227">
        <f>inputPrYr!D9</f>
        <v>0</v>
      </c>
      <c r="E38" s="232"/>
      <c r="F38" s="648"/>
      <c r="G38" s="649"/>
    </row>
    <row r="39" spans="1:7" ht="15.75">
      <c r="A39" s="248"/>
      <c r="B39" s="248"/>
      <c r="C39" s="99" t="s">
        <v>22</v>
      </c>
      <c r="D39" s="227" t="s">
        <v>153</v>
      </c>
      <c r="E39" s="232"/>
      <c r="F39" s="650">
        <f>SUM(F34:F38)</f>
        <v>0</v>
      </c>
      <c r="G39" s="651"/>
    </row>
    <row r="40" spans="1:7" ht="15.75">
      <c r="A40" s="248"/>
      <c r="B40" s="248"/>
      <c r="C40" s="99" t="s">
        <v>22</v>
      </c>
      <c r="D40" s="99" t="s">
        <v>22</v>
      </c>
      <c r="E40" s="107"/>
      <c r="F40" s="652" t="str">
        <f>CONCATENATE("November 1, ",G3-1," Valuation")</f>
        <v>November 1, 2011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M34" sqref="M34"/>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Sedgwick Valley Joint Drainage District</v>
      </c>
      <c r="D1" s="100"/>
      <c r="E1" s="100"/>
      <c r="F1" s="100"/>
      <c r="G1" s="100"/>
      <c r="H1" s="100"/>
      <c r="I1" s="100"/>
      <c r="J1" s="100">
        <f>inputPrYr!D11</f>
        <v>2012</v>
      </c>
    </row>
    <row r="2" spans="1:10" ht="15.75" customHeight="1">
      <c r="A2" s="100"/>
      <c r="B2" s="100"/>
      <c r="C2" s="100" t="str">
        <f>inputPrYr!D4</f>
        <v>Sedgwick County</v>
      </c>
      <c r="D2" s="100"/>
      <c r="E2" s="100"/>
      <c r="F2" s="100"/>
      <c r="G2" s="100"/>
      <c r="H2" s="100"/>
      <c r="I2" s="100"/>
      <c r="J2" s="100"/>
    </row>
    <row r="3" spans="1:10" ht="15.75">
      <c r="A3" s="665" t="str">
        <f>CONCATENATE("Computation to Determine Limit for ",J1,"")</f>
        <v>Computation to Determine Limit for 2012</v>
      </c>
      <c r="B3" s="656"/>
      <c r="C3" s="656"/>
      <c r="D3" s="656"/>
      <c r="E3" s="656"/>
      <c r="F3" s="656"/>
      <c r="G3" s="656"/>
      <c r="H3" s="656"/>
      <c r="I3" s="656"/>
      <c r="J3" s="656"/>
    </row>
    <row r="4" spans="1:10" ht="15.75">
      <c r="A4" s="100"/>
      <c r="B4" s="100"/>
      <c r="C4" s="100"/>
      <c r="D4" s="100"/>
      <c r="E4" s="656"/>
      <c r="F4" s="656"/>
      <c r="G4" s="656"/>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9359</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9359</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6168</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23816</v>
      </c>
      <c r="F14" s="253"/>
      <c r="G14" s="124"/>
      <c r="H14" s="124"/>
      <c r="I14" s="256"/>
      <c r="J14" s="124"/>
    </row>
    <row r="15" spans="1:10" ht="15.75">
      <c r="A15" s="252"/>
      <c r="B15" s="100" t="s">
        <v>95</v>
      </c>
      <c r="C15" s="100" t="str">
        <f>CONCATENATE("Personal Property ",J1-2,"")</f>
        <v>Personal Property 2010</v>
      </c>
      <c r="D15" s="252" t="s">
        <v>91</v>
      </c>
      <c r="E15" s="255">
        <f>inputOth!E40</f>
        <v>42704</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2724</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8892</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3408208</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3399316</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0.0026158203591546063</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24</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9383</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9383</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ht="15.75">
      <c r="A37" s="663" t="s">
        <v>116</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Sedgwick Valley Joint Drainage District</v>
      </c>
      <c r="C1" s="100"/>
      <c r="D1" s="100"/>
      <c r="E1" s="100"/>
      <c r="F1" s="100"/>
      <c r="G1" s="100"/>
      <c r="H1" s="100"/>
      <c r="I1" s="261"/>
      <c r="J1" s="100"/>
    </row>
    <row r="2" spans="1:10" ht="15.75">
      <c r="A2" s="100"/>
      <c r="B2" s="100" t="str">
        <f>inputPrYr!D4</f>
        <v>Sedgwick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7" t="str">
        <f>CONCATENATE("Tax Levy Amount in ",J2-2," Budget")</f>
        <v>Tax Levy Amount in 2010 Budget</v>
      </c>
      <c r="D9" s="660" t="str">
        <f>CONCATENATE("Allocation for Year ",J2,"")</f>
        <v>Allocation for Year 2012</v>
      </c>
      <c r="E9" s="669"/>
      <c r="F9" s="669"/>
      <c r="G9" s="662"/>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9359</v>
      </c>
      <c r="D11" s="162">
        <f>IF(E17=0,0,E17-D12-D13-D14)</f>
        <v>424</v>
      </c>
      <c r="E11" s="162">
        <f>IF(E19=0,0,E19-E12-E13-E14)</f>
        <v>20</v>
      </c>
      <c r="F11" s="162">
        <f>IF(E21=0,0,E21-F12-F13-F14)</f>
        <v>3</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9359</v>
      </c>
      <c r="D15" s="172">
        <f>SUM(D11:D14)</f>
        <v>424</v>
      </c>
      <c r="E15" s="172">
        <f>SUM(E11:E14)</f>
        <v>20</v>
      </c>
      <c r="F15" s="172">
        <f>SUM(F11:F14)</f>
        <v>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424</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20</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3</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0.04530398546853296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0.0021369804466289132</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0.000320547066994337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Sedgwick Valley Joint Drainage District</v>
      </c>
      <c r="B2" s="270"/>
      <c r="C2" s="100"/>
      <c r="D2" s="100"/>
      <c r="E2" s="261"/>
      <c r="F2" s="100"/>
    </row>
    <row r="3" spans="1:6" ht="15.75">
      <c r="A3" s="270" t="str">
        <f>inputPrYr!D4</f>
        <v>Sedgwick County</v>
      </c>
      <c r="B3" s="270"/>
      <c r="C3" s="100"/>
      <c r="D3" s="100"/>
      <c r="E3" s="261"/>
      <c r="F3" s="100"/>
    </row>
    <row r="4" spans="1:6" ht="15.75">
      <c r="A4" s="179"/>
      <c r="B4" s="100"/>
      <c r="C4" s="100"/>
      <c r="D4" s="100"/>
      <c r="E4" s="261"/>
      <c r="F4" s="100"/>
    </row>
    <row r="5" spans="1:6" ht="15" customHeight="1">
      <c r="A5" s="656" t="s">
        <v>141</v>
      </c>
      <c r="B5" s="656"/>
      <c r="C5" s="656"/>
      <c r="D5" s="656"/>
      <c r="E5" s="656"/>
      <c r="F5" s="656"/>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2011-10-05T19:42:20Z</cp:lastPrinted>
  <dcterms:created xsi:type="dcterms:W3CDTF">1999-08-06T13:59:57Z</dcterms:created>
  <dcterms:modified xsi:type="dcterms:W3CDTF">2011-10-05T19:52:03Z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