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931"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ewer_Spec B&amp;Int_" sheetId="12" r:id="rId12"/>
    <sheet name="summ" sheetId="13" r:id="rId13"/>
    <sheet name="DebtService" sheetId="14" r:id="rId14"/>
    <sheet name="levypage8"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2">'summ'!$A$1:$H$43</definedName>
  </definedNames>
  <calcPr fullCalcOnLoad="1"/>
</workbook>
</file>

<file path=xl/sharedStrings.xml><?xml version="1.0" encoding="utf-8"?>
<sst xmlns="http://schemas.openxmlformats.org/spreadsheetml/2006/main" count="1130" uniqueCount="763">
  <si>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</si>
  <si>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</si>
  <si>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</si>
  <si>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</si>
  <si>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</si>
  <si>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</si>
  <si>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</si>
  <si>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</si>
  <si>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</si>
  <si>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</si>
  <si>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</si>
  <si>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</si>
  <si>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</si>
  <si>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</si>
  <si>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</si>
  <si>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</si>
  <si>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</si>
  <si>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</si>
  <si>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</si>
  <si>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</si>
  <si>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</si>
  <si>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</si>
  <si>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</si>
  <si>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</si>
  <si>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</si>
  <si>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</si>
  <si>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</si>
  <si>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</si>
  <si>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</si>
  <si>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</si>
  <si>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</si>
  <si>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</si>
  <si>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</si>
  <si>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</si>
  <si>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</si>
  <si>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</si>
  <si>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</si>
  <si>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</si>
  <si>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</si>
  <si>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</si>
  <si>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</si>
  <si>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</si>
  <si>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</si>
  <si>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</si>
  <si>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</si>
  <si>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</si>
  <si>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</si>
  <si>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</si>
  <si>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</si>
  <si>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</si>
  <si>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</si>
  <si>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</si>
  <si>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</si>
  <si>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</si>
  <si>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</si>
  <si>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</si>
  <si>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</si>
  <si>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</si>
  <si>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</si>
  <si>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</si>
  <si>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</si>
  <si>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</si>
  <si>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</si>
  <si>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</si>
  <si>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</si>
  <si>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</si>
  <si>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</si>
  <si>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</si>
  <si>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</si>
  <si>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</si>
  <si>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</si>
  <si>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</si>
  <si>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</si>
  <si>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</si>
  <si>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</si>
  <si>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</si>
  <si>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</si>
  <si>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</si>
  <si>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</si>
  <si>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</si>
  <si>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</si>
  <si>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</si>
  <si>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</si>
  <si>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</si>
  <si>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</si>
  <si>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</si>
  <si>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</si>
  <si>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</si>
  <si>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</si>
  <si>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</si>
  <si>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</si>
  <si>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</si>
  <si>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</si>
  <si>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</si>
  <si>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</si>
  <si>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</si>
  <si>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</si>
  <si>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</si>
  <si>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</si>
  <si>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</si>
  <si>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</si>
  <si>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</si>
  <si>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</si>
  <si>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</si>
  <si>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</si>
  <si>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</si>
  <si>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</si>
  <si>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</si>
  <si>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</si>
  <si>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</si>
  <si>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</si>
  <si>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</si>
  <si>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</si>
  <si>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</si>
  <si>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</si>
  <si>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</si>
  <si>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</si>
  <si>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</si>
  <si>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</si>
  <si>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</si>
  <si>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</si>
  <si>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</si>
  <si>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</si>
  <si>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</si>
  <si>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</si>
  <si>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</si>
  <si>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</si>
  <si>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</si>
  <si>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</si>
  <si>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</si>
  <si>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</si>
  <si>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</si>
  <si>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</si>
  <si>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</si>
  <si>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</si>
  <si>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</si>
  <si>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</si>
  <si>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</si>
  <si>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</si>
  <si>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</si>
  <si>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</si>
  <si>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</si>
  <si>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</si>
  <si>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</si>
  <si>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</si>
  <si>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</si>
  <si>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</si>
  <si>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</si>
  <si>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</si>
  <si>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</si>
  <si>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</si>
  <si>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</si>
  <si>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</si>
  <si>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</si>
  <si>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</si>
  <si>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</si>
  <si>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</si>
  <si>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</si>
  <si>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</si>
  <si>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</si>
  <si>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</si>
  <si>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</si>
  <si>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</si>
  <si>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</si>
  <si>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</si>
  <si>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</si>
  <si>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</si>
  <si>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</si>
  <si>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</si>
  <si>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</si>
  <si>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</si>
  <si>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</si>
  <si>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</si>
  <si>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</si>
  <si>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</si>
  <si>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</si>
  <si>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</si>
  <si>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</si>
  <si>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</si>
  <si>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</si>
  <si>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</si>
  <si>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</si>
  <si>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</si>
  <si>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</si>
  <si>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</si>
  <si>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</si>
  <si>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</si>
  <si>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</si>
  <si>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</si>
  <si>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</si>
  <si>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</si>
  <si>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</si>
  <si>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</si>
  <si>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</si>
  <si>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</si>
  <si>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</si>
  <si>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</si>
  <si>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</si>
  <si>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</si>
  <si>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</si>
  <si>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</si>
  <si>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</si>
  <si>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</si>
  <si>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</si>
  <si>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</si>
  <si>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</si>
  <si>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</si>
  <si>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</si>
  <si>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</si>
  <si>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</si>
  <si>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</si>
  <si>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</si>
  <si>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</si>
  <si>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</si>
  <si>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</si>
  <si>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</si>
  <si>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</si>
  <si>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</si>
  <si>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</si>
  <si>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</si>
  <si>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</si>
  <si>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</si>
  <si>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</si>
  <si>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</si>
  <si>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</si>
  <si>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</si>
  <si>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</si>
  <si>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</si>
  <si>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</si>
  <si>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</si>
  <si>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</si>
  <si>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</si>
  <si>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</si>
  <si>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</si>
  <si>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</si>
  <si>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</si>
  <si>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</si>
  <si>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</si>
  <si>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</si>
  <si>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</si>
  <si>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</si>
  <si>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</si>
  <si>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</si>
  <si>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</si>
  <si>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</si>
  <si>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</si>
  <si>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</si>
  <si>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</si>
  <si>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</si>
  <si>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</si>
  <si>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</si>
  <si>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</si>
  <si>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</si>
  <si>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</si>
  <si>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</si>
  <si>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</si>
  <si>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</si>
  <si>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</si>
  <si>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</si>
  <si>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</si>
  <si>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</si>
  <si>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</si>
  <si>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</si>
  <si>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</si>
  <si>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</si>
  <si>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</si>
  <si>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</si>
  <si>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</si>
  <si>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</si>
  <si>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</si>
  <si>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</si>
  <si>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</si>
  <si>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</si>
  <si>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</si>
  <si>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</si>
  <si>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</si>
  <si>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</si>
  <si>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</si>
  <si>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</si>
  <si>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</si>
  <si>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</si>
  <si>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</si>
  <si>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</si>
  <si>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</si>
  <si>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</si>
  <si>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</si>
  <si>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</si>
  <si>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</si>
  <si>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</si>
  <si>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</si>
  <si>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</si>
  <si>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</si>
  <si>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</si>
  <si>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</si>
  <si>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</si>
  <si>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</si>
  <si>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</si>
  <si>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</si>
  <si>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</si>
  <si>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</si>
  <si>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</si>
  <si>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</si>
  <si>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</si>
  <si>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</si>
  <si>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</si>
  <si>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</si>
  <si>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</si>
  <si>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</si>
  <si>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</si>
  <si>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</si>
  <si>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</si>
  <si>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</si>
  <si>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</si>
  <si>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</si>
  <si>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</si>
  <si>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</si>
  <si>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</si>
  <si>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</si>
  <si>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</si>
  <si>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</si>
  <si>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</si>
  <si>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</si>
  <si>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</si>
  <si>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</si>
  <si>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</si>
  <si>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</si>
  <si>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</si>
  <si>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</si>
  <si>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</si>
  <si>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</si>
  <si>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</si>
  <si>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</si>
  <si>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</si>
  <si>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</si>
  <si>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</si>
  <si>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</si>
  <si>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</si>
  <si>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</si>
  <si>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</si>
  <si>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</si>
  <si>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</si>
  <si>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</si>
  <si>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</si>
  <si>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</si>
  <si>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</si>
  <si>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</si>
  <si>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</si>
  <si>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</si>
  <si>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</si>
  <si>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</si>
  <si>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</si>
  <si>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</si>
  <si>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</si>
  <si>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</si>
  <si>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</si>
  <si>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</si>
  <si>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</si>
  <si>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</si>
  <si>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</si>
  <si>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</si>
  <si>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</si>
  <si>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</si>
  <si>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</si>
  <si>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</si>
  <si>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</si>
  <si>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</si>
  <si>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</si>
  <si>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</si>
  <si>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</si>
  <si>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</si>
  <si>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</si>
  <si>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</si>
  <si>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</si>
  <si>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</si>
  <si>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</si>
  <si>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</si>
  <si>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</si>
  <si>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</si>
  <si>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</si>
  <si>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</si>
  <si>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</si>
  <si>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</si>
  <si>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</si>
  <si>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</si>
  <si>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</si>
  <si>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</si>
  <si>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</si>
  <si>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</si>
  <si>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</si>
  <si>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</si>
  <si>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</si>
  <si>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</si>
  <si>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</si>
  <si>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</si>
  <si>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</si>
  <si>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</si>
  <si>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</si>
  <si>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</si>
  <si>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</si>
  <si>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</si>
  <si>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</si>
  <si>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</si>
  <si>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</si>
  <si>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</si>
  <si>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</si>
  <si>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</si>
  <si>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</si>
  <si>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</si>
  <si>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</si>
  <si>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</si>
  <si>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</si>
  <si>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</si>
  <si>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</si>
  <si>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</si>
  <si>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</si>
  <si>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</si>
  <si>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</si>
  <si>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</si>
  <si>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</si>
  <si>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</si>
  <si>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</si>
  <si>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</si>
  <si>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</si>
  <si>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</si>
  <si>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</si>
  <si>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</si>
  <si>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</si>
  <si>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</si>
  <si>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</si>
  <si>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</si>
  <si>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</si>
  <si>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</si>
  <si>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</si>
  <si>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</si>
  <si>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</si>
  <si>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</si>
  <si>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</si>
  <si>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</si>
  <si>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</si>
  <si>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</si>
  <si>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</si>
  <si>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</si>
  <si>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</si>
  <si>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</si>
  <si>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</si>
  <si>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</si>
  <si>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</si>
  <si>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</si>
  <si>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</si>
  <si>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</si>
  <si>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</si>
  <si>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</si>
  <si>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</si>
  <si>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</si>
  <si>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</si>
  <si>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</si>
  <si>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</si>
  <si>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</si>
  <si>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</si>
  <si>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</si>
  <si>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</si>
  <si>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</si>
  <si>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</si>
  <si>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</si>
  <si>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</si>
  <si>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</si>
  <si>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</si>
  <si>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</si>
  <si>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</si>
  <si>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</si>
  <si>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</si>
  <si>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</si>
  <si>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</si>
  <si>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</si>
  <si>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</si>
  <si>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</si>
  <si>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</si>
  <si>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</si>
  <si>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</si>
  <si>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</si>
  <si>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</si>
  <si>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</si>
  <si>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</si>
  <si>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</si>
  <si>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</si>
  <si>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</si>
  <si>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</si>
  <si>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</si>
  <si>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</si>
  <si>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</si>
  <si>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</si>
  <si>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</si>
  <si>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</si>
  <si>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</si>
  <si>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</si>
  <si>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</si>
  <si>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</si>
  <si>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</si>
  <si>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</si>
  <si>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</si>
  <si>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</si>
  <si>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</si>
  <si>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</si>
  <si>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</si>
  <si>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</si>
  <si>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</si>
  <si>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</si>
  <si>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</si>
  <si>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</si>
  <si>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</si>
  <si>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</si>
  <si>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</si>
  <si>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</si>
  <si>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</si>
  <si>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</si>
  <si>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</si>
  <si>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</si>
  <si>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</si>
  <si>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</si>
  <si>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</si>
  <si>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</si>
  <si>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</si>
  <si>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</si>
  <si>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</si>
  <si>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</si>
  <si>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</si>
  <si>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</si>
  <si>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</si>
  <si>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</si>
  <si>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</si>
  <si>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</si>
  <si>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</si>
  <si>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</si>
  <si>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</si>
  <si>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</si>
  <si>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</si>
  <si>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</si>
  <si>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</si>
  <si>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</si>
  <si>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</si>
  <si>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</si>
  <si>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</si>
  <si>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</si>
  <si>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</si>
  <si>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</si>
  <si>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</si>
  <si>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</si>
  <si>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</si>
  <si>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</si>
  <si>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</si>
  <si>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</si>
  <si>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</si>
  <si>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</si>
  <si>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</si>
  <si>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</si>
  <si>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</si>
  <si>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</si>
  <si>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</si>
  <si>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</si>
  <si>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</si>
  <si>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</si>
  <si>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</si>
  <si>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</si>
  <si>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</si>
  <si>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</si>
  <si>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</si>
  <si>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</si>
  <si>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</si>
  <si>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</si>
  <si>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</si>
  <si>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</si>
  <si>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</si>
  <si>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</si>
  <si>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</si>
  <si>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</si>
  <si>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</si>
  <si>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</si>
  <si>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</si>
  <si>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</si>
  <si>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</si>
  <si>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</si>
  <si>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</si>
  <si>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</si>
  <si>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</si>
  <si>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</si>
  <si>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</si>
  <si>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</si>
  <si>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</si>
  <si>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</si>
  <si>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</si>
  <si>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</si>
  <si>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</si>
  <si>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</si>
  <si>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</si>
  <si>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</si>
  <si>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</si>
  <si>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</si>
  <si>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</si>
  <si>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</si>
  <si>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</si>
  <si>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</si>
  <si>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</si>
  <si>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</si>
  <si>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</si>
  <si>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</si>
  <si>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</si>
  <si>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</si>
  <si>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</si>
  <si>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</si>
  <si>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</si>
  <si>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</si>
  <si>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</si>
  <si>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</si>
  <si>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</si>
  <si>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</si>
  <si>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</si>
  <si>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</si>
  <si>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</si>
  <si>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</si>
  <si>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</si>
  <si>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</si>
  <si>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</si>
  <si>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</si>
  <si>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</si>
  <si>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</si>
  <si>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</si>
  <si>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</si>
  <si>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</si>
  <si>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</si>
  <si>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</si>
  <si>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</si>
  <si>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</si>
  <si>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</si>
  <si>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</si>
  <si>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</si>
  <si>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</si>
  <si>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</si>
  <si>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</si>
  <si>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</si>
  <si>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</si>
  <si>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</si>
  <si>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</si>
  <si>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</si>
  <si>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</si>
  <si>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</si>
  <si>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</si>
  <si>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</si>
  <si>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</si>
  <si>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</si>
  <si>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</si>
  <si>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</si>
  <si>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</si>
  <si>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</si>
  <si>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</si>
  <si>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</si>
  <si>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</si>
  <si>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</si>
  <si>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</si>
  <si>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</si>
  <si>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</si>
  <si>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</si>
  <si>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</si>
  <si>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</si>
  <si>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</si>
  <si>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</si>
  <si>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</si>
  <si>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</si>
  <si>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</si>
  <si>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</si>
  <si>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</si>
  <si>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</si>
  <si>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</si>
  <si>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</si>
  <si>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</si>
  <si>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</si>
  <si>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</si>
  <si>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</si>
  <si>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</si>
  <si>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</si>
  <si>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</si>
  <si>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</si>
  <si>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</si>
  <si>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</si>
  <si>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</si>
  <si>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</si>
  <si>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</si>
  <si>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</si>
  <si>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</si>
  <si>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</si>
  <si>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</si>
  <si>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</si>
  <si>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</si>
  <si>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</si>
  <si>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</si>
  <si>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</si>
  <si>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</si>
  <si>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</si>
  <si>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</si>
  <si>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</si>
  <si>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</si>
  <si>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</si>
  <si>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</si>
  <si>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</si>
  <si>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</si>
  <si>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</si>
  <si>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</si>
  <si>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</si>
  <si>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</si>
  <si>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</si>
  <si>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</si>
  <si>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</si>
  <si>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</si>
  <si>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</si>
  <si>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</si>
  <si>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</si>
  <si>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</si>
  <si>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</si>
  <si>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</si>
  <si>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</si>
  <si>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</si>
  <si>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</si>
  <si>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</si>
  <si>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</si>
  <si>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</si>
  <si>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</si>
  <si>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</si>
  <si>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</si>
  <si>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</si>
  <si>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</si>
  <si>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</si>
  <si>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</si>
  <si>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</si>
  <si>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</si>
  <si>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</si>
  <si>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</si>
  <si>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</si>
  <si>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</si>
  <si>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</si>
  <si>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</si>
  <si>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</si>
  <si>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</si>
  <si>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</si>
  <si>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</si>
  <si>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</si>
  <si>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Furley Improvement District</t>
  </si>
  <si>
    <t>Sedgwick</t>
  </si>
  <si>
    <t>19-2765</t>
  </si>
  <si>
    <t>Sewer Revenue</t>
  </si>
  <si>
    <t>Specials/Bond &amp; Int</t>
  </si>
  <si>
    <t>Specials/Bond &amp; Interest</t>
  </si>
  <si>
    <t>Service Charges</t>
  </si>
  <si>
    <t>Maintenance &amp; Repairs</t>
  </si>
  <si>
    <t>Permits</t>
  </si>
  <si>
    <t>Publication Costs</t>
  </si>
  <si>
    <t>Treasurers Bond</t>
  </si>
  <si>
    <t>Real Estate Tax</t>
  </si>
  <si>
    <t>Insurance &amp; Legal</t>
  </si>
  <si>
    <t>Delinquent Sewer Revenue Lien</t>
  </si>
  <si>
    <t>Transfer to Revenue Acct</t>
  </si>
  <si>
    <t>7:00 P.M.</t>
  </si>
  <si>
    <t>10730 N. Ave E. - Valley Center, Ks 67147</t>
  </si>
  <si>
    <t>Transfer From Specials Acct</t>
  </si>
  <si>
    <t>August 8, 2011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</si>
</sst>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72" sqref="A72"/>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Furley Improvement District</v>
      </c>
      <c r="B1" s="18"/>
      <c r="C1" s="18"/>
      <c r="D1" s="18"/>
      <c r="E1" s="18"/>
      <c r="F1" s="18"/>
      <c r="G1" s="18"/>
      <c r="H1" s="18"/>
      <c r="I1" s="18"/>
      <c r="J1" s="18"/>
      <c r="K1" s="192">
        <f>inputPrYr!D6</f>
        <v>2012</v>
      </c>
    </row>
    <row r="2" spans="1:11" ht="15.75">
      <c r="A2" s="18" t="str">
        <f>inputPrYr!$D$4</f>
        <v>Sedgwick</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9" sqref="C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Furley Improvement District</v>
      </c>
      <c r="C1" s="241"/>
      <c r="D1" s="18"/>
      <c r="E1" s="192"/>
    </row>
    <row r="2" spans="2:5" ht="15.75">
      <c r="B2" s="18" t="str">
        <f>inputPrYr!D4</f>
        <v>Sedgwick</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163</v>
      </c>
      <c r="D7" s="404">
        <f>C51</f>
        <v>163</v>
      </c>
      <c r="E7" s="47">
        <f>D51</f>
        <v>163</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163</v>
      </c>
      <c r="D29" s="399">
        <f>D7+D28</f>
        <v>163</v>
      </c>
      <c r="E29" s="254">
        <f>E7+E28</f>
        <v>163</v>
      </c>
    </row>
    <row r="30" spans="2:5" ht="15.75">
      <c r="B30" s="122" t="s">
        <v>41</v>
      </c>
      <c r="C30" s="126"/>
      <c r="D30" s="126"/>
      <c r="E30" s="38"/>
    </row>
    <row r="31" spans="2:5" ht="15.75">
      <c r="B31" s="248"/>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163</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229</v>
      </c>
      <c r="C47" s="397"/>
      <c r="D47" s="397"/>
      <c r="E47" s="214">
        <f>Nhood!E7</f>
      </c>
      <c r="G47" s="542">
        <f>E57</f>
        <v>0</v>
      </c>
      <c r="H47" s="543" t="str">
        <f>CONCATENATE("",F3," Ad Valorem Tax (est.)")</f>
        <v>2012 Ad Valorem Tax (est.)</v>
      </c>
      <c r="I47" s="543"/>
      <c r="J47" s="544"/>
    </row>
    <row r="48" spans="2:10" ht="15.75">
      <c r="B48" s="126" t="s">
        <v>228</v>
      </c>
      <c r="C48" s="397"/>
      <c r="D48" s="397"/>
      <c r="E48" s="37"/>
      <c r="G48" s="554">
        <f>SUM(G45:G47)</f>
        <v>163</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2010 Expenditures + 5%</v>
      </c>
      <c r="I50" s="543"/>
      <c r="J50" s="544"/>
    </row>
    <row r="51" spans="2:10" ht="15.75">
      <c r="B51" s="122" t="s">
        <v>129</v>
      </c>
      <c r="C51" s="400">
        <f>C29-C50</f>
        <v>163</v>
      </c>
      <c r="D51" s="400">
        <f>D29-D50</f>
        <v>163</v>
      </c>
      <c r="E51" s="135" t="s">
        <v>28</v>
      </c>
      <c r="G51" s="540">
        <f>G48-G50</f>
        <v>163</v>
      </c>
      <c r="H51" s="539" t="str">
        <f>CONCATENATE("Projected ",F3+1," Carryover (est.)")</f>
        <v>Projected 2013 Carryover (est.)</v>
      </c>
      <c r="I51" s="525"/>
      <c r="J51" s="538"/>
    </row>
    <row r="52" spans="2:10" ht="15.75">
      <c r="B52" s="145" t="str">
        <f>CONCATENATE("",F3-2,"/",F3-1," Budget Authority Amount:")</f>
        <v>2010/2011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v>0</v>
      </c>
      <c r="H53" s="536" t="str">
        <f>CONCATENATE("Projected ",F3-1," Mill Rate (est.)")</f>
        <v>Projected 2011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35" sqref="F3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Furley Improvement District</v>
      </c>
      <c r="C1" s="241"/>
      <c r="D1" s="18"/>
      <c r="E1" s="192"/>
    </row>
    <row r="2" spans="2:5" ht="15.75">
      <c r="B2" s="18" t="str">
        <f>inputPrYr!D4</f>
        <v>Sedgwick</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t="str">
        <f>inputPrYr!B26</f>
        <v>Sewer Revenue</v>
      </c>
      <c r="C6" s="244" t="str">
        <f>CONCATENATE("Actual ",F3-2,"")</f>
        <v>Actual 2010</v>
      </c>
      <c r="D6" s="244" t="str">
        <f>CONCATENATE("Estimate ",F3-1,"")</f>
        <v>Estimate 2011</v>
      </c>
      <c r="E6" s="244" t="str">
        <f>CONCATENATE("Year ",F3,"")</f>
        <v>Year 2012</v>
      </c>
    </row>
    <row r="7" spans="2:5" ht="15.75">
      <c r="B7" s="122" t="s">
        <v>128</v>
      </c>
      <c r="C7" s="37">
        <v>59566</v>
      </c>
      <c r="D7" s="47">
        <f>C32</f>
        <v>62274.35</v>
      </c>
      <c r="E7" s="47">
        <f>D32</f>
        <v>57923.55</v>
      </c>
    </row>
    <row r="8" spans="2:5" ht="15.75">
      <c r="B8" s="246" t="s">
        <v>130</v>
      </c>
      <c r="C8" s="38"/>
      <c r="D8" s="38"/>
      <c r="E8" s="38"/>
    </row>
    <row r="9" spans="2:5" ht="15.75">
      <c r="B9" s="248" t="s">
        <v>750</v>
      </c>
      <c r="C9" s="209">
        <v>4407.35</v>
      </c>
      <c r="D9" s="209">
        <v>4518</v>
      </c>
      <c r="E9" s="209">
        <v>4518</v>
      </c>
    </row>
    <row r="10" spans="2:5" ht="15.75">
      <c r="B10" s="248" t="s">
        <v>761</v>
      </c>
      <c r="C10" s="209">
        <v>753</v>
      </c>
      <c r="D10" s="209">
        <v>301.2</v>
      </c>
      <c r="E10" s="209">
        <v>150.6</v>
      </c>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5160.35</v>
      </c>
      <c r="D19" s="254">
        <f>SUM(D9:D17)</f>
        <v>4819.2</v>
      </c>
      <c r="E19" s="254">
        <f>SUM(E9:E17)</f>
        <v>4668.6</v>
      </c>
    </row>
    <row r="20" spans="2:5" ht="15.75">
      <c r="B20" s="253" t="s">
        <v>40</v>
      </c>
      <c r="C20" s="254">
        <f>C19+C7</f>
        <v>64726.35</v>
      </c>
      <c r="D20" s="254">
        <f>D19+D7</f>
        <v>67093.55</v>
      </c>
      <c r="E20" s="254">
        <f>E19+E7</f>
        <v>62592.15</v>
      </c>
    </row>
    <row r="21" spans="2:5" ht="15.75">
      <c r="B21" s="122" t="s">
        <v>41</v>
      </c>
      <c r="C21" s="38"/>
      <c r="D21" s="38"/>
      <c r="E21" s="38"/>
    </row>
    <row r="22" spans="2:5" ht="15.75">
      <c r="B22" s="248" t="s">
        <v>751</v>
      </c>
      <c r="C22" s="209">
        <v>1050</v>
      </c>
      <c r="D22" s="209">
        <v>3500</v>
      </c>
      <c r="E22" s="209">
        <v>8000</v>
      </c>
    </row>
    <row r="23" spans="2:5" ht="15.75">
      <c r="B23" s="248" t="s">
        <v>752</v>
      </c>
      <c r="C23" s="209">
        <v>185</v>
      </c>
      <c r="D23" s="209">
        <v>400</v>
      </c>
      <c r="E23" s="209">
        <v>400</v>
      </c>
    </row>
    <row r="24" spans="2:5" ht="15.75">
      <c r="B24" s="248" t="s">
        <v>753</v>
      </c>
      <c r="C24" s="209">
        <v>75</v>
      </c>
      <c r="D24" s="209">
        <v>150</v>
      </c>
      <c r="E24" s="209">
        <v>175</v>
      </c>
    </row>
    <row r="25" spans="2:5" ht="15.75">
      <c r="B25" s="248" t="s">
        <v>754</v>
      </c>
      <c r="C25" s="209">
        <v>100</v>
      </c>
      <c r="D25" s="209">
        <v>150</v>
      </c>
      <c r="E25" s="209">
        <v>150</v>
      </c>
    </row>
    <row r="26" spans="2:5" ht="15.75">
      <c r="B26" s="248" t="s">
        <v>755</v>
      </c>
      <c r="C26" s="209">
        <v>0</v>
      </c>
      <c r="D26" s="209">
        <v>20</v>
      </c>
      <c r="E26" s="209">
        <v>20</v>
      </c>
    </row>
    <row r="27" spans="2:5" ht="15.75">
      <c r="B27" s="248" t="s">
        <v>756</v>
      </c>
      <c r="C27" s="209">
        <v>954</v>
      </c>
      <c r="D27" s="209">
        <v>4500</v>
      </c>
      <c r="E27" s="209">
        <v>4500</v>
      </c>
    </row>
    <row r="28" spans="2:5" ht="15.75">
      <c r="B28" s="248"/>
      <c r="C28" s="209"/>
      <c r="D28" s="209"/>
      <c r="E28" s="209"/>
    </row>
    <row r="29" spans="2:5" ht="15.75">
      <c r="B29" s="126" t="s">
        <v>228</v>
      </c>
      <c r="C29" s="37">
        <v>88</v>
      </c>
      <c r="D29" s="245">
        <v>450</v>
      </c>
      <c r="E29" s="245">
        <v>500</v>
      </c>
    </row>
    <row r="30" spans="2:5" ht="15.75">
      <c r="B30" s="126" t="s">
        <v>581</v>
      </c>
      <c r="C30" s="424">
        <f>IF(C31*0.1&lt;C29,"Exceed 10% Rule","")</f>
      </c>
      <c r="D30" s="252">
        <f>IF(D31*0.1&lt;D29,"Exceed 10% Rule","")</f>
      </c>
      <c r="E30" s="252">
        <f>IF(E31*0.1&lt;E29,"Exceed 10% Rule","")</f>
      </c>
    </row>
    <row r="31" spans="2:5" ht="15.75">
      <c r="B31" s="253" t="s">
        <v>42</v>
      </c>
      <c r="C31" s="254">
        <f>SUM(C22:C29)</f>
        <v>2452</v>
      </c>
      <c r="D31" s="254">
        <f>SUM(D22:D29)</f>
        <v>9170</v>
      </c>
      <c r="E31" s="254">
        <f>SUM(E22:E29)</f>
        <v>13745</v>
      </c>
    </row>
    <row r="32" spans="2:5" ht="15.75">
      <c r="B32" s="122" t="s">
        <v>129</v>
      </c>
      <c r="C32" s="44">
        <f>C20-C31</f>
        <v>62274.35</v>
      </c>
      <c r="D32" s="44">
        <f>D20-D31</f>
        <v>57923.55</v>
      </c>
      <c r="E32" s="44">
        <f>E20-E31</f>
        <v>48847.15</v>
      </c>
    </row>
    <row r="33" spans="2:5" ht="15.75">
      <c r="B33" s="145" t="str">
        <f>CONCATENATE("",F3-2,"/",F3-1," Budget Authority Amount:")</f>
        <v>2010/2011 Budget Authority Amount:</v>
      </c>
      <c r="C33" s="123">
        <f>inputOth!B46</f>
        <v>9170</v>
      </c>
      <c r="D33" s="123">
        <f>inputPrYr!D26</f>
        <v>13745</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t="str">
        <f>inputPrYr!B27</f>
        <v>Specials/Bond &amp; Int</v>
      </c>
      <c r="C39" s="244" t="str">
        <f>C6</f>
        <v>Actual 2010</v>
      </c>
      <c r="D39" s="244" t="str">
        <f>D6</f>
        <v>Estimate 2011</v>
      </c>
      <c r="E39" s="244" t="str">
        <f>E6</f>
        <v>Year 2012</v>
      </c>
    </row>
    <row r="40" spans="2:5" ht="15.75">
      <c r="B40" s="122" t="s">
        <v>128</v>
      </c>
      <c r="C40" s="37">
        <v>1556</v>
      </c>
      <c r="D40" s="47">
        <f>C65</f>
        <v>803</v>
      </c>
      <c r="E40" s="47">
        <f>D65</f>
        <v>803</v>
      </c>
    </row>
    <row r="41" spans="2:5" ht="15.75">
      <c r="B41" s="246" t="s">
        <v>130</v>
      </c>
      <c r="C41" s="38"/>
      <c r="D41" s="38"/>
      <c r="E41" s="38"/>
    </row>
    <row r="42" spans="2:5" ht="15.75">
      <c r="B42" s="248" t="s">
        <v>757</v>
      </c>
      <c r="C42" s="209">
        <v>0</v>
      </c>
      <c r="D42" s="209">
        <v>301.2</v>
      </c>
      <c r="E42" s="209">
        <v>150.6</v>
      </c>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301.2</v>
      </c>
      <c r="E52" s="254">
        <f>SUM(E42:E50)</f>
        <v>150.6</v>
      </c>
    </row>
    <row r="53" spans="2:5" ht="15.75">
      <c r="B53" s="253" t="s">
        <v>40</v>
      </c>
      <c r="C53" s="254">
        <f>C52+C40</f>
        <v>1556</v>
      </c>
      <c r="D53" s="254">
        <f>D52+D40</f>
        <v>1104.2</v>
      </c>
      <c r="E53" s="254">
        <f>E52+E40</f>
        <v>953.6</v>
      </c>
    </row>
    <row r="54" spans="2:5" ht="15.75">
      <c r="B54" s="122" t="s">
        <v>41</v>
      </c>
      <c r="C54" s="38"/>
      <c r="D54" s="38"/>
      <c r="E54" s="38"/>
    </row>
    <row r="55" spans="2:5" ht="15.75">
      <c r="B55" s="248" t="s">
        <v>758</v>
      </c>
      <c r="C55" s="209">
        <v>753</v>
      </c>
      <c r="D55" s="209">
        <v>301.2</v>
      </c>
      <c r="E55" s="209">
        <v>150.6</v>
      </c>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753</v>
      </c>
      <c r="D64" s="254">
        <f>SUM(D55:D62)</f>
        <v>301.2</v>
      </c>
      <c r="E64" s="254">
        <f>SUM(E55:E62)</f>
        <v>150.6</v>
      </c>
    </row>
    <row r="65" spans="2:5" ht="15.75">
      <c r="B65" s="122" t="s">
        <v>129</v>
      </c>
      <c r="C65" s="44">
        <f>C53-C64</f>
        <v>803</v>
      </c>
      <c r="D65" s="44">
        <f>D53-D64</f>
        <v>803</v>
      </c>
      <c r="E65" s="44">
        <f>E53-E64</f>
        <v>803</v>
      </c>
    </row>
    <row r="66" spans="2:5" ht="15.75">
      <c r="B66" s="145" t="str">
        <f>CONCATENATE("",F3-2,"/",F3-1," Budget Authority Amount:")</f>
        <v>2010/2011 Budget Authority Amount:</v>
      </c>
      <c r="C66" s="123">
        <f>inputOth!B47</f>
        <v>753</v>
      </c>
      <c r="D66" s="123">
        <f>inputPrYr!D27</f>
        <v>301.2</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8</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25" sqref="I2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Furley Improvement District</v>
      </c>
      <c r="B4" s="598"/>
      <c r="C4" s="598"/>
      <c r="D4" s="598"/>
      <c r="E4" s="598"/>
      <c r="F4" s="598"/>
      <c r="G4" s="598"/>
      <c r="H4" s="598"/>
    </row>
    <row r="5" spans="1:8" ht="15.75">
      <c r="A5" s="660" t="str">
        <f>inputPrYr!D4</f>
        <v>Sedgwick</v>
      </c>
      <c r="B5" s="660"/>
      <c r="C5" s="660"/>
      <c r="D5" s="660"/>
      <c r="E5" s="660"/>
      <c r="F5" s="660"/>
      <c r="G5" s="660"/>
      <c r="H5" s="660"/>
    </row>
    <row r="6" spans="1:8" ht="15.75">
      <c r="A6" s="661" t="str">
        <f>CONCATENATE("will meet on ",inputBudSum!B5," at ",inputBudSum!B7," at ",inputBudSum!B9," for the purpose of hearing and")</f>
        <v>will meet on August 8, 2011 at 7:00 P.M. at 10730 N. Ave E. - Valley Center, Ks 67147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10730 N. Ave E. - Valley Center, Ks 67147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692</v>
      </c>
      <c r="K14" s="571"/>
      <c r="L14" s="571"/>
      <c r="M14" s="572">
        <f>ROUND(F27/1000,0)</f>
        <v>452</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Sewer Revenue</v>
      </c>
      <c r="B20" s="128">
        <f>IF('Sewer_Spec B&amp;Int_'!$C$31&lt;&gt;0,'Sewer_Spec B&amp;Int_'!$C$31,"  ")</f>
        <v>2452</v>
      </c>
      <c r="C20" s="38"/>
      <c r="D20" s="128">
        <f>IF('Sewer_Spec B&amp;Int_'!$D$31&lt;&gt;0,'Sewer_Spec B&amp;Int_'!$D$31,"  ")</f>
        <v>9170</v>
      </c>
      <c r="E20" s="38"/>
      <c r="F20" s="128">
        <f>IF('Sewer_Spec B&amp;Int_'!$E$31&lt;&gt;0,'Sewer_Spec B&amp;Int_'!$E$31,"  ")</f>
        <v>13745</v>
      </c>
      <c r="G20" s="128"/>
      <c r="H20" s="38"/>
      <c r="J20" s="576">
        <f>IF(M20&gt;0,"Increased By:","")</f>
      </c>
      <c r="K20" s="577"/>
      <c r="L20" s="577"/>
      <c r="M20" s="578">
        <f>IF(M27&lt;0,M27*-1,0)</f>
        <v>0</v>
      </c>
    </row>
    <row r="21" spans="1:13" ht="15.75">
      <c r="A21" s="38" t="str">
        <f>IF(inputPrYr!$B27&gt;"  ",inputPrYr!$B27,"  ")</f>
        <v>Specials/Bond &amp; Int</v>
      </c>
      <c r="B21" s="128">
        <f>IF('Sewer_Spec B&amp;Int_'!$C$64&lt;&gt;0,'Sewer_Spec B&amp;Int_'!$C$64,"  ")</f>
        <v>753</v>
      </c>
      <c r="C21" s="38"/>
      <c r="D21" s="128">
        <f>IF('Sewer_Spec B&amp;Int_'!$D$64&lt;&gt;0,'Sewer_Spec B&amp;Int_'!$D$64,"  ")</f>
        <v>301.2</v>
      </c>
      <c r="E21" s="38"/>
      <c r="F21" s="128">
        <f>IF('Sewer_Spec B&amp;Int_'!$E$64&lt;&gt;0,'Sewer_Spec B&amp;Int_'!$E$64,"  ")</f>
        <v>150.6</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3205</v>
      </c>
      <c r="C23" s="549">
        <f aca="true" t="shared" si="0" ref="C23:H23">SUM(C16:C21)</f>
        <v>0</v>
      </c>
      <c r="D23" s="321">
        <f t="shared" si="0"/>
        <v>9471.2</v>
      </c>
      <c r="E23" s="549">
        <f t="shared" si="0"/>
        <v>0</v>
      </c>
      <c r="F23" s="321">
        <f t="shared" si="0"/>
        <v>13895.6</v>
      </c>
      <c r="G23" s="321">
        <f t="shared" si="0"/>
        <v>0</v>
      </c>
      <c r="H23" s="549">
        <f t="shared" si="0"/>
        <v>0</v>
      </c>
      <c r="J23" s="650" t="str">
        <f>CONCATENATE("Impact On Keeping The Same Mill Rate As For ",I3-1,"")</f>
        <v>Impact On Keeping The Same Mill Rate As For 2011</v>
      </c>
      <c r="K23" s="655"/>
      <c r="L23" s="655"/>
      <c r="M23" s="656"/>
    </row>
    <row r="24" spans="1:13" ht="15.75">
      <c r="A24" s="35" t="s">
        <v>173</v>
      </c>
      <c r="B24" s="214">
        <f>transfers!C26</f>
        <v>753</v>
      </c>
      <c r="C24" s="133"/>
      <c r="D24" s="214">
        <f>transfers!D26</f>
        <v>301.2</v>
      </c>
      <c r="E24" s="133"/>
      <c r="F24" s="318">
        <f>transfers!E26</f>
        <v>150.6</v>
      </c>
      <c r="G24" s="260"/>
      <c r="H24" s="319"/>
      <c r="J24" s="573"/>
      <c r="K24" s="568"/>
      <c r="L24" s="568"/>
      <c r="M24" s="574"/>
    </row>
    <row r="25" spans="1:13" ht="16.5" thickBot="1">
      <c r="A25" s="35" t="s">
        <v>174</v>
      </c>
      <c r="B25" s="136">
        <f>SUM(B23-B24)</f>
        <v>2452</v>
      </c>
      <c r="C25" s="320"/>
      <c r="D25" s="136">
        <f>SUM(D23-D24)</f>
        <v>9170</v>
      </c>
      <c r="E25" s="320"/>
      <c r="F25" s="546">
        <f>SUM(F23-F24)</f>
        <v>13745</v>
      </c>
      <c r="G25" s="260"/>
      <c r="H25" s="319"/>
      <c r="J25" s="573" t="str">
        <f>CONCATENATE("",I3," Ad Valorem Tax Revenue:")</f>
        <v>2012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2011 Ad Valorem Tax Revenue:</v>
      </c>
      <c r="K26" s="568"/>
      <c r="L26" s="568"/>
      <c r="M26" s="582">
        <f>ROUND(F27*M18/1000,0)</f>
        <v>0</v>
      </c>
    </row>
    <row r="27" spans="1:13" ht="15.75">
      <c r="A27" s="35" t="s">
        <v>175</v>
      </c>
      <c r="B27" s="214">
        <f>inputPrYr!E45</f>
        <v>425824</v>
      </c>
      <c r="C27" s="230"/>
      <c r="D27" s="214">
        <f>inputOth!E24</f>
        <v>434483</v>
      </c>
      <c r="E27" s="230"/>
      <c r="F27" s="214">
        <f>inputOth!E7</f>
        <v>451912</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9</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F38" sqref="F38"/>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Furley Improvement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v>7</v>
      </c>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58">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Furley Improvement District</v>
      </c>
      <c r="C1" s="18"/>
      <c r="D1" s="18"/>
      <c r="E1" s="192"/>
    </row>
    <row r="2" spans="2:5" ht="15.75">
      <c r="B2" s="18" t="str">
        <f>inputPrYr!D4</f>
        <v>Sedgwick</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t="s">
        <v>18</v>
      </c>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view="pageBreakPreview" zoomScale="60" zoomScalePageLayoutView="0" workbookViewId="0" topLeftCell="A1">
      <selection activeCell="S42" sqref="S4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Furley Improvement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t="s">
        <v>18</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32">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Furley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451912</v>
      </c>
      <c r="E16" s="18"/>
      <c r="F16" s="54"/>
    </row>
    <row r="17" spans="1:6" ht="15.75">
      <c r="A17" s="18"/>
      <c r="B17" s="18"/>
      <c r="C17" s="18"/>
      <c r="D17" s="18"/>
      <c r="E17" s="18"/>
      <c r="F17" s="54"/>
    </row>
    <row r="18" spans="1:6" ht="15.75">
      <c r="A18" s="18"/>
      <c r="B18" s="665" t="s">
        <v>329</v>
      </c>
      <c r="C18" s="665"/>
      <c r="D18" s="335">
        <f>IF(D16&gt;0,(D16*0.001),"")</f>
        <v>451.91200000000003</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Furley Improvement District District with respect to financing the 2012 annual budget for Furley Improvement District , Sedgwick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Furley Improvement District district budget exceed the amount levied to finance the</v>
      </c>
      <c r="C9"/>
      <c r="D9"/>
      <c r="E9"/>
      <c r="F9"/>
      <c r="G9"/>
      <c r="H9"/>
    </row>
    <row r="10" spans="2:8" ht="15.75">
      <c r="B10" s="12" t="str">
        <f>CONCATENATE("",inputPrYr!D6-1," ",inputPrYr!D3," except with regard to revenue produced and attributable to the")</f>
        <v>2011 Furley Improvement District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Furley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Furley Improvement District that is our desire to notify the public of the possibility of increased property taxes to finance the 2012 Furley Improvement District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Furley Improvement District District Board, Sedgwick,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Furley Improvement District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746</v>
      </c>
      <c r="D19" s="37"/>
      <c r="E19" s="37">
        <v>0</v>
      </c>
    </row>
    <row r="20" spans="1:5" ht="15.75">
      <c r="A20" s="18"/>
      <c r="B20" s="35" t="s">
        <v>282</v>
      </c>
      <c r="C20" s="114" t="s">
        <v>160</v>
      </c>
      <c r="D20" s="37"/>
      <c r="E20" s="37">
        <v>0</v>
      </c>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12</v>
      </c>
      <c r="B25" s="18"/>
      <c r="C25" s="18"/>
      <c r="D25" s="18"/>
      <c r="E25" s="18"/>
    </row>
    <row r="26" spans="1:5" ht="15.75">
      <c r="A26" s="18"/>
      <c r="B26" s="36" t="s">
        <v>747</v>
      </c>
      <c r="C26" s="18"/>
      <c r="D26" s="37">
        <v>13745</v>
      </c>
      <c r="E26" s="18"/>
    </row>
    <row r="27" spans="1:5" ht="15.75">
      <c r="A27" s="18"/>
      <c r="B27" s="36" t="s">
        <v>748</v>
      </c>
      <c r="C27" s="18"/>
      <c r="D27" s="37">
        <v>301.2</v>
      </c>
      <c r="E27" s="18"/>
    </row>
    <row r="28" spans="1:5" ht="15.75">
      <c r="A28" s="42" t="str">
        <f>CONCATENATE("Total Expenditures for ",D6-1," Budgeted Year")</f>
        <v>Total Expenditures for 2011 Budgeted Year</v>
      </c>
      <c r="B28" s="42"/>
      <c r="C28" s="46"/>
      <c r="D28" s="47">
        <f>SUM(D19:D20,D22:D23,D26:D27)</f>
        <v>14046.2</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v>
      </c>
      <c r="E38" s="39"/>
    </row>
    <row r="39" spans="1:5" ht="15.75">
      <c r="A39" s="18"/>
      <c r="B39" s="38" t="str">
        <f>B20</f>
        <v>Debt Service</v>
      </c>
      <c r="C39" s="18"/>
      <c r="D39" s="49">
        <v>0</v>
      </c>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0</v>
      </c>
    </row>
    <row r="45" spans="1:5" ht="15.75">
      <c r="A45" s="51" t="str">
        <f>CONCATENATE("Assessed Valuation (",D6-2," budget column)")</f>
        <v>Assessed Valuation (2010 budget column)</v>
      </c>
      <c r="B45" s="29"/>
      <c r="C45" s="18"/>
      <c r="D45" s="18"/>
      <c r="E45" s="53">
        <v>425824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B50">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6">
      <selection activeCell="B48" sqref="B4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Furley Improvement District</v>
      </c>
      <c r="B1" s="62"/>
      <c r="C1" s="62"/>
      <c r="D1" s="62"/>
      <c r="E1" s="62">
        <f>inputPrYr!D6</f>
        <v>2012</v>
      </c>
    </row>
    <row r="2" spans="1:5" ht="15.75">
      <c r="A2" s="62" t="str">
        <f>inputPrYr!D4</f>
        <v>Sedgwick</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451912</v>
      </c>
    </row>
    <row r="8" spans="1:5" ht="15.75">
      <c r="A8" s="68" t="str">
        <f>CONCATENATE("New Improvements for ",inputPrYr!D6-1,"")</f>
        <v>New Improvements for 2011</v>
      </c>
      <c r="B8" s="69"/>
      <c r="C8" s="69"/>
      <c r="D8" s="69"/>
      <c r="E8" s="70">
        <v>17025</v>
      </c>
    </row>
    <row r="9" spans="1:5" ht="15.75">
      <c r="A9" s="68" t="str">
        <f>CONCATENATE("Personal Property excluding oil, gas, and mobile homes- ",inputPrYr!D6-1,"")</f>
        <v>Personal Property excluding oil, gas, and mobile homes- 2011</v>
      </c>
      <c r="B9" s="69"/>
      <c r="C9" s="69"/>
      <c r="D9" s="69"/>
      <c r="E9" s="70">
        <v>13080</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13384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v>
      </c>
      <c r="E16" s="74" t="s">
        <v>18</v>
      </c>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434483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0</v>
      </c>
    </row>
    <row r="28" spans="1:5" ht="15.75">
      <c r="A28" s="68" t="s">
        <v>15</v>
      </c>
      <c r="B28" s="69"/>
      <c r="C28" s="69"/>
      <c r="D28" s="86"/>
      <c r="E28" s="37">
        <v>0</v>
      </c>
    </row>
    <row r="29" spans="1:5" ht="15.75">
      <c r="A29" s="68" t="s">
        <v>176</v>
      </c>
      <c r="B29" s="69"/>
      <c r="C29" s="69"/>
      <c r="D29" s="86"/>
      <c r="E29" s="37">
        <v>0</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0</v>
      </c>
    </row>
    <row r="36" spans="1:5" ht="15.75">
      <c r="A36" s="88" t="s">
        <v>212</v>
      </c>
      <c r="B36" s="88"/>
      <c r="C36" s="71"/>
      <c r="D36" s="71"/>
      <c r="E36" s="413">
        <v>0</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Sewer Revenue</v>
      </c>
      <c r="B46" s="58">
        <v>9170</v>
      </c>
      <c r="C46" s="64"/>
      <c r="D46" s="64"/>
      <c r="E46" s="64"/>
    </row>
    <row r="47" spans="1:5" ht="15.75">
      <c r="A47" s="97" t="str">
        <f>inputPrYr!B27</f>
        <v>Specials/Bond &amp; Int</v>
      </c>
      <c r="B47" s="58">
        <v>753</v>
      </c>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762</v>
      </c>
      <c r="C5" s="370"/>
      <c r="D5" s="368" t="s">
        <v>740</v>
      </c>
      <c r="E5" s="366"/>
      <c r="F5" s="366"/>
    </row>
    <row r="6" spans="1:6" ht="15.75">
      <c r="A6" s="368"/>
      <c r="B6" s="371"/>
      <c r="C6" s="372"/>
      <c r="D6" s="368" t="s">
        <v>739</v>
      </c>
      <c r="E6" s="366"/>
      <c r="F6" s="366"/>
    </row>
    <row r="7" spans="1:6" ht="15.75">
      <c r="A7" s="368" t="s">
        <v>332</v>
      </c>
      <c r="B7" s="369" t="s">
        <v>759</v>
      </c>
      <c r="C7" s="373"/>
      <c r="D7" s="368"/>
      <c r="E7" s="366"/>
      <c r="F7" s="366"/>
    </row>
    <row r="8" spans="1:6" ht="15.75">
      <c r="A8" s="368"/>
      <c r="B8" s="368"/>
      <c r="C8" s="368"/>
      <c r="D8" s="368"/>
      <c r="E8" s="366"/>
      <c r="F8" s="366"/>
    </row>
    <row r="9" spans="1:6" ht="15.75">
      <c r="A9" s="368" t="s">
        <v>333</v>
      </c>
      <c r="B9" s="374" t="s">
        <v>760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4" sqref="D2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Sedgwick, State of Kansas</v>
      </c>
      <c r="B4" s="618"/>
      <c r="C4" s="618"/>
      <c r="D4" s="618"/>
      <c r="E4" s="618"/>
      <c r="F4" s="618"/>
      <c r="G4" s="618"/>
    </row>
    <row r="5" spans="1:7" ht="15.75">
      <c r="A5" s="100" t="s">
        <v>159</v>
      </c>
      <c r="B5" s="26"/>
      <c r="C5" s="26"/>
      <c r="D5" s="26"/>
      <c r="E5" s="26"/>
      <c r="F5" s="26"/>
      <c r="G5" s="26"/>
    </row>
    <row r="6" spans="1:7" ht="15.75">
      <c r="A6" s="598" t="str">
        <f>inputPrYr!D3</f>
        <v>Furley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19-2765</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f>IF(DebtService!C63&gt;0,DebtService!C63," ")</f>
        <v>7</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Sewer Revenue</v>
      </c>
      <c r="B27" s="69"/>
      <c r="C27" s="127"/>
      <c r="D27" s="123">
        <f>IF('Sewer_Spec B&amp;Int_'!C70&gt;0,'Sewer_Spec B&amp;Int_'!C70," ")</f>
        <v>8</v>
      </c>
      <c r="E27" s="47">
        <f>IF('Sewer_Spec B&amp;Int_'!$E$31&lt;&gt;0,'Sewer_Spec B&amp;Int_'!$E$31,"  ")</f>
        <v>13745</v>
      </c>
      <c r="F27" s="128"/>
      <c r="G27" s="125"/>
    </row>
    <row r="28" spans="1:7" ht="15.75">
      <c r="A28" s="129" t="str">
        <f>IF(inputPrYr!$B$27&gt;"  ",inputPrYr!$B$27,"  ")</f>
        <v>Specials/Bond &amp; Int</v>
      </c>
      <c r="B28" s="130"/>
      <c r="C28" s="127"/>
      <c r="D28" s="123">
        <f>IF('Sewer_Spec B&amp;Int_'!C70&gt;0,'Sewer_Spec B&amp;Int_'!C70," ")</f>
        <v>8</v>
      </c>
      <c r="E28" s="47">
        <f>IF('Sewer_Spec B&amp;Int_'!$E$64&lt;&gt;0,'Sewer_Spec B&amp;Int_'!$E$64,"  ")</f>
        <v>150.6</v>
      </c>
      <c r="F28" s="128"/>
      <c r="G28" s="125"/>
    </row>
    <row r="29" spans="1:7" ht="15.75">
      <c r="A29" s="129">
        <f>IF((inputPrYr!$B$30&gt;" "),(NonBud!$A$3),"")</f>
      </c>
      <c r="B29" s="130"/>
      <c r="C29" s="106"/>
      <c r="D29" s="123" t="str">
        <f>IF(NonBud!F33&gt;0,NonBud!F33,"")</f>
        <v> </v>
      </c>
      <c r="E29" s="131"/>
      <c r="F29" s="132"/>
      <c r="G29" s="133"/>
    </row>
    <row r="30" spans="1:7" ht="15.75">
      <c r="A30" s="134" t="s">
        <v>137</v>
      </c>
      <c r="B30" s="69"/>
      <c r="C30" s="119"/>
      <c r="D30" s="135" t="s">
        <v>28</v>
      </c>
      <c r="E30" s="414">
        <f>SUM(E23:E28)</f>
        <v>13895.6</v>
      </c>
      <c r="F30" s="415">
        <f>SUM(F23:F28)</f>
        <v>0</v>
      </c>
      <c r="G30" s="419">
        <f>IF(SUM(G23:G28)=0,"",SUM(G23:G28))</f>
      </c>
    </row>
    <row r="31" spans="1:7" ht="15.75">
      <c r="A31" s="122" t="s">
        <v>210</v>
      </c>
      <c r="B31" s="69"/>
      <c r="C31" s="119"/>
      <c r="D31" s="138">
        <f>summ!E41</f>
        <v>9</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K19" sqref="K19"/>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Furley Improvement District</v>
      </c>
      <c r="D1" s="18"/>
      <c r="E1" s="18"/>
      <c r="F1" s="18"/>
      <c r="G1" s="18"/>
      <c r="H1" s="18"/>
      <c r="I1" s="18"/>
      <c r="J1" s="18">
        <f>inputPrYr!D6</f>
        <v>2012</v>
      </c>
    </row>
    <row r="2" spans="1:10" ht="15.75" customHeight="1">
      <c r="A2" s="18"/>
      <c r="B2" s="18"/>
      <c r="C2" s="18" t="str">
        <f>inputPrYr!D4</f>
        <v>Sedgwick</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17025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13080</v>
      </c>
      <c r="F14" s="156"/>
      <c r="G14" s="39"/>
      <c r="H14" s="39"/>
      <c r="I14" s="159"/>
      <c r="J14" s="39"/>
    </row>
    <row r="15" spans="1:10" ht="15.75">
      <c r="A15" s="155"/>
      <c r="B15" s="18" t="s">
        <v>102</v>
      </c>
      <c r="C15" s="18" t="str">
        <f>CONCATENATE("Personal Property ",J1-2,"")</f>
        <v>Personal Property 2010</v>
      </c>
      <c r="D15" s="155" t="s">
        <v>98</v>
      </c>
      <c r="E15" s="43">
        <f>inputOth!E11</f>
        <v>13384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17025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451912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434887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0.03914810054106009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Furley Improvement District</v>
      </c>
      <c r="C1" s="18"/>
      <c r="D1" s="18"/>
      <c r="E1" s="18"/>
      <c r="F1" s="18"/>
      <c r="G1" s="18"/>
      <c r="H1" s="18"/>
      <c r="I1" s="165"/>
      <c r="J1" s="18"/>
    </row>
    <row r="2" spans="1:10" ht="15.75">
      <c r="A2" s="18"/>
      <c r="B2" s="18" t="str">
        <f>inputPrYr!D4</f>
        <v>Sedgwick</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1" sqref="F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Furley Improvement District</v>
      </c>
      <c r="B2" s="175"/>
      <c r="C2" s="18"/>
      <c r="D2" s="18"/>
      <c r="E2" s="165"/>
      <c r="F2" s="18"/>
    </row>
    <row r="3" spans="1:6" ht="15.75">
      <c r="A3" s="175" t="str">
        <f>inputPrYr!D4</f>
        <v>Sedgwick</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t="s">
        <v>749</v>
      </c>
      <c r="B10" s="182" t="s">
        <v>747</v>
      </c>
      <c r="C10" s="183">
        <v>753</v>
      </c>
      <c r="D10" s="183">
        <v>301.2</v>
      </c>
      <c r="E10" s="183">
        <v>150.6</v>
      </c>
      <c r="F10" s="182" t="s">
        <v>746</v>
      </c>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753</v>
      </c>
      <c r="D24" s="186">
        <f>SUM(D10:D23)</f>
        <v>301.2</v>
      </c>
      <c r="E24" s="186">
        <f>SUM(E10:E23)</f>
        <v>150.6</v>
      </c>
      <c r="F24" s="187"/>
      <c r="G24" s="63"/>
    </row>
    <row r="25" spans="1:7" ht="15.75">
      <c r="A25" s="32"/>
      <c r="B25" s="188" t="s">
        <v>570</v>
      </c>
      <c r="C25" s="189"/>
      <c r="D25" s="190"/>
      <c r="E25" s="190"/>
      <c r="F25" s="187"/>
      <c r="G25" s="63"/>
    </row>
    <row r="26" spans="1:7" ht="15.75">
      <c r="A26" s="32"/>
      <c r="B26" s="185" t="s">
        <v>171</v>
      </c>
      <c r="C26" s="186">
        <f>C24</f>
        <v>753</v>
      </c>
      <c r="D26" s="186">
        <f>SUM(D24-D25)</f>
        <v>301.2</v>
      </c>
      <c r="E26" s="186">
        <f>SUM(E24-E25)</f>
        <v>150.6</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2011-07-17T16:37:48Z</cp:lastPrinted>
  <dcterms:created xsi:type="dcterms:W3CDTF">1999-08-06T13:59:57Z</dcterms:created>
  <dcterms:modified xsi:type="dcterms:W3CDTF">2011-07-18T14:53:03Z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