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activeTab="4"/>
  </bookViews>
  <sheets>
    <sheet name="instructions" sheetId="1" r:id="rId1"/>
    <sheet name="inputPrYr" sheetId="2" r:id="rId2"/>
    <sheet name="inputOth" sheetId="3" r:id="rId3"/>
    <sheet name="cert" sheetId="4" r:id="rId4"/>
    <sheet name="Signed Cert" sheetId="5" r:id="rId5"/>
    <sheet name="computation" sheetId="6" r:id="rId6"/>
    <sheet name="mvalloc" sheetId="7" r:id="rId7"/>
    <sheet name="transfers" sheetId="8" r:id="rId8"/>
    <sheet name="debt" sheetId="9" r:id="rId9"/>
    <sheet name="gen" sheetId="10" r:id="rId10"/>
    <sheet name="DebtService" sheetId="11" r:id="rId11"/>
    <sheet name="levypage8" sheetId="12" r:id="rId12"/>
    <sheet name="nolevypage9" sheetId="13" r:id="rId13"/>
    <sheet name="NonBud" sheetId="14" r:id="rId14"/>
    <sheet name="summ" sheetId="15" r:id="rId15"/>
    <sheet name="Nhood" sheetId="16" r:id="rId16"/>
    <sheet name="Resolution" sheetId="17" r:id="rId17"/>
    <sheet name="legend" sheetId="18" r:id="rId18"/>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<sst xmlns="http://schemas.openxmlformats.org/spreadsheetml/2006/main" count="592" uniqueCount="367">
  <si>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</si>
  <si>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</si>
  <si>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</si>
  <si>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</si>
  <si>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</si>
  <si>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</si>
  <si>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</si>
  <si>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</si>
  <si>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</si>
  <si>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</si>
  <si>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</si>
  <si>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</si>
  <si>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</si>
  <si>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</si>
  <si>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</si>
  <si>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</si>
  <si>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</si>
  <si>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</si>
  <si>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</si>
  <si>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</si>
  <si>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</si>
  <si>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</si>
  <si>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</si>
  <si>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</si>
  <si>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</si>
  <si>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</si>
  <si>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</si>
  <si>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</si>
  <si>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</si>
  <si>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</si>
  <si>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</si>
  <si>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</si>
  <si>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</si>
  <si>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</si>
  <si>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</si>
  <si>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</si>
  <si>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</si>
  <si>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</si>
  <si>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</si>
  <si>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</si>
  <si>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</si>
  <si>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</si>
  <si>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</si>
  <si>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</si>
  <si>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</si>
  <si>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</si>
  <si>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</si>
  <si>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</si>
  <si>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</si>
  <si>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</si>
  <si>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</si>
  <si>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</si>
  <si>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</si>
  <si>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</si>
  <si>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</si>
  <si>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</si>
  <si>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</si>
  <si>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</si>
  <si>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</si>
  <si>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</si>
  <si>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</si>
  <si>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</si>
  <si>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</si>
  <si>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</si>
  <si>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Detailed budget information is available at</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</si>
  <si>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</si>
  <si>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</si>
  <si>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</si>
  <si>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</si>
  <si>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</si>
  <si>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</si>
  <si>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</si>
  <si>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</si>
  <si>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</si>
  <si>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</si>
  <si>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</si>
  <si>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</si>
  <si>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</si>
  <si>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</si>
  <si>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</si>
  <si>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</si>
  <si>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</si>
  <si>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</si>
  <si>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</si>
  <si>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</si>
  <si>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</si>
  <si>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</si>
  <si>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</si>
  <si>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</si>
  <si>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</si>
  <si>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</si>
  <si>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</si>
  <si>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</si>
  <si>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</si>
  <si>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</si>
  <si>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</si>
  <si>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</si>
  <si>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</si>
  <si>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</si>
  <si>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</si>
  <si>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</si>
  <si>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</si>
  <si>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</si>
  <si>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</si>
  <si>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</si>
  <si>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</si>
  <si>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</si>
  <si>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</si>
  <si>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</si>
  <si>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</si>
  <si>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</si>
  <si>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</si>
  <si>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</si>
  <si>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</si>
  <si>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</si>
  <si>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</si>
  <si>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</si>
  <si>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</si>
  <si>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</si>
  <si>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</si>
  <si>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</si>
  <si>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</si>
  <si>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</si>
  <si>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</si>
  <si>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</si>
  <si>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</si>
  <si>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</si>
  <si>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</si>
  <si>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</si>
  <si>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</si>
  <si>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</si>
  <si>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</si>
  <si>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</si>
  <si>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</si>
  <si>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</si>
  <si>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</si>
  <si>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</si>
  <si>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</si>
  <si>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</si>
  <si>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</si>
  <si>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</si>
  <si>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</si>
  <si>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</si>
  <si>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</si>
  <si>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</si>
  <si>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</si>
  <si>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</si>
  <si>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</si>
  <si>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</si>
  <si>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</si>
  <si>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</si>
  <si>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</si>
  <si>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</si>
  <si>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</si>
  <si>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</si>
  <si>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</si>
  <si>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</si>
  <si>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</si>
  <si>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</si>
  <si>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</si>
  <si>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</si>
  <si>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</si>
  <si>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</si>
  <si>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</si>
  <si>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</si>
  <si>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</si>
  <si>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</si>
  <si>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</si>
  <si>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</si>
  <si>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</si>
  <si>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</si>
  <si>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</si>
  <si>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</si>
  <si>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</si>
  <si>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</si>
  <si>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</si>
  <si>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</si>
  <si>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</si>
  <si>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</si>
  <si>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</si>
  <si>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</si>
  <si>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</si>
  <si>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</si>
  <si>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</si>
  <si>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</si>
  <si>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</si>
  <si>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</si>
  <si>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</si>
  <si>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</si>
  <si>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</si>
  <si>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</si>
  <si>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</si>
  <si>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</si>
  <si>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</si>
  <si>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</si>
  <si>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</si>
  <si>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</si>
  <si>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</si>
  <si>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</si>
  <si>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</si>
  <si>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</si>
  <si>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</si>
  <si>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</si>
  <si>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</si>
  <si>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</si>
  <si>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</si>
  <si>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</si>
  <si>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</si>
  <si>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</si>
  <si>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</si>
  <si>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</si>
  <si>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</si>
  <si>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</si>
  <si>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</si>
  <si>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</si>
  <si>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</si>
  <si>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</si>
  <si>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</si>
  <si>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</si>
  <si>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</si>
  <si>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</si>
  <si>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</si>
  <si>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</si>
  <si>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</si>
  <si>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</si>
  <si>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</si>
  <si>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</si>
  <si>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</si>
  <si>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</si>
  <si>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</si>
  <si>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</si>
  <si>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</si>
  <si>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</si>
  <si>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</si>
  <si>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</si>
  <si>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</si>
  <si>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</si>
  <si>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</si>
  <si>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</si>
  <si>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</si>
  <si>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</si>
  <si>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</si>
  <si>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</si>
  <si>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</si>
  <si>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</si>
  <si>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</si>
  <si>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</si>
  <si>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</si>
  <si>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</si>
  <si>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</si>
  <si>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</si>
  <si>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</si>
  <si>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</si>
  <si>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</si>
  <si>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</si>
  <si>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</si>
  <si>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</si>
  <si>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</si>
  <si>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</si>
  <si>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</si>
  <si>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</si>
  <si>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</si>
  <si>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</si>
  <si>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</si>
  <si>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</si>
  <si>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</si>
  <si>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</si>
  <si>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</si>
  <si>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</si>
  <si>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</si>
  <si>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</si>
  <si>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</si>
  <si>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</si>
  <si>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</si>
  <si>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</si>
  <si>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</si>
  <si>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</si>
  <si>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</si>
  <si>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</si>
  <si>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</si>
  <si>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</si>
  <si>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</si>
  <si>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</si>
  <si>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</si>
  <si>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</si>
  <si>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</si>
  <si>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</si>
  <si>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</si>
  <si>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</si>
  <si>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</si>
  <si>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</si>
  <si>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</si>
  <si>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</si>
  <si>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</si>
  <si>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</si>
  <si>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</si>
  <si>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</si>
  <si>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</si>
  <si>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</si>
  <si>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</si>
  <si>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</si>
  <si>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</si>
  <si>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</si>
  <si>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</si>
  <si>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</si>
  <si>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</si>
  <si>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</si>
  <si>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</si>
  <si>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</si>
  <si>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</si>
  <si>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</si>
  <si>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</si>
  <si>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</si>
  <si>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</si>
  <si>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</si>
  <si>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</si>
  <si>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</si>
  <si>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</si>
  <si>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</si>
  <si>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</si>
  <si>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</si>
  <si>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</si>
  <si>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</si>
  <si>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</si>
  <si>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</si>
  <si>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</si>
  <si>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</si>
  <si>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</si>
  <si>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</si>
  <si>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</si>
  <si>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</si>
  <si>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</si>
  <si>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</si>
  <si>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</si>
  <si>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</si>
  <si>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</si>
  <si>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</si>
  <si>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</si>
  <si>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</si>
  <si>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</si>
  <si>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</si>
  <si>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</si>
  <si>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</si>
  <si>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</si>
  <si>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</si>
  <si>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</si>
  <si>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</si>
  <si>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</si>
  <si>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</si>
  <si>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</si>
  <si>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</si>
  <si>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</si>
  <si>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</si>
  <si>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</si>
  <si>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</si>
  <si>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</si>
  <si>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</si>
  <si>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</si>
  <si>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</si>
  <si>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</si>
  <si>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9th day of August, 2011, at 9:15 a.m. at Montgomery County Judicial Lower Level, Commission Room, Independence for</t>
  </si>
  <si>
    <t>Harrisonville Cemetery District No. 3</t>
  </si>
  <si>
    <t>Mowing</t>
  </si>
  <si>
    <t>Sale of Lots</t>
  </si>
  <si>
    <t>Operations</t>
  </si>
  <si>
    <t>Supplies</t>
  </si>
  <si>
    <t>Repairs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</si>
</sst>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4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164"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 fontId="4" fillId="18" borderId="12" xfId="0" applyNumberFormat="1" applyFont="1" applyFill="1" applyBorder="1" applyAlignment="1" applyProtection="1">
      <alignment/>
      <protection locked="0"/>
    </xf>
    <xf numFmtId="0" fontId="4" fillId="18" borderId="0" xfId="0" applyFont="1" applyFill="1" applyAlignment="1" applyProtection="1">
      <alignment/>
      <protection locked="0"/>
    </xf>
    <xf numFmtId="37" fontId="4" fillId="18" borderId="10" xfId="0" applyNumberFormat="1" applyFont="1" applyFill="1" applyBorder="1" applyAlignment="1" applyProtection="1">
      <alignment/>
      <protection locked="0"/>
    </xf>
    <xf numFmtId="0" fontId="4" fillId="18" borderId="10" xfId="0" applyFont="1" applyFill="1" applyBorder="1" applyAlignment="1" applyProtection="1">
      <alignment horizontal="left"/>
      <protection locked="0"/>
    </xf>
    <xf numFmtId="0" fontId="4" fillId="18" borderId="10" xfId="0" applyFont="1" applyFill="1" applyBorder="1" applyAlignment="1" applyProtection="1">
      <alignment/>
      <protection locked="0"/>
    </xf>
    <xf numFmtId="0" fontId="4" fillId="18" borderId="0" xfId="0" applyFont="1" applyFill="1" applyAlignment="1" applyProtection="1">
      <alignment horizontal="centerContinuous"/>
      <protection locked="0"/>
    </xf>
    <xf numFmtId="37" fontId="4" fillId="18" borderId="0" xfId="0" applyNumberFormat="1" applyFont="1" applyFill="1" applyAlignment="1" applyProtection="1">
      <alignment horizontal="centerContinuous"/>
      <protection locked="0"/>
    </xf>
    <xf numFmtId="0" fontId="4" fillId="18" borderId="0" xfId="0" applyFont="1" applyFill="1" applyAlignment="1" applyProtection="1">
      <alignment horizontal="centerContinuous"/>
      <protection locked="0"/>
    </xf>
    <xf numFmtId="165" fontId="4" fillId="18" borderId="0" xfId="0" applyNumberFormat="1" applyFont="1" applyFill="1" applyAlignment="1" applyProtection="1">
      <alignment/>
      <protection locked="0"/>
    </xf>
    <xf numFmtId="2" fontId="4" fillId="18"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18" borderId="10" xfId="0" applyNumberFormat="1" applyFont="1" applyFill="1" applyBorder="1" applyAlignment="1" applyProtection="1">
      <alignment/>
      <protection locked="0"/>
    </xf>
    <xf numFmtId="37" fontId="4" fillId="18" borderId="12" xfId="0" applyNumberFormat="1" applyFont="1" applyFill="1" applyBorder="1" applyAlignment="1" applyProtection="1">
      <alignment/>
      <protection locked="0"/>
    </xf>
    <xf numFmtId="0" fontId="4" fillId="4" borderId="0" xfId="0" applyFont="1" applyFill="1" applyAlignment="1" applyProtection="1">
      <alignment/>
      <protection/>
    </xf>
    <xf numFmtId="37" fontId="4" fillId="4" borderId="0" xfId="0" applyNumberFormat="1" applyFont="1" applyFill="1" applyAlignment="1" applyProtection="1">
      <alignment horizontal="centerContinuous"/>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0" xfId="0" applyFont="1" applyFill="1" applyAlignment="1" applyProtection="1">
      <alignment horizontal="fill"/>
      <protection/>
    </xf>
    <xf numFmtId="0" fontId="4" fillId="4" borderId="11" xfId="0" applyFont="1" applyFill="1" applyBorder="1" applyAlignment="1" applyProtection="1">
      <alignment horizontal="fill"/>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protection/>
    </xf>
    <xf numFmtId="0" fontId="4" fillId="4" borderId="13" xfId="0" applyFont="1" applyFill="1" applyBorder="1" applyAlignment="1" applyProtection="1">
      <alignment horizontal="left"/>
      <protection/>
    </xf>
    <xf numFmtId="0" fontId="4" fillId="4" borderId="14"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6" xfId="0" applyFont="1" applyFill="1" applyBorder="1" applyAlignment="1" applyProtection="1">
      <alignment horizontal="fill"/>
      <protection/>
    </xf>
    <xf numFmtId="0" fontId="4" fillId="4" borderId="17" xfId="0" applyFont="1" applyFill="1" applyBorder="1" applyAlignment="1" applyProtection="1">
      <alignment horizontal="fill"/>
      <protection/>
    </xf>
    <xf numFmtId="0" fontId="4" fillId="4" borderId="18" xfId="0" applyFont="1" applyFill="1" applyBorder="1" applyAlignment="1" applyProtection="1">
      <alignment/>
      <protection/>
    </xf>
    <xf numFmtId="0" fontId="4" fillId="4" borderId="10" xfId="0" applyFont="1" applyFill="1" applyBorder="1" applyAlignment="1" applyProtection="1">
      <alignment/>
      <protection/>
    </xf>
    <xf numFmtId="0" fontId="4" fillId="4" borderId="19" xfId="0" applyFont="1" applyFill="1" applyBorder="1" applyAlignment="1" applyProtection="1">
      <alignment horizontal="left"/>
      <protection/>
    </xf>
    <xf numFmtId="3" fontId="4" fillId="4" borderId="10" xfId="0" applyNumberFormat="1" applyFont="1" applyFill="1" applyBorder="1" applyAlignment="1" applyProtection="1">
      <alignment/>
      <protection/>
    </xf>
    <xf numFmtId="0" fontId="4" fillId="4" borderId="19" xfId="0" applyFont="1" applyFill="1" applyBorder="1" applyAlignment="1" applyProtection="1">
      <alignment/>
      <protection/>
    </xf>
    <xf numFmtId="37" fontId="4" fillId="4" borderId="10" xfId="0" applyNumberFormat="1" applyFont="1" applyFill="1" applyBorder="1" applyAlignment="1" applyProtection="1">
      <alignment/>
      <protection/>
    </xf>
    <xf numFmtId="0" fontId="4" fillId="4" borderId="10" xfId="0" applyFont="1" applyFill="1" applyBorder="1" applyAlignment="1" applyProtection="1">
      <alignment horizontal="fill"/>
      <protection/>
    </xf>
    <xf numFmtId="0" fontId="4" fillId="4" borderId="20" xfId="0" applyFont="1" applyFill="1" applyBorder="1" applyAlignment="1" applyProtection="1">
      <alignment horizontal="left"/>
      <protection/>
    </xf>
    <xf numFmtId="0" fontId="4" fillId="4" borderId="21" xfId="0" applyFont="1" applyFill="1" applyBorder="1" applyAlignment="1" applyProtection="1">
      <alignment/>
      <protection/>
    </xf>
    <xf numFmtId="0" fontId="4" fillId="4" borderId="0" xfId="0" applyFont="1" applyFill="1" applyBorder="1" applyAlignment="1" applyProtection="1">
      <alignment/>
      <protection/>
    </xf>
    <xf numFmtId="0" fontId="4" fillId="4" borderId="22" xfId="0" applyFont="1" applyFill="1" applyBorder="1" applyAlignment="1" applyProtection="1">
      <alignment horizontal="left"/>
      <protection/>
    </xf>
    <xf numFmtId="0" fontId="4" fillId="4" borderId="14" xfId="0" applyFont="1" applyFill="1" applyBorder="1" applyAlignment="1" applyProtection="1">
      <alignment/>
      <protection/>
    </xf>
    <xf numFmtId="0" fontId="4" fillId="4" borderId="23" xfId="0" applyFont="1" applyFill="1" applyBorder="1" applyAlignment="1" applyProtection="1">
      <alignment/>
      <protection/>
    </xf>
    <xf numFmtId="0" fontId="4" fillId="4" borderId="17" xfId="0" applyFont="1" applyFill="1" applyBorder="1" applyAlignment="1" applyProtection="1">
      <alignment/>
      <protection/>
    </xf>
    <xf numFmtId="0" fontId="4" fillId="4" borderId="0" xfId="0" applyFont="1" applyFill="1" applyAlignment="1">
      <alignment/>
    </xf>
    <xf numFmtId="3" fontId="4" fillId="4" borderId="11" xfId="0" applyNumberFormat="1" applyFont="1" applyFill="1" applyBorder="1" applyAlignment="1" applyProtection="1">
      <alignment/>
      <protection/>
    </xf>
    <xf numFmtId="3" fontId="4" fillId="4" borderId="12" xfId="0" applyNumberFormat="1"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Alignment="1" applyProtection="1">
      <alignment horizontal="centerContinuous"/>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4" fillId="4" borderId="10" xfId="57" applyFont="1" applyFill="1" applyBorder="1" applyAlignment="1" applyProtection="1">
      <alignment horizontal="left"/>
      <protection locked="0"/>
    </xf>
    <xf numFmtId="0" fontId="4" fillId="4" borderId="20" xfId="57" applyFont="1" applyFill="1" applyBorder="1" applyProtection="1">
      <alignment/>
      <protection locked="0"/>
    </xf>
    <xf numFmtId="0" fontId="4" fillId="4" borderId="24" xfId="57" applyFont="1" applyFill="1" applyBorder="1" applyProtection="1">
      <alignment/>
      <protection locked="0"/>
    </xf>
    <xf numFmtId="37" fontId="5" fillId="4" borderId="10" xfId="57" applyNumberFormat="1" applyFont="1" applyFill="1" applyBorder="1" applyProtection="1">
      <alignment/>
      <protection/>
    </xf>
    <xf numFmtId="0" fontId="4" fillId="4" borderId="11" xfId="0" applyFont="1" applyFill="1" applyBorder="1" applyAlignment="1" applyProtection="1">
      <alignment horizontal="fill"/>
      <protection locked="0"/>
    </xf>
    <xf numFmtId="3" fontId="4" fillId="4" borderId="24" xfId="57" applyNumberFormat="1" applyFont="1" applyFill="1" applyBorder="1" applyProtection="1">
      <alignment/>
      <protection locked="0"/>
    </xf>
    <xf numFmtId="0" fontId="5" fillId="4" borderId="0" xfId="0" applyFont="1" applyFill="1" applyAlignment="1" applyProtection="1">
      <alignment/>
      <protection/>
    </xf>
    <xf numFmtId="0" fontId="4" fillId="4" borderId="10" xfId="0" applyFont="1" applyFill="1" applyBorder="1" applyAlignment="1" applyProtection="1">
      <alignment horizontal="left"/>
      <protection/>
    </xf>
    <xf numFmtId="165" fontId="4" fillId="4" borderId="0" xfId="0" applyNumberFormat="1" applyFont="1" applyFill="1" applyAlignment="1" applyProtection="1">
      <alignment/>
      <protection locked="0"/>
    </xf>
    <xf numFmtId="1" fontId="4" fillId="4" borderId="15" xfId="0" applyNumberFormat="1" applyFont="1" applyFill="1" applyBorder="1" applyAlignment="1" applyProtection="1">
      <alignment horizontal="center"/>
      <protection/>
    </xf>
    <xf numFmtId="37" fontId="4" fillId="4" borderId="15" xfId="0" applyNumberFormat="1" applyFont="1" applyFill="1" applyBorder="1" applyAlignment="1" applyProtection="1">
      <alignment horizontal="center"/>
      <protection/>
    </xf>
    <xf numFmtId="37"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37" fontId="4" fillId="4" borderId="0" xfId="0" applyNumberFormat="1" applyFont="1" applyFill="1" applyAlignment="1" applyProtection="1">
      <alignment horizontal="left"/>
      <protection/>
    </xf>
    <xf numFmtId="165" fontId="4" fillId="4" borderId="0" xfId="0" applyNumberFormat="1" applyFont="1" applyFill="1" applyAlignment="1" applyProtection="1">
      <alignment/>
      <protection/>
    </xf>
    <xf numFmtId="165" fontId="4" fillId="4" borderId="0" xfId="0" applyNumberFormat="1" applyFont="1" applyFill="1" applyAlignment="1" applyProtection="1" quotePrefix="1">
      <alignment horizontal="right"/>
      <protection/>
    </xf>
    <xf numFmtId="0" fontId="4" fillId="4" borderId="0" xfId="0" applyFont="1" applyFill="1" applyAlignment="1" applyProtection="1">
      <alignment horizontal="left"/>
      <protection locked="0"/>
    </xf>
    <xf numFmtId="0" fontId="4" fillId="4" borderId="16" xfId="0" applyFont="1" applyFill="1" applyBorder="1" applyAlignment="1" applyProtection="1">
      <alignment horizontal="center"/>
      <protection/>
    </xf>
    <xf numFmtId="37" fontId="4" fillId="4" borderId="11" xfId="0" applyNumberFormat="1" applyFont="1" applyFill="1" applyBorder="1" applyAlignment="1" applyProtection="1">
      <alignment/>
      <protection/>
    </xf>
    <xf numFmtId="166" fontId="4" fillId="4" borderId="0" xfId="0" applyNumberFormat="1" applyFont="1" applyFill="1" applyBorder="1" applyAlignment="1" applyProtection="1">
      <alignment/>
      <protection/>
    </xf>
    <xf numFmtId="168" fontId="4" fillId="4" borderId="0" xfId="0" applyNumberFormat="1" applyFont="1" applyFill="1" applyBorder="1" applyAlignment="1" applyProtection="1">
      <alignment/>
      <protection/>
    </xf>
    <xf numFmtId="37" fontId="4" fillId="4" borderId="0" xfId="0" applyNumberFormat="1" applyFont="1" applyFill="1" applyAlignment="1" applyProtection="1">
      <alignment horizontal="centerContinuous"/>
      <protection locked="0"/>
    </xf>
    <xf numFmtId="0" fontId="4" fillId="4" borderId="0" xfId="0" applyFont="1" applyFill="1" applyAlignment="1">
      <alignment horizontal="centerContinuous"/>
    </xf>
    <xf numFmtId="164" fontId="4" fillId="4" borderId="10" xfId="0" applyNumberFormat="1" applyFont="1" applyFill="1" applyBorder="1" applyAlignment="1" applyProtection="1">
      <alignment/>
      <protection/>
    </xf>
    <xf numFmtId="0" fontId="4" fillId="4" borderId="10" xfId="0" applyFont="1" applyFill="1" applyBorder="1" applyAlignment="1" applyProtection="1">
      <alignment/>
      <protection locked="0"/>
    </xf>
    <xf numFmtId="37" fontId="5" fillId="4" borderId="0" xfId="0" applyNumberFormat="1" applyFont="1" applyFill="1" applyAlignment="1" applyProtection="1">
      <alignment horizontal="centerContinuous" vertical="justify"/>
      <protection/>
    </xf>
    <xf numFmtId="0" fontId="4" fillId="4" borderId="0" xfId="0" applyFont="1" applyFill="1" applyAlignment="1" applyProtection="1">
      <alignment horizontal="centerContinuous" vertical="justify"/>
      <protection/>
    </xf>
    <xf numFmtId="0" fontId="4" fillId="4" borderId="0" xfId="0" applyFont="1" applyFill="1" applyAlignment="1" applyProtection="1">
      <alignment horizontal="center"/>
      <protection/>
    </xf>
    <xf numFmtId="164" fontId="4" fillId="4" borderId="0" xfId="0" applyNumberFormat="1" applyFont="1" applyFill="1" applyAlignment="1" applyProtection="1">
      <alignment/>
      <protection/>
    </xf>
    <xf numFmtId="37" fontId="4" fillId="4" borderId="0" xfId="0" applyNumberFormat="1" applyFont="1" applyFill="1" applyBorder="1" applyAlignment="1" applyProtection="1">
      <alignment horizontal="left"/>
      <protection/>
    </xf>
    <xf numFmtId="0" fontId="4" fillId="4" borderId="0" xfId="0" applyFont="1" applyFill="1" applyAlignment="1" applyProtection="1">
      <alignment wrapText="1"/>
      <protection/>
    </xf>
    <xf numFmtId="0" fontId="4" fillId="18" borderId="0" xfId="0" applyFont="1" applyFill="1" applyAlignment="1" applyProtection="1">
      <alignment/>
      <protection/>
    </xf>
    <xf numFmtId="0" fontId="4" fillId="18" borderId="11"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37" fontId="5" fillId="21" borderId="0" xfId="0" applyNumberFormat="1" applyFont="1" applyFill="1" applyAlignment="1" applyProtection="1">
      <alignment horizontal="left"/>
      <protection/>
    </xf>
    <xf numFmtId="0" fontId="4" fillId="21" borderId="0" xfId="0" applyFont="1" applyFill="1" applyAlignment="1" applyProtection="1">
      <alignment/>
      <protection/>
    </xf>
    <xf numFmtId="37" fontId="5" fillId="4" borderId="0" xfId="0" applyNumberFormat="1" applyFont="1" applyFill="1" applyAlignment="1" applyProtection="1">
      <alignment horizontal="centerContinuous"/>
      <protection/>
    </xf>
    <xf numFmtId="0" fontId="0" fillId="0" borderId="0" xfId="0" applyAlignment="1">
      <alignment vertical="top"/>
    </xf>
    <xf numFmtId="0" fontId="4" fillId="4" borderId="19" xfId="0" applyFont="1" applyFill="1" applyBorder="1" applyAlignment="1" applyProtection="1">
      <alignment horizontal="fill"/>
      <protection/>
    </xf>
    <xf numFmtId="0" fontId="4" fillId="4" borderId="0" xfId="0" applyFont="1" applyFill="1" applyBorder="1" applyAlignment="1" applyProtection="1">
      <alignment horizontal="left"/>
      <protection/>
    </xf>
    <xf numFmtId="0" fontId="5" fillId="4" borderId="19" xfId="0" applyFont="1" applyFill="1" applyBorder="1" applyAlignment="1" applyProtection="1">
      <alignment horizontal="left"/>
      <protection/>
    </xf>
    <xf numFmtId="172" fontId="4" fillId="18" borderId="10" xfId="0" applyNumberFormat="1" applyFont="1" applyFill="1" applyBorder="1" applyAlignment="1" applyProtection="1">
      <alignment horizontal="left"/>
      <protection locked="0"/>
    </xf>
    <xf numFmtId="172" fontId="4" fillId="18" borderId="10" xfId="0" applyNumberFormat="1" applyFont="1" applyFill="1" applyBorder="1" applyAlignment="1" applyProtection="1">
      <alignment/>
      <protection locked="0"/>
    </xf>
    <xf numFmtId="173" fontId="4" fillId="18" borderId="10" xfId="0" applyNumberFormat="1" applyFont="1" applyFill="1" applyBorder="1" applyAlignment="1" applyProtection="1">
      <alignment horizontal="left"/>
      <protection locked="0"/>
    </xf>
    <xf numFmtId="173" fontId="4" fillId="18" borderId="10" xfId="0" applyNumberFormat="1" applyFont="1" applyFill="1" applyBorder="1" applyAlignment="1" applyProtection="1">
      <alignment/>
      <protection locked="0"/>
    </xf>
    <xf numFmtId="0" fontId="4" fillId="4" borderId="0" xfId="58" applyFont="1" applyFill="1" applyAlignment="1" applyProtection="1">
      <alignment horizontal="centerContinuous"/>
      <protection/>
    </xf>
    <xf numFmtId="0" fontId="4" fillId="4" borderId="0" xfId="58" applyFont="1" applyFill="1" applyProtection="1">
      <alignment/>
      <protection/>
    </xf>
    <xf numFmtId="0" fontId="4" fillId="4" borderId="22" xfId="58" applyFont="1" applyFill="1" applyBorder="1" applyProtection="1">
      <alignment/>
      <protection/>
    </xf>
    <xf numFmtId="0" fontId="4" fillId="4" borderId="0" xfId="58" applyFont="1" applyFill="1" applyBorder="1" applyProtection="1">
      <alignment/>
      <protection/>
    </xf>
    <xf numFmtId="0" fontId="4" fillId="4" borderId="0" xfId="57" applyFont="1" applyFill="1" applyProtection="1">
      <alignment/>
      <protection/>
    </xf>
    <xf numFmtId="0" fontId="0" fillId="4" borderId="0" xfId="0" applyFill="1" applyAlignment="1" applyProtection="1">
      <alignment/>
      <protection/>
    </xf>
    <xf numFmtId="0" fontId="5" fillId="19" borderId="0" xfId="0" applyFont="1" applyFill="1" applyAlignment="1" applyProtection="1">
      <alignment horizontal="left"/>
      <protection/>
    </xf>
    <xf numFmtId="171" fontId="4" fillId="18" borderId="10" xfId="42" applyNumberFormat="1" applyFont="1" applyFill="1" applyBorder="1" applyAlignment="1" applyProtection="1">
      <alignment/>
      <protection locked="0"/>
    </xf>
    <xf numFmtId="0" fontId="8" fillId="19"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4" borderId="10" xfId="0" applyFont="1" applyFill="1" applyBorder="1" applyAlignment="1" applyProtection="1">
      <alignment horizontal="center"/>
      <protection/>
    </xf>
    <xf numFmtId="3" fontId="4" fillId="4" borderId="10" xfId="0" applyNumberFormat="1" applyFont="1" applyFill="1" applyBorder="1" applyAlignment="1" applyProtection="1">
      <alignment horizontal="center"/>
      <protection/>
    </xf>
    <xf numFmtId="0" fontId="4" fillId="4" borderId="0" xfId="0" applyNumberFormat="1" applyFont="1" applyFill="1" applyAlignment="1" applyProtection="1">
      <alignment horizontal="right"/>
      <protection/>
    </xf>
    <xf numFmtId="0" fontId="5" fillId="4" borderId="0" xfId="0" applyFont="1" applyFill="1" applyAlignment="1" applyProtection="1">
      <alignment horizontal="center"/>
      <protection/>
    </xf>
    <xf numFmtId="37" fontId="4" fillId="4" borderId="0" xfId="0" applyNumberFormat="1" applyFont="1" applyFill="1" applyAlignment="1">
      <alignment/>
    </xf>
    <xf numFmtId="0" fontId="5" fillId="4" borderId="11" xfId="0" applyFont="1" applyFill="1" applyBorder="1" applyAlignment="1" applyProtection="1">
      <alignment horizontal="center"/>
      <protection/>
    </xf>
    <xf numFmtId="0" fontId="5" fillId="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18" borderId="16" xfId="0" applyFont="1" applyFill="1" applyBorder="1" applyAlignment="1" applyProtection="1">
      <alignment/>
      <protection locked="0"/>
    </xf>
    <xf numFmtId="0" fontId="6" fillId="18" borderId="10" xfId="0" applyFont="1" applyFill="1" applyBorder="1" applyAlignment="1" applyProtection="1">
      <alignment/>
      <protection locked="0"/>
    </xf>
    <xf numFmtId="37" fontId="4" fillId="4" borderId="19" xfId="0" applyNumberFormat="1" applyFont="1" applyFill="1" applyBorder="1" applyAlignment="1" applyProtection="1">
      <alignment horizontal="left"/>
      <protection/>
    </xf>
    <xf numFmtId="165" fontId="4" fillId="4" borderId="0" xfId="0" applyNumberFormat="1" applyFont="1" applyFill="1" applyBorder="1" applyAlignment="1" applyProtection="1">
      <alignment/>
      <protection/>
    </xf>
    <xf numFmtId="171" fontId="4" fillId="4" borderId="0" xfId="42" applyNumberFormat="1" applyFont="1" applyFill="1" applyBorder="1" applyAlignment="1" applyProtection="1">
      <alignment/>
      <protection locked="0"/>
    </xf>
    <xf numFmtId="0" fontId="4" fillId="18" borderId="0" xfId="0" applyFont="1" applyFill="1" applyBorder="1" applyAlignment="1" applyProtection="1">
      <alignment/>
      <protection locked="0"/>
    </xf>
    <xf numFmtId="0" fontId="4" fillId="4" borderId="14" xfId="0" applyFont="1" applyFill="1" applyBorder="1" applyAlignment="1" applyProtection="1">
      <alignment horizontal="fill"/>
      <protection/>
    </xf>
    <xf numFmtId="0" fontId="4" fillId="18" borderId="11" xfId="0" applyFont="1" applyFill="1" applyBorder="1" applyAlignment="1" applyProtection="1">
      <alignment horizontal="left"/>
      <protection locked="0"/>
    </xf>
    <xf numFmtId="0" fontId="4" fillId="18" borderId="11" xfId="0" applyFont="1" applyFill="1" applyBorder="1" applyAlignment="1" applyProtection="1">
      <alignment/>
      <protection locked="0"/>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0" xfId="0" applyFont="1" applyFill="1" applyAlignment="1" applyProtection="1">
      <alignment horizontal="center"/>
      <protection locked="0"/>
    </xf>
    <xf numFmtId="0" fontId="4" fillId="4" borderId="0" xfId="0" applyFont="1" applyFill="1" applyBorder="1" applyAlignment="1" applyProtection="1">
      <alignment horizontal="left"/>
      <protection locked="0"/>
    </xf>
    <xf numFmtId="0" fontId="5" fillId="21" borderId="0" xfId="0" applyFont="1" applyFill="1" applyAlignment="1" applyProtection="1">
      <alignment/>
      <protection/>
    </xf>
    <xf numFmtId="37" fontId="4" fillId="21" borderId="0" xfId="0" applyNumberFormat="1" applyFont="1" applyFill="1" applyAlignment="1" applyProtection="1">
      <alignment horizontal="left"/>
      <protection/>
    </xf>
    <xf numFmtId="0" fontId="0" fillId="4" borderId="0" xfId="0" applyFill="1" applyAlignment="1">
      <alignment/>
    </xf>
    <xf numFmtId="0" fontId="4" fillId="4" borderId="11" xfId="0" applyFont="1" applyFill="1" applyBorder="1" applyAlignment="1" applyProtection="1">
      <alignment horizontal="center"/>
      <protection/>
    </xf>
    <xf numFmtId="0" fontId="4" fillId="4" borderId="17"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0" fontId="4" fillId="4" borderId="18" xfId="0" applyFont="1" applyFill="1" applyBorder="1" applyAlignment="1" applyProtection="1">
      <alignment/>
      <protection locked="0"/>
    </xf>
    <xf numFmtId="0" fontId="4" fillId="4" borderId="12" xfId="0" applyFont="1" applyFill="1" applyBorder="1" applyAlignment="1" applyProtection="1">
      <alignment/>
      <protection locked="0"/>
    </xf>
    <xf numFmtId="164" fontId="4" fillId="4" borderId="0" xfId="0" applyNumberFormat="1" applyFont="1" applyFill="1" applyBorder="1" applyAlignment="1" applyProtection="1">
      <alignment/>
      <protection/>
    </xf>
    <xf numFmtId="0" fontId="4" fillId="4" borderId="17" xfId="0" applyFont="1" applyFill="1" applyBorder="1" applyAlignment="1" applyProtection="1">
      <alignment horizontal="fill" wrapText="1"/>
      <protection/>
    </xf>
    <xf numFmtId="1" fontId="4" fillId="4" borderId="0" xfId="0" applyNumberFormat="1" applyFont="1" applyFill="1" applyBorder="1" applyAlignment="1" applyProtection="1">
      <alignment horizontal="right"/>
      <protection/>
    </xf>
    <xf numFmtId="37" fontId="4" fillId="4" borderId="0" xfId="0" applyNumberFormat="1" applyFont="1" applyFill="1" applyAlignment="1" applyProtection="1" quotePrefix="1">
      <alignment horizontal="right"/>
      <protection/>
    </xf>
    <xf numFmtId="37" fontId="4" fillId="4" borderId="0" xfId="0" applyNumberFormat="1" applyFont="1" applyFill="1" applyAlignment="1" applyProtection="1">
      <alignment horizontal="fill"/>
      <protection/>
    </xf>
    <xf numFmtId="1" fontId="4" fillId="4" borderId="16" xfId="0" applyNumberFormat="1" applyFont="1" applyFill="1" applyBorder="1" applyAlignment="1" applyProtection="1">
      <alignment horizontal="center"/>
      <protection/>
    </xf>
    <xf numFmtId="3" fontId="4" fillId="18" borderId="10" xfId="0" applyNumberFormat="1" applyFont="1" applyFill="1" applyBorder="1" applyAlignment="1" applyProtection="1">
      <alignment horizontal="right"/>
      <protection locked="0"/>
    </xf>
    <xf numFmtId="3" fontId="4" fillId="4" borderId="10" xfId="42"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fill"/>
      <protection/>
    </xf>
    <xf numFmtId="3" fontId="4" fillId="18" borderId="10" xfId="0" applyNumberFormat="1" applyFont="1" applyFill="1" applyBorder="1" applyAlignment="1" applyProtection="1">
      <alignment horizontal="right"/>
      <protection locked="0"/>
    </xf>
    <xf numFmtId="37" fontId="5" fillId="4" borderId="19" xfId="0" applyNumberFormat="1" applyFont="1" applyFill="1" applyBorder="1" applyAlignment="1" applyProtection="1">
      <alignment horizontal="left"/>
      <protection/>
    </xf>
    <xf numFmtId="0" fontId="4" fillId="18" borderId="0" xfId="0" applyFont="1" applyFill="1" applyAlignment="1" applyProtection="1">
      <alignment horizontal="left"/>
      <protection locked="0"/>
    </xf>
    <xf numFmtId="0" fontId="4" fillId="0" borderId="0" xfId="0" applyFont="1" applyFill="1" applyAlignment="1" applyProtection="1">
      <alignment/>
      <protection locked="0"/>
    </xf>
    <xf numFmtId="0" fontId="4" fillId="4" borderId="16" xfId="0" applyNumberFormat="1"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6"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37" fontId="5" fillId="4" borderId="10"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64" fontId="4" fillId="4" borderId="13" xfId="0" applyNumberFormat="1" applyFont="1" applyFill="1" applyBorder="1" applyAlignment="1" applyProtection="1">
      <alignment/>
      <protection/>
    </xf>
    <xf numFmtId="3" fontId="4" fillId="4" borderId="1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locked="0"/>
    </xf>
    <xf numFmtId="0" fontId="16" fillId="4" borderId="0" xfId="0" applyFont="1" applyFill="1" applyBorder="1" applyAlignment="1" applyProtection="1">
      <alignment horizontal="center"/>
      <protection/>
    </xf>
    <xf numFmtId="37" fontId="4" fillId="4" borderId="11" xfId="0" applyNumberFormat="1" applyFont="1" applyFill="1" applyBorder="1" applyAlignment="1" applyProtection="1">
      <alignment horizontal="left"/>
      <protection/>
    </xf>
    <xf numFmtId="37" fontId="4" fillId="4" borderId="12" xfId="0" applyNumberFormat="1" applyFont="1" applyFill="1" applyBorder="1" applyAlignment="1" applyProtection="1">
      <alignment horizontal="left"/>
      <protection/>
    </xf>
    <xf numFmtId="0" fontId="4" fillId="4" borderId="12" xfId="0" applyFont="1" applyFill="1" applyBorder="1" applyAlignment="1" applyProtection="1">
      <alignment/>
      <protection/>
    </xf>
    <xf numFmtId="0" fontId="0" fillId="4" borderId="11" xfId="0" applyFill="1" applyBorder="1" applyAlignment="1" applyProtection="1">
      <alignment/>
      <protection/>
    </xf>
    <xf numFmtId="3" fontId="4" fillId="21" borderId="0" xfId="0" applyNumberFormat="1" applyFont="1" applyFill="1" applyAlignment="1" applyProtection="1">
      <alignment/>
      <protection/>
    </xf>
    <xf numFmtId="3" fontId="4" fillId="4" borderId="17"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5" fillId="4" borderId="0" xfId="0" applyNumberFormat="1" applyFont="1" applyFill="1" applyAlignment="1" applyProtection="1">
      <alignment horizontal="left"/>
      <protection/>
    </xf>
    <xf numFmtId="182" fontId="4" fillId="18" borderId="10" xfId="0" applyNumberFormat="1" applyFont="1" applyFill="1" applyBorder="1" applyAlignment="1" applyProtection="1">
      <alignment/>
      <protection locked="0"/>
    </xf>
    <xf numFmtId="181" fontId="4" fillId="18" borderId="10" xfId="0" applyNumberFormat="1" applyFont="1" applyFill="1" applyBorder="1" applyAlignment="1" applyProtection="1">
      <alignment/>
      <protection locked="0"/>
    </xf>
    <xf numFmtId="37" fontId="4" fillId="14" borderId="0" xfId="0" applyNumberFormat="1" applyFont="1" applyFill="1" applyBorder="1" applyAlignment="1" applyProtection="1">
      <alignment horizontal="left"/>
      <protection/>
    </xf>
    <xf numFmtId="0" fontId="4" fillId="14" borderId="0" xfId="0" applyFont="1" applyFill="1" applyBorder="1" applyAlignment="1" applyProtection="1">
      <alignment/>
      <protection/>
    </xf>
    <xf numFmtId="181" fontId="4" fillId="14" borderId="0" xfId="0" applyNumberFormat="1" applyFont="1" applyFill="1" applyBorder="1" applyAlignment="1" applyProtection="1">
      <alignment/>
      <protection locked="0"/>
    </xf>
    <xf numFmtId="0" fontId="7" fillId="0" borderId="0" xfId="59" applyFont="1" applyAlignment="1">
      <alignment horizontal="center"/>
      <protection/>
    </xf>
    <xf numFmtId="0" fontId="4" fillId="19" borderId="0" xfId="0" applyFont="1" applyFill="1" applyAlignment="1">
      <alignment wrapText="1"/>
    </xf>
    <xf numFmtId="171" fontId="4" fillId="18" borderId="10" xfId="42" applyNumberFormat="1" applyFont="1" applyFill="1" applyBorder="1" applyAlignment="1" applyProtection="1">
      <alignment/>
      <protection locked="0"/>
    </xf>
    <xf numFmtId="171" fontId="4" fillId="18" borderId="16" xfId="42" applyNumberFormat="1" applyFont="1" applyFill="1" applyBorder="1" applyAlignment="1" applyProtection="1">
      <alignment/>
      <protection locked="0"/>
    </xf>
    <xf numFmtId="0" fontId="4" fillId="4" borderId="10" xfId="0" applyFont="1" applyFill="1" applyBorder="1" applyAlignment="1" applyProtection="1">
      <alignment horizontal="right"/>
      <protection/>
    </xf>
    <xf numFmtId="0" fontId="4" fillId="18" borderId="10" xfId="0" applyFont="1" applyFill="1" applyBorder="1" applyAlignment="1" applyProtection="1">
      <alignment horizontal="right"/>
      <protection locked="0"/>
    </xf>
    <xf numFmtId="0" fontId="4" fillId="21" borderId="11" xfId="0" applyFont="1" applyFill="1" applyBorder="1" applyAlignment="1" applyProtection="1">
      <alignment/>
      <protection/>
    </xf>
    <xf numFmtId="0" fontId="4" fillId="21" borderId="12" xfId="0" applyFont="1" applyFill="1" applyBorder="1" applyAlignment="1" applyProtection="1">
      <alignment/>
      <protection/>
    </xf>
    <xf numFmtId="172" fontId="4" fillId="4" borderId="10" xfId="0" applyNumberFormat="1" applyFont="1" applyFill="1" applyBorder="1" applyAlignment="1" applyProtection="1">
      <alignment/>
      <protection locked="0"/>
    </xf>
    <xf numFmtId="2" fontId="4" fillId="4"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horizontal="center"/>
      <protection locked="0"/>
    </xf>
    <xf numFmtId="0" fontId="5" fillId="4" borderId="0" xfId="0" applyFont="1" applyFill="1" applyAlignment="1" applyProtection="1">
      <alignment horizontal="center" wrapText="1"/>
      <protection/>
    </xf>
    <xf numFmtId="0" fontId="4" fillId="4" borderId="0" xfId="0" applyFont="1" applyFill="1" applyAlignment="1" applyProtection="1" quotePrefix="1">
      <alignment/>
      <protection/>
    </xf>
    <xf numFmtId="3" fontId="4" fillId="4" borderId="0" xfId="0" applyNumberFormat="1" applyFont="1" applyFill="1" applyAlignment="1" applyProtection="1" quotePrefix="1">
      <alignment/>
      <protection/>
    </xf>
    <xf numFmtId="3" fontId="4" fillId="4" borderId="0" xfId="0" applyNumberFormat="1" applyFont="1" applyFill="1" applyBorder="1" applyAlignment="1" applyProtection="1">
      <alignment/>
      <protection/>
    </xf>
    <xf numFmtId="3" fontId="4" fillId="4" borderId="24" xfId="0" applyNumberFormat="1" applyFont="1" applyFill="1" applyBorder="1" applyAlignment="1" applyProtection="1">
      <alignment/>
      <protection/>
    </xf>
    <xf numFmtId="169" fontId="4" fillId="4" borderId="11" xfId="0" applyNumberFormat="1" applyFont="1" applyFill="1" applyBorder="1" applyAlignment="1" applyProtection="1">
      <alignment/>
      <protection/>
    </xf>
    <xf numFmtId="0" fontId="4" fillId="4" borderId="0" xfId="0" applyFont="1" applyFill="1" applyBorder="1" applyAlignment="1" applyProtection="1" quotePrefix="1">
      <alignment/>
      <protection/>
    </xf>
    <xf numFmtId="3" fontId="4" fillId="4" borderId="25" xfId="0" applyNumberFormat="1" applyFont="1" applyFill="1" applyBorder="1" applyAlignment="1" applyProtection="1">
      <alignment/>
      <protection/>
    </xf>
    <xf numFmtId="0" fontId="4" fillId="4" borderId="11" xfId="42" applyNumberFormat="1" applyFont="1" applyFill="1" applyBorder="1" applyAlignment="1" applyProtection="1">
      <alignment/>
      <protection/>
    </xf>
    <xf numFmtId="172" fontId="4" fillId="4" borderId="10" xfId="0" applyNumberFormat="1" applyFont="1" applyFill="1" applyBorder="1" applyAlignment="1" applyProtection="1">
      <alignment/>
      <protection/>
    </xf>
    <xf numFmtId="2" fontId="4" fillId="4" borderId="10" xfId="0" applyNumberFormat="1" applyFont="1" applyFill="1" applyBorder="1" applyAlignment="1" applyProtection="1">
      <alignment/>
      <protection/>
    </xf>
    <xf numFmtId="37" fontId="4" fillId="4" borderId="10" xfId="0" applyNumberFormat="1" applyFont="1" applyFill="1" applyBorder="1" applyAlignment="1" applyProtection="1">
      <alignment/>
      <protection/>
    </xf>
    <xf numFmtId="173" fontId="4" fillId="4" borderId="10" xfId="0" applyNumberFormat="1" applyFont="1" applyFill="1" applyBorder="1" applyAlignment="1" applyProtection="1">
      <alignment/>
      <protection/>
    </xf>
    <xf numFmtId="0" fontId="4" fillId="4" borderId="10" xfId="57" applyFont="1" applyFill="1" applyBorder="1" applyAlignment="1" applyProtection="1">
      <alignment horizontal="left"/>
      <protection/>
    </xf>
    <xf numFmtId="0" fontId="4" fillId="4" borderId="20" xfId="57" applyFont="1" applyFill="1" applyBorder="1" applyProtection="1">
      <alignment/>
      <protection/>
    </xf>
    <xf numFmtId="0" fontId="4" fillId="4" borderId="24" xfId="57" applyFont="1" applyFill="1" applyBorder="1" applyProtection="1">
      <alignment/>
      <protection/>
    </xf>
    <xf numFmtId="3" fontId="4" fillId="4" borderId="21" xfId="57" applyNumberFormat="1" applyFont="1" applyFill="1" applyBorder="1" applyProtection="1">
      <alignment/>
      <protection/>
    </xf>
    <xf numFmtId="0" fontId="4" fillId="4" borderId="21" xfId="57" applyFont="1" applyFill="1" applyBorder="1" applyProtection="1">
      <alignment/>
      <protection/>
    </xf>
    <xf numFmtId="0" fontId="5" fillId="4" borderId="0" xfId="58" applyFont="1" applyFill="1" applyAlignment="1" applyProtection="1">
      <alignment horizontal="centerContinuous"/>
      <protection/>
    </xf>
    <xf numFmtId="0" fontId="4" fillId="4" borderId="15" xfId="0" applyFont="1" applyFill="1" applyBorder="1" applyAlignment="1" applyProtection="1">
      <alignment/>
      <protection/>
    </xf>
    <xf numFmtId="0" fontId="4" fillId="4" borderId="13" xfId="0" applyFont="1" applyFill="1" applyBorder="1" applyAlignment="1" applyProtection="1">
      <alignment/>
      <protection/>
    </xf>
    <xf numFmtId="0" fontId="4"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14" fontId="4" fillId="4" borderId="16" xfId="0" applyNumberFormat="1" applyFont="1" applyFill="1" applyBorder="1" applyAlignment="1" applyProtection="1" quotePrefix="1">
      <alignment horizontal="center"/>
      <protection/>
    </xf>
    <xf numFmtId="0" fontId="4" fillId="4" borderId="0" xfId="57" applyFont="1" applyFill="1" applyAlignment="1" applyProtection="1">
      <alignment horizontal="centerContinuous"/>
      <protection/>
    </xf>
    <xf numFmtId="0" fontId="4" fillId="4" borderId="20" xfId="0" applyFont="1" applyFill="1" applyBorder="1" applyAlignment="1" applyProtection="1">
      <alignment horizontal="centerContinuous"/>
      <protection/>
    </xf>
    <xf numFmtId="0" fontId="4" fillId="4" borderId="21" xfId="0" applyFont="1" applyFill="1" applyBorder="1" applyAlignment="1" applyProtection="1">
      <alignment horizontal="centerContinuous"/>
      <protection/>
    </xf>
    <xf numFmtId="0" fontId="4" fillId="4" borderId="23" xfId="0" applyFont="1" applyFill="1" applyBorder="1" applyAlignment="1" applyProtection="1">
      <alignment horizontal="centerContinuous"/>
      <protection/>
    </xf>
    <xf numFmtId="0" fontId="4" fillId="4" borderId="17" xfId="0" applyFont="1" applyFill="1" applyBorder="1" applyAlignment="1" applyProtection="1">
      <alignment horizontal="centerContinuous"/>
      <protection/>
    </xf>
    <xf numFmtId="0" fontId="4" fillId="4" borderId="17" xfId="0" applyFont="1" applyFill="1" applyBorder="1" applyAlignment="1" applyProtection="1">
      <alignment horizontal="left"/>
      <protection/>
    </xf>
    <xf numFmtId="172" fontId="4" fillId="4" borderId="10" xfId="0" applyNumberFormat="1" applyFont="1" applyFill="1" applyBorder="1" applyAlignment="1" applyProtection="1">
      <alignment horizontal="left"/>
      <protection/>
    </xf>
    <xf numFmtId="173" fontId="4" fillId="4" borderId="10" xfId="0" applyNumberFormat="1" applyFont="1" applyFill="1" applyBorder="1" applyAlignment="1" applyProtection="1">
      <alignment horizontal="left"/>
      <protection/>
    </xf>
    <xf numFmtId="0" fontId="4" fillId="4" borderId="19" xfId="0" applyFont="1" applyFill="1" applyBorder="1" applyAlignment="1" applyProtection="1">
      <alignment horizontal="centerContinuous"/>
      <protection/>
    </xf>
    <xf numFmtId="0" fontId="4" fillId="4" borderId="18" xfId="0" applyFont="1" applyFill="1" applyBorder="1" applyAlignment="1" applyProtection="1">
      <alignment horizontal="centerContinuous"/>
      <protection/>
    </xf>
    <xf numFmtId="0" fontId="4" fillId="4" borderId="10" xfId="0" applyFont="1" applyFill="1" applyBorder="1" applyAlignment="1" applyProtection="1">
      <alignment horizontal="centerContinuous"/>
      <protection/>
    </xf>
    <xf numFmtId="0" fontId="4" fillId="4" borderId="12" xfId="0" applyFont="1" applyFill="1" applyBorder="1" applyAlignment="1" applyProtection="1">
      <alignment horizontal="centerContinuous"/>
      <protection/>
    </xf>
    <xf numFmtId="0" fontId="4" fillId="4" borderId="11" xfId="0" applyFont="1" applyFill="1" applyBorder="1" applyAlignment="1" applyProtection="1">
      <alignment horizontal="left"/>
      <protection/>
    </xf>
    <xf numFmtId="37" fontId="4" fillId="4" borderId="17" xfId="0" applyNumberFormat="1" applyFont="1" applyFill="1" applyBorder="1" applyAlignment="1" applyProtection="1">
      <alignment/>
      <protection/>
    </xf>
    <xf numFmtId="0" fontId="8" fillId="4" borderId="0" xfId="0" applyFont="1" applyFill="1" applyAlignment="1" applyProtection="1">
      <alignment horizontal="center"/>
      <protection/>
    </xf>
    <xf numFmtId="0" fontId="4" fillId="0" borderId="0" xfId="59" applyFont="1" applyAlignment="1">
      <alignment horizontal="right"/>
      <protection/>
    </xf>
    <xf numFmtId="165" fontId="4" fillId="4" borderId="10"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0" fillId="4" borderId="0" xfId="0" applyFill="1" applyAlignment="1">
      <alignment horizontal="center" wrapText="1"/>
    </xf>
    <xf numFmtId="0" fontId="4" fillId="4" borderId="0" xfId="0" applyFont="1" applyFill="1" applyBorder="1" applyAlignment="1" applyProtection="1">
      <alignment/>
      <protection locked="0"/>
    </xf>
    <xf numFmtId="0" fontId="20" fillId="22" borderId="18" xfId="0" applyFont="1" applyFill="1" applyBorder="1" applyAlignment="1" applyProtection="1">
      <alignment horizontal="center"/>
      <protection/>
    </xf>
    <xf numFmtId="0" fontId="4" fillId="22" borderId="10" xfId="0" applyFont="1" applyFill="1" applyBorder="1" applyAlignment="1">
      <alignment horizontal="center" shrinkToFit="1"/>
    </xf>
    <xf numFmtId="0" fontId="4" fillId="0" borderId="0" xfId="0" applyFont="1" applyFill="1" applyAlignment="1">
      <alignment/>
    </xf>
    <xf numFmtId="3" fontId="4" fillId="7" borderId="26" xfId="0" applyNumberFormat="1" applyFont="1" applyFill="1" applyBorder="1" applyAlignment="1" applyProtection="1">
      <alignment/>
      <protection/>
    </xf>
    <xf numFmtId="164" fontId="4" fillId="7" borderId="26" xfId="0" applyNumberFormat="1" applyFont="1" applyFill="1" applyBorder="1" applyAlignment="1" applyProtection="1">
      <alignment/>
      <protection/>
    </xf>
    <xf numFmtId="37" fontId="4" fillId="7" borderId="26" xfId="0" applyNumberFormat="1" applyFont="1" applyFill="1" applyBorder="1" applyAlignment="1" applyProtection="1">
      <alignment/>
      <protection/>
    </xf>
    <xf numFmtId="175" fontId="4" fillId="7" borderId="26" xfId="0" applyNumberFormat="1" applyFont="1" applyFill="1" applyBorder="1" applyAlignment="1" applyProtection="1">
      <alignment/>
      <protection/>
    </xf>
    <xf numFmtId="0" fontId="4" fillId="4" borderId="0" xfId="0" applyFont="1" applyFill="1" applyBorder="1" applyAlignment="1" applyProtection="1">
      <alignment horizontal="right"/>
      <protection/>
    </xf>
    <xf numFmtId="0" fontId="4" fillId="18" borderId="12" xfId="0" applyFont="1" applyFill="1" applyBorder="1" applyAlignment="1" applyProtection="1">
      <alignment/>
      <protection locked="0"/>
    </xf>
    <xf numFmtId="0" fontId="4" fillId="4" borderId="20" xfId="0" applyFont="1" applyFill="1" applyBorder="1" applyAlignment="1" applyProtection="1">
      <alignment/>
      <protection/>
    </xf>
    <xf numFmtId="3" fontId="4" fillId="7" borderId="10" xfId="0" applyNumberFormat="1" applyFont="1" applyFill="1" applyBorder="1" applyAlignment="1" applyProtection="1">
      <alignment horizontal="right"/>
      <protection/>
    </xf>
    <xf numFmtId="37" fontId="4" fillId="7" borderId="10" xfId="0" applyNumberFormat="1" applyFont="1" applyFill="1" applyBorder="1" applyAlignment="1" applyProtection="1">
      <alignment/>
      <protection/>
    </xf>
    <xf numFmtId="37" fontId="4" fillId="7" borderId="10" xfId="0" applyNumberFormat="1" applyFont="1" applyFill="1" applyBorder="1" applyAlignment="1" applyProtection="1">
      <alignment/>
      <protection/>
    </xf>
    <xf numFmtId="37" fontId="5" fillId="7" borderId="10" xfId="57" applyNumberFormat="1" applyFont="1" applyFill="1" applyBorder="1" applyAlignment="1" applyProtection="1">
      <alignment/>
      <protection/>
    </xf>
    <xf numFmtId="37"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4" fontId="4" fillId="7" borderId="10" xfId="0" applyNumberFormat="1" applyFont="1" applyFill="1" applyBorder="1" applyAlignment="1" applyProtection="1">
      <alignment/>
      <protection/>
    </xf>
    <xf numFmtId="37" fontId="4" fillId="7" borderId="27" xfId="0" applyNumberFormat="1" applyFont="1" applyFill="1" applyBorder="1" applyAlignment="1" applyProtection="1">
      <alignment/>
      <protection/>
    </xf>
    <xf numFmtId="37" fontId="4" fillId="7" borderId="26" xfId="0" applyNumberFormat="1" applyFont="1" applyFill="1" applyBorder="1" applyAlignment="1" applyProtection="1">
      <alignment horizontal="center"/>
      <protection/>
    </xf>
    <xf numFmtId="0" fontId="7" fillId="18" borderId="0" xfId="59" applyFont="1" applyFill="1" applyAlignment="1" applyProtection="1">
      <alignment horizontal="center"/>
      <protection locked="0"/>
    </xf>
    <xf numFmtId="0" fontId="0" fillId="4" borderId="17" xfId="0" applyFill="1" applyBorder="1" applyAlignment="1" applyProtection="1">
      <alignment/>
      <protection/>
    </xf>
    <xf numFmtId="0" fontId="5" fillId="18" borderId="10" xfId="0" applyFont="1" applyFill="1" applyBorder="1" applyAlignment="1" applyProtection="1">
      <alignment horizontal="center"/>
      <protection locked="0"/>
    </xf>
    <xf numFmtId="0" fontId="5" fillId="4" borderId="0" xfId="0" applyFont="1" applyFill="1" applyAlignment="1" applyProtection="1">
      <alignment horizontal="left"/>
      <protection/>
    </xf>
    <xf numFmtId="182" fontId="4" fillId="7" borderId="10" xfId="0" applyNumberFormat="1" applyFont="1" applyFill="1" applyBorder="1" applyAlignment="1" applyProtection="1">
      <alignment/>
      <protection/>
    </xf>
    <xf numFmtId="182" fontId="4" fillId="18" borderId="11" xfId="0" applyNumberFormat="1" applyFont="1" applyFill="1" applyBorder="1" applyAlignment="1" applyProtection="1">
      <alignment/>
      <protection locked="0"/>
    </xf>
    <xf numFmtId="182" fontId="4" fillId="18" borderId="12" xfId="0" applyNumberFormat="1" applyFont="1" applyFill="1" applyBorder="1" applyAlignment="1" applyProtection="1">
      <alignment/>
      <protection locked="0"/>
    </xf>
    <xf numFmtId="182" fontId="4" fillId="18"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4" borderId="10" xfId="0" applyNumberFormat="1" applyFont="1" applyFill="1" applyBorder="1" applyAlignment="1" applyProtection="1">
      <alignment horizontal="center"/>
      <protection/>
    </xf>
    <xf numFmtId="183" fontId="4" fillId="4" borderId="26"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locked="0"/>
    </xf>
    <xf numFmtId="37" fontId="5" fillId="4" borderId="0"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0" fontId="16" fillId="4" borderId="19" xfId="0" applyFont="1" applyFill="1" applyBorder="1" applyAlignment="1" applyProtection="1">
      <alignment horizontal="left"/>
      <protection/>
    </xf>
    <xf numFmtId="0" fontId="16" fillId="4" borderId="10" xfId="0" applyFont="1" applyFill="1" applyBorder="1" applyAlignment="1" applyProtection="1">
      <alignment horizontal="center"/>
      <protection/>
    </xf>
    <xf numFmtId="166" fontId="4" fillId="7" borderId="11" xfId="0" applyNumberFormat="1" applyFont="1" applyFill="1" applyBorder="1" applyAlignment="1" applyProtection="1">
      <alignment/>
      <protection/>
    </xf>
    <xf numFmtId="168" fontId="4" fillId="7" borderId="11" xfId="0" applyNumberFormat="1" applyFont="1" applyFill="1" applyBorder="1" applyAlignment="1" applyProtection="1">
      <alignment/>
      <protection/>
    </xf>
    <xf numFmtId="37" fontId="4" fillId="18" borderId="10" xfId="0" applyNumberFormat="1" applyFont="1" applyFill="1" applyBorder="1" applyAlignment="1">
      <alignment horizontal="center"/>
    </xf>
    <xf numFmtId="3" fontId="4" fillId="18" borderId="10" xfId="0" applyNumberFormat="1" applyFont="1" applyFill="1" applyBorder="1" applyAlignment="1" applyProtection="1">
      <alignment/>
      <protection locked="0"/>
    </xf>
    <xf numFmtId="3" fontId="4" fillId="18" borderId="10"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0" fontId="4" fillId="18" borderId="19" xfId="0" applyFont="1" applyFill="1" applyBorder="1" applyAlignment="1" applyProtection="1">
      <alignment horizontal="left"/>
      <protection locked="0"/>
    </xf>
    <xf numFmtId="37" fontId="4" fillId="18" borderId="18" xfId="0" applyNumberFormat="1" applyFont="1" applyFill="1" applyBorder="1" applyAlignment="1" applyProtection="1">
      <alignment/>
      <protection locked="0"/>
    </xf>
    <xf numFmtId="0" fontId="4" fillId="4" borderId="23" xfId="0" applyFont="1" applyFill="1" applyBorder="1" applyAlignment="1" applyProtection="1">
      <alignment horizontal="left"/>
      <protection/>
    </xf>
    <xf numFmtId="0" fontId="4" fillId="4" borderId="18" xfId="0" applyFont="1" applyFill="1" applyBorder="1" applyAlignment="1" applyProtection="1">
      <alignment horizontal="left"/>
      <protection/>
    </xf>
    <xf numFmtId="0" fontId="4" fillId="18" borderId="18" xfId="0" applyFont="1" applyFill="1" applyBorder="1" applyAlignment="1" applyProtection="1">
      <alignment horizontal="left"/>
      <protection/>
    </xf>
    <xf numFmtId="37" fontId="4" fillId="4" borderId="19" xfId="0" applyNumberFormat="1" applyFont="1" applyFill="1" applyBorder="1" applyAlignment="1" applyProtection="1">
      <alignment/>
      <protection/>
    </xf>
    <xf numFmtId="0" fontId="4" fillId="4" borderId="19" xfId="0" applyNumberFormat="1" applyFont="1" applyFill="1" applyBorder="1" applyAlignment="1" applyProtection="1">
      <alignment horizontal="left"/>
      <protection/>
    </xf>
    <xf numFmtId="0" fontId="4" fillId="18" borderId="19" xfId="0" applyNumberFormat="1" applyFont="1" applyFill="1" applyBorder="1" applyAlignment="1" applyProtection="1">
      <alignment horizontal="left"/>
      <protection locked="0"/>
    </xf>
    <xf numFmtId="0" fontId="4" fillId="18" borderId="20" xfId="0" applyNumberFormat="1" applyFont="1" applyFill="1" applyBorder="1" applyAlignment="1" applyProtection="1">
      <alignment horizontal="left"/>
      <protection locked="0"/>
    </xf>
    <xf numFmtId="37" fontId="4" fillId="4" borderId="23" xfId="0" applyNumberFormat="1" applyFont="1" applyFill="1" applyBorder="1" applyAlignment="1" applyProtection="1">
      <alignment horizontal="left"/>
      <protection/>
    </xf>
    <xf numFmtId="0" fontId="4" fillId="18" borderId="19" xfId="0" applyFont="1" applyFill="1" applyBorder="1" applyAlignment="1" applyProtection="1">
      <alignment/>
      <protection locked="0"/>
    </xf>
    <xf numFmtId="3" fontId="4" fillId="18" borderId="18" xfId="0" applyNumberFormat="1" applyFont="1" applyFill="1" applyBorder="1" applyAlignment="1" applyProtection="1">
      <alignment horizontal="right"/>
      <protection locked="0"/>
    </xf>
    <xf numFmtId="37" fontId="4" fillId="4" borderId="18" xfId="0" applyNumberFormat="1" applyFont="1" applyFill="1" applyBorder="1" applyAlignment="1" applyProtection="1">
      <alignment horizontal="left"/>
      <protection/>
    </xf>
    <xf numFmtId="37" fontId="4" fillId="18" borderId="18" xfId="0" applyNumberFormat="1" applyFont="1" applyFill="1" applyBorder="1" applyAlignment="1" applyProtection="1">
      <alignment horizontal="left"/>
      <protection/>
    </xf>
    <xf numFmtId="0" fontId="4" fillId="19" borderId="15" xfId="0" applyFont="1" applyFill="1" applyBorder="1" applyAlignment="1">
      <alignment horizontal="center"/>
    </xf>
    <xf numFmtId="0" fontId="4" fillId="19" borderId="16" xfId="0" applyFont="1" applyFill="1" applyBorder="1" applyAlignment="1">
      <alignment horizontal="center"/>
    </xf>
    <xf numFmtId="0" fontId="20" fillId="4" borderId="0" xfId="0" applyFont="1" applyFill="1" applyAlignment="1">
      <alignment/>
    </xf>
    <xf numFmtId="0" fontId="21" fillId="4" borderId="0" xfId="0" applyFont="1" applyFill="1" applyAlignment="1">
      <alignment/>
    </xf>
    <xf numFmtId="37" fontId="4" fillId="4" borderId="10" xfId="0" applyNumberFormat="1" applyFont="1" applyFill="1" applyBorder="1" applyAlignment="1">
      <alignment/>
    </xf>
    <xf numFmtId="0" fontId="21" fillId="4" borderId="0" xfId="0" applyFont="1" applyFill="1" applyAlignment="1">
      <alignment/>
    </xf>
    <xf numFmtId="3" fontId="4" fillId="4" borderId="0" xfId="0" applyNumberFormat="1" applyFont="1" applyFill="1" applyAlignment="1" applyProtection="1">
      <alignment horizontal="center"/>
      <protection/>
    </xf>
    <xf numFmtId="0" fontId="17" fillId="4" borderId="0" xfId="0" applyFont="1" applyFill="1" applyAlignment="1" applyProtection="1">
      <alignment horizontal="center"/>
      <protection/>
    </xf>
    <xf numFmtId="0" fontId="4" fillId="4" borderId="15" xfId="0" applyFont="1" applyFill="1" applyBorder="1" applyAlignment="1" applyProtection="1">
      <alignment horizontal="center" wrapText="1"/>
      <protection/>
    </xf>
    <xf numFmtId="37" fontId="4" fillId="4" borderId="0" xfId="0" applyNumberFormat="1" applyFont="1" applyFill="1" applyAlignment="1" applyProtection="1">
      <alignment/>
      <protection locked="0"/>
    </xf>
    <xf numFmtId="0" fontId="4" fillId="4" borderId="21"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37" fontId="4" fillId="4" borderId="10" xfId="0" applyNumberFormat="1" applyFont="1" applyFill="1" applyBorder="1" applyAlignment="1" applyProtection="1">
      <alignment horizontal="left"/>
      <protection/>
    </xf>
    <xf numFmtId="3" fontId="4" fillId="18" borderId="10" xfId="0" applyNumberFormat="1" applyFont="1" applyFill="1" applyBorder="1" applyAlignment="1" applyProtection="1">
      <alignment horizontal="center"/>
      <protection locked="0"/>
    </xf>
    <xf numFmtId="3" fontId="4" fillId="4" borderId="26" xfId="0" applyNumberFormat="1" applyFont="1" applyFill="1" applyBorder="1" applyAlignment="1" applyProtection="1">
      <alignment horizontal="center"/>
      <protection/>
    </xf>
    <xf numFmtId="183" fontId="4" fillId="4" borderId="11" xfId="0" applyNumberFormat="1" applyFont="1" applyFill="1" applyBorder="1" applyAlignment="1" applyProtection="1">
      <alignment horizontal="center"/>
      <protection/>
    </xf>
    <xf numFmtId="183" fontId="4" fillId="4" borderId="0" xfId="0" applyNumberFormat="1" applyFont="1" applyFill="1" applyBorder="1" applyAlignment="1" applyProtection="1">
      <alignment horizontal="center"/>
      <protection/>
    </xf>
    <xf numFmtId="0" fontId="4" fillId="4" borderId="0" xfId="0" applyFont="1" applyFill="1" applyAlignment="1">
      <alignment horizontal="right"/>
    </xf>
    <xf numFmtId="3" fontId="4" fillId="4" borderId="11" xfId="0" applyNumberFormat="1" applyFont="1" applyFill="1" applyBorder="1" applyAlignment="1">
      <alignment horizontal="center"/>
    </xf>
    <xf numFmtId="0" fontId="0" fillId="4" borderId="0" xfId="0" applyFill="1" applyAlignment="1">
      <alignment horizontal="center"/>
    </xf>
    <xf numFmtId="0" fontId="4" fillId="4" borderId="11" xfId="0" applyFont="1" applyFill="1" applyBorder="1" applyAlignment="1">
      <alignment horizontal="center"/>
    </xf>
    <xf numFmtId="37" fontId="4" fillId="4" borderId="19" xfId="0" applyNumberFormat="1" applyFont="1" applyFill="1" applyBorder="1" applyAlignment="1" applyProtection="1">
      <alignment horizontal="left"/>
      <protection locked="0"/>
    </xf>
    <xf numFmtId="3" fontId="20" fillId="22"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14" borderId="0" xfId="0" applyFont="1" applyFill="1" applyAlignment="1">
      <alignment/>
    </xf>
    <xf numFmtId="0" fontId="4" fillId="14" borderId="0" xfId="0" applyFont="1" applyFill="1" applyAlignment="1" applyProtection="1">
      <alignment/>
      <protection/>
    </xf>
    <xf numFmtId="0" fontId="4" fillId="14" borderId="0" xfId="0" applyFont="1" applyFill="1" applyAlignment="1" applyProtection="1">
      <alignment/>
      <protection locked="0"/>
    </xf>
    <xf numFmtId="0" fontId="0" fillId="4" borderId="12" xfId="0" applyFill="1" applyBorder="1" applyAlignment="1">
      <alignment/>
    </xf>
    <xf numFmtId="37" fontId="5" fillId="4" borderId="0" xfId="0" applyNumberFormat="1" applyFont="1" applyFill="1" applyBorder="1" applyAlignment="1" applyProtection="1">
      <alignment horizontal="center"/>
      <protection/>
    </xf>
    <xf numFmtId="0" fontId="0" fillId="4" borderId="18" xfId="0" applyFill="1" applyBorder="1" applyAlignment="1">
      <alignment/>
    </xf>
    <xf numFmtId="0" fontId="4" fillId="4" borderId="12" xfId="0" applyFont="1" applyFill="1" applyBorder="1" applyAlignment="1">
      <alignment/>
    </xf>
    <xf numFmtId="3" fontId="4" fillId="7" borderId="18" xfId="0" applyNumberFormat="1" applyFont="1" applyFill="1" applyBorder="1" applyAlignment="1" applyProtection="1">
      <alignment/>
      <protection/>
    </xf>
    <xf numFmtId="3" fontId="4" fillId="18" borderId="18" xfId="0" applyNumberFormat="1" applyFont="1" applyFill="1" applyBorder="1" applyAlignment="1" applyProtection="1">
      <alignment/>
      <protection locked="0"/>
    </xf>
    <xf numFmtId="3" fontId="5" fillId="4" borderId="10" xfId="57" applyNumberFormat="1" applyFont="1" applyFill="1" applyBorder="1" applyProtection="1">
      <alignment/>
      <protection/>
    </xf>
    <xf numFmtId="3" fontId="4" fillId="4" borderId="16" xfId="0" applyNumberFormat="1" applyFont="1" applyFill="1" applyBorder="1" applyAlignment="1" applyProtection="1">
      <alignment/>
      <protection/>
    </xf>
    <xf numFmtId="0" fontId="4" fillId="0" borderId="0" xfId="0" applyFont="1" applyAlignment="1">
      <alignment horizontal="left" wrapText="1"/>
    </xf>
    <xf numFmtId="0" fontId="4" fillId="14" borderId="0" xfId="57" applyFont="1" applyFill="1" applyProtection="1">
      <alignment/>
      <protection locked="0"/>
    </xf>
    <xf numFmtId="3" fontId="4" fillId="7" borderId="11" xfId="0" applyNumberFormat="1" applyFont="1" applyFill="1" applyBorder="1" applyAlignment="1" applyProtection="1">
      <alignment/>
      <protection/>
    </xf>
    <xf numFmtId="3" fontId="4" fillId="7" borderId="12" xfId="0" applyNumberFormat="1" applyFont="1" applyFill="1" applyBorder="1" applyAlignment="1" applyProtection="1">
      <alignment/>
      <protection/>
    </xf>
    <xf numFmtId="0" fontId="4" fillId="4" borderId="0" xfId="0" applyFont="1" applyFill="1" applyAlignment="1">
      <alignment horizontal="center"/>
    </xf>
    <xf numFmtId="0" fontId="5" fillId="4" borderId="0" xfId="0" applyFont="1" applyFill="1" applyAlignment="1">
      <alignment horizontal="center"/>
    </xf>
    <xf numFmtId="0" fontId="23" fillId="4" borderId="0" xfId="0" applyFont="1" applyFill="1" applyAlignment="1">
      <alignment horizontal="center"/>
    </xf>
    <xf numFmtId="0" fontId="4" fillId="4" borderId="11" xfId="0" applyFont="1" applyFill="1" applyBorder="1" applyAlignment="1">
      <alignment/>
    </xf>
    <xf numFmtId="0" fontId="24" fillId="4" borderId="15" xfId="0" applyFont="1" applyFill="1" applyBorder="1" applyAlignment="1">
      <alignment/>
    </xf>
    <xf numFmtId="0" fontId="24" fillId="4" borderId="18" xfId="0" applyFont="1" applyFill="1" applyBorder="1" applyAlignment="1">
      <alignment horizontal="center"/>
    </xf>
    <xf numFmtId="0" fontId="24" fillId="4" borderId="21" xfId="0" applyFont="1" applyFill="1" applyBorder="1" applyAlignment="1">
      <alignment/>
    </xf>
    <xf numFmtId="0" fontId="24" fillId="4" borderId="10" xfId="0" applyFont="1"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xf>
    <xf numFmtId="0" fontId="4" fillId="4" borderId="10" xfId="0" applyFont="1" applyFill="1" applyBorder="1" applyAlignment="1">
      <alignment horizontal="center"/>
    </xf>
    <xf numFmtId="0" fontId="24" fillId="4" borderId="23" xfId="0" applyFont="1" applyFill="1" applyBorder="1" applyAlignment="1">
      <alignment/>
    </xf>
    <xf numFmtId="3" fontId="24" fillId="18" borderId="10" xfId="0" applyNumberFormat="1" applyFont="1" applyFill="1" applyBorder="1" applyAlignment="1" applyProtection="1">
      <alignment horizontal="center"/>
      <protection locked="0"/>
    </xf>
    <xf numFmtId="0" fontId="24" fillId="4" borderId="11" xfId="0" applyFont="1" applyFill="1" applyBorder="1" applyAlignment="1">
      <alignment/>
    </xf>
    <xf numFmtId="3" fontId="24" fillId="7" borderId="10" xfId="0" applyNumberFormat="1" applyFont="1" applyFill="1" applyBorder="1" applyAlignment="1">
      <alignment horizontal="center"/>
    </xf>
    <xf numFmtId="0" fontId="24" fillId="4" borderId="0" xfId="0" applyFont="1" applyFill="1" applyAlignment="1">
      <alignment/>
    </xf>
    <xf numFmtId="3" fontId="24" fillId="4" borderId="0" xfId="0" applyNumberFormat="1" applyFont="1" applyFill="1" applyAlignment="1">
      <alignment horizontal="center"/>
    </xf>
    <xf numFmtId="0" fontId="24" fillId="4" borderId="0" xfId="0" applyFont="1" applyFill="1" applyAlignment="1">
      <alignment horizontal="center"/>
    </xf>
    <xf numFmtId="0" fontId="24" fillId="18" borderId="10" xfId="0" applyFont="1" applyFill="1" applyBorder="1" applyAlignment="1" applyProtection="1">
      <alignment/>
      <protection locked="0"/>
    </xf>
    <xf numFmtId="0" fontId="24" fillId="18" borderId="21" xfId="0" applyFont="1" applyFill="1" applyBorder="1" applyAlignment="1" applyProtection="1">
      <alignment/>
      <protection locked="0"/>
    </xf>
    <xf numFmtId="3" fontId="24" fillId="18" borderId="21" xfId="0" applyNumberFormat="1" applyFont="1" applyFill="1" applyBorder="1" applyAlignment="1" applyProtection="1">
      <alignment horizontal="center"/>
      <protection locked="0"/>
    </xf>
    <xf numFmtId="0" fontId="24" fillId="18" borderId="0" xfId="0" applyFont="1" applyFill="1" applyAlignment="1" applyProtection="1">
      <alignment/>
      <protection locked="0"/>
    </xf>
    <xf numFmtId="3" fontId="24" fillId="18" borderId="17" xfId="0" applyNumberFormat="1" applyFont="1" applyFill="1" applyBorder="1" applyAlignment="1" applyProtection="1">
      <alignment horizontal="center"/>
      <protection locked="0"/>
    </xf>
    <xf numFmtId="3" fontId="24" fillId="18" borderId="18" xfId="0" applyNumberFormat="1" applyFont="1" applyFill="1" applyBorder="1" applyAlignment="1" applyProtection="1">
      <alignment horizontal="center"/>
      <protection locked="0"/>
    </xf>
    <xf numFmtId="0" fontId="24" fillId="18" borderId="18" xfId="0" applyFont="1" applyFill="1" applyBorder="1" applyAlignment="1" applyProtection="1">
      <alignment/>
      <protection locked="0"/>
    </xf>
    <xf numFmtId="0" fontId="24" fillId="18" borderId="16" xfId="0" applyFont="1" applyFill="1" applyBorder="1" applyAlignment="1" applyProtection="1">
      <alignment/>
      <protection locked="0"/>
    </xf>
    <xf numFmtId="3" fontId="24" fillId="18" borderId="14" xfId="0" applyNumberFormat="1" applyFont="1" applyFill="1" applyBorder="1" applyAlignment="1" applyProtection="1">
      <alignment horizontal="center"/>
      <protection locked="0"/>
    </xf>
    <xf numFmtId="0" fontId="24" fillId="18" borderId="14" xfId="0" applyFont="1" applyFill="1" applyBorder="1" applyAlignment="1" applyProtection="1">
      <alignment/>
      <protection locked="0"/>
    </xf>
    <xf numFmtId="3" fontId="24" fillId="7" borderId="16" xfId="0" applyNumberFormat="1" applyFont="1" applyFill="1" applyBorder="1" applyAlignment="1">
      <alignment horizontal="center"/>
    </xf>
    <xf numFmtId="0" fontId="24" fillId="7" borderId="10" xfId="0" applyFont="1" applyFill="1" applyBorder="1" applyAlignment="1">
      <alignment horizontal="center"/>
    </xf>
    <xf numFmtId="0" fontId="24" fillId="7" borderId="16" xfId="0" applyFont="1" applyFill="1" applyBorder="1" applyAlignment="1">
      <alignment horizontal="center"/>
    </xf>
    <xf numFmtId="3" fontId="24" fillId="22" borderId="10" xfId="0" applyNumberFormat="1" applyFont="1" applyFill="1" applyBorder="1" applyAlignment="1">
      <alignment horizontal="center"/>
    </xf>
    <xf numFmtId="3" fontId="25" fillId="22" borderId="0" xfId="0" applyNumberFormat="1" applyFont="1" applyFill="1" applyAlignment="1">
      <alignment horizontal="center"/>
    </xf>
    <xf numFmtId="3" fontId="4" fillId="4" borderId="0" xfId="0" applyNumberFormat="1" applyFont="1" applyFill="1" applyAlignment="1">
      <alignment/>
    </xf>
    <xf numFmtId="3" fontId="4" fillId="0" borderId="0" xfId="0" applyNumberFormat="1" applyFont="1" applyAlignment="1">
      <alignment/>
    </xf>
    <xf numFmtId="0" fontId="4" fillId="21" borderId="16" xfId="0" applyFont="1" applyFill="1" applyBorder="1" applyAlignment="1" applyProtection="1">
      <alignment horizontal="center"/>
      <protection/>
    </xf>
    <xf numFmtId="0" fontId="6" fillId="21" borderId="15" xfId="0" applyFont="1" applyFill="1" applyBorder="1" applyAlignment="1" applyProtection="1">
      <alignment horizontal="center"/>
      <protection/>
    </xf>
    <xf numFmtId="0" fontId="4" fillId="4" borderId="24" xfId="0" applyFont="1" applyFill="1" applyBorder="1" applyAlignment="1" applyProtection="1">
      <alignment/>
      <protection/>
    </xf>
    <xf numFmtId="3" fontId="4" fillId="4" borderId="15" xfId="0" applyNumberFormat="1" applyFont="1" applyFill="1" applyBorder="1" applyAlignment="1" applyProtection="1">
      <alignment/>
      <protection/>
    </xf>
    <xf numFmtId="37" fontId="4" fillId="4" borderId="15" xfId="0" applyNumberFormat="1" applyFont="1" applyFill="1" applyBorder="1" applyAlignment="1" applyProtection="1">
      <alignment/>
      <protection/>
    </xf>
    <xf numFmtId="0" fontId="4" fillId="4" borderId="18" xfId="0" applyFont="1" applyFill="1" applyBorder="1" applyAlignment="1" applyProtection="1">
      <alignment horizontal="center"/>
      <protection/>
    </xf>
    <xf numFmtId="37" fontId="4" fillId="7" borderId="18" xfId="0" applyNumberFormat="1" applyFont="1" applyFill="1" applyBorder="1" applyAlignment="1" applyProtection="1">
      <alignment/>
      <protection/>
    </xf>
    <xf numFmtId="37" fontId="4" fillId="7" borderId="10" xfId="0" applyNumberFormat="1" applyFont="1" applyFill="1" applyBorder="1" applyAlignment="1" applyProtection="1">
      <alignment horizontal="center"/>
      <protection/>
    </xf>
    <xf numFmtId="37" fontId="4" fillId="7" borderId="16" xfId="0" applyNumberFormat="1" applyFont="1" applyFill="1" applyBorder="1" applyAlignment="1" applyProtection="1">
      <alignment/>
      <protection/>
    </xf>
    <xf numFmtId="181" fontId="4" fillId="4" borderId="0" xfId="0" applyNumberFormat="1" applyFont="1" applyFill="1" applyBorder="1" applyAlignment="1">
      <alignment horizontal="center"/>
    </xf>
    <xf numFmtId="3" fontId="20" fillId="4" borderId="0" xfId="0" applyNumberFormat="1" applyFont="1" applyFill="1" applyAlignment="1" applyProtection="1">
      <alignment horizontal="center"/>
      <protection/>
    </xf>
    <xf numFmtId="3" fontId="5" fillId="7" borderId="18" xfId="0" applyNumberFormat="1" applyFont="1" applyFill="1" applyBorder="1" applyAlignment="1" applyProtection="1">
      <alignment/>
      <protection/>
    </xf>
    <xf numFmtId="0" fontId="4" fillId="0" borderId="0" xfId="0" applyNumberFormat="1" applyFont="1" applyAlignment="1">
      <alignment wrapText="1"/>
    </xf>
    <xf numFmtId="1" fontId="4" fillId="4" borderId="21" xfId="0" applyNumberFormat="1" applyFont="1" applyFill="1" applyBorder="1" applyAlignment="1" applyProtection="1">
      <alignment horizontal="center"/>
      <protection/>
    </xf>
    <xf numFmtId="37" fontId="4" fillId="4" borderId="20" xfId="0" applyNumberFormat="1" applyFont="1" applyFill="1" applyBorder="1" applyAlignment="1" applyProtection="1">
      <alignment horizontal="center"/>
      <protection/>
    </xf>
    <xf numFmtId="37" fontId="4" fillId="4" borderId="21" xfId="0" applyNumberFormat="1" applyFont="1" applyFill="1" applyBorder="1" applyAlignment="1" applyProtection="1">
      <alignment horizontal="center"/>
      <protection/>
    </xf>
    <xf numFmtId="0" fontId="4" fillId="4" borderId="23" xfId="0" applyNumberFormat="1" applyFont="1" applyFill="1" applyBorder="1" applyAlignment="1" applyProtection="1">
      <alignment horizontal="center"/>
      <protection/>
    </xf>
    <xf numFmtId="0" fontId="4" fillId="4" borderId="17" xfId="0" applyNumberFormat="1" applyFont="1" applyFill="1" applyBorder="1" applyAlignment="1" applyProtection="1">
      <alignment horizontal="center"/>
      <protection/>
    </xf>
    <xf numFmtId="3" fontId="4" fillId="18" borderId="19"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37" fontId="4" fillId="18" borderId="18" xfId="0" applyNumberFormat="1" applyFont="1" applyFill="1" applyBorder="1" applyAlignment="1" applyProtection="1">
      <alignment/>
      <protection locked="0"/>
    </xf>
    <xf numFmtId="1" fontId="4" fillId="4" borderId="20"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37" fontId="5" fillId="4" borderId="0" xfId="0" applyNumberFormat="1" applyFont="1" applyFill="1" applyBorder="1" applyAlignment="1" applyProtection="1">
      <alignment horizontal="center"/>
      <protection/>
    </xf>
    <xf numFmtId="0" fontId="4" fillId="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4" borderId="15" xfId="0" applyNumberFormat="1" applyFont="1" applyFill="1" applyBorder="1" applyAlignment="1" applyProtection="1">
      <alignment horizontal="center" wrapText="1"/>
      <protection/>
    </xf>
    <xf numFmtId="0" fontId="4" fillId="4" borderId="12" xfId="0" applyFont="1" applyFill="1" applyBorder="1" applyAlignment="1" applyProtection="1">
      <alignment horizontal="center"/>
      <protection/>
    </xf>
    <xf numFmtId="37" fontId="4" fillId="21" borderId="0" xfId="0" applyNumberFormat="1" applyFont="1" applyFill="1" applyAlignment="1" applyProtection="1">
      <alignment horizontal="center" wrapText="1"/>
      <protection/>
    </xf>
    <xf numFmtId="0" fontId="0" fillId="21" borderId="11" xfId="0" applyFill="1" applyBorder="1"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4" borderId="0" xfId="0" applyFont="1" applyFill="1" applyAlignment="1" applyProtection="1">
      <alignment horizontal="center"/>
      <protection/>
    </xf>
    <xf numFmtId="0" fontId="1" fillId="0" borderId="0" xfId="0" applyFont="1" applyAlignment="1">
      <alignment horizontal="center"/>
    </xf>
    <xf numFmtId="37" fontId="5" fillId="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4" borderId="0" xfId="0" applyFont="1" applyFill="1" applyAlignment="1" applyProtection="1">
      <alignment horizontal="left"/>
      <protection/>
    </xf>
    <xf numFmtId="0" fontId="0" fillId="0" borderId="0" xfId="0" applyAlignment="1">
      <alignment horizontal="left"/>
    </xf>
    <xf numFmtId="0" fontId="4" fillId="21" borderId="15" xfId="0" applyFont="1" applyFill="1" applyBorder="1" applyAlignment="1" applyProtection="1">
      <alignment horizontal="center" wrapText="1"/>
      <protection/>
    </xf>
    <xf numFmtId="0" fontId="4" fillId="21" borderId="16" xfId="0" applyFont="1" applyFill="1" applyBorder="1" applyAlignment="1" applyProtection="1">
      <alignment horizontal="center" wrapText="1"/>
      <protection/>
    </xf>
    <xf numFmtId="37" fontId="16" fillId="4" borderId="0" xfId="0" applyNumberFormat="1" applyFont="1" applyFill="1" applyBorder="1" applyAlignment="1" applyProtection="1">
      <alignment horizontal="center"/>
      <protection/>
    </xf>
    <xf numFmtId="0" fontId="0" fillId="0" borderId="0" xfId="0" applyAlignment="1">
      <alignment horizontal="center"/>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protection/>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4" borderId="13" xfId="0"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0" fontId="0" fillId="4" borderId="0" xfId="0" applyFill="1" applyAlignment="1">
      <alignment horizontal="center" wrapText="1"/>
    </xf>
    <xf numFmtId="0" fontId="8" fillId="19" borderId="24" xfId="0" applyFont="1" applyFill="1" applyBorder="1" applyAlignment="1" applyProtection="1">
      <alignment horizontal="center" wrapText="1"/>
      <protection/>
    </xf>
    <xf numFmtId="0" fontId="0" fillId="0" borderId="0" xfId="0" applyAlignment="1">
      <alignment horizontal="center" wrapText="1"/>
    </xf>
    <xf numFmtId="0" fontId="4" fillId="4" borderId="0" xfId="0" applyFont="1" applyFill="1" applyAlignment="1" applyProtection="1">
      <alignment horizontal="center"/>
      <protection/>
    </xf>
    <xf numFmtId="3" fontId="4" fillId="18" borderId="18" xfId="0" applyNumberFormat="1" applyFont="1" applyFill="1" applyBorder="1" applyAlignment="1" applyProtection="1">
      <alignment/>
      <protection locked="0"/>
    </xf>
    <xf numFmtId="37" fontId="4" fillId="4" borderId="19" xfId="0" applyNumberFormat="1" applyFont="1" applyFill="1" applyBorder="1" applyAlignment="1" applyProtection="1">
      <alignment/>
      <protection/>
    </xf>
    <xf numFmtId="37" fontId="4" fillId="4" borderId="18" xfId="0" applyNumberFormat="1" applyFont="1" applyFill="1" applyBorder="1" applyAlignment="1" applyProtection="1">
      <alignment/>
      <protection/>
    </xf>
    <xf numFmtId="3" fontId="4" fillId="4" borderId="19"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 fontId="20" fillId="22" borderId="19" xfId="0" applyNumberFormat="1" applyFont="1" applyFill="1" applyBorder="1" applyAlignment="1" applyProtection="1">
      <alignment horizontal="center"/>
      <protection/>
    </xf>
    <xf numFmtId="3" fontId="20" fillId="22" borderId="18" xfId="0" applyNumberFormat="1" applyFont="1" applyFill="1" applyBorder="1" applyAlignment="1" applyProtection="1">
      <alignment horizontal="center"/>
      <protection/>
    </xf>
    <xf numFmtId="3" fontId="5" fillId="7" borderId="19" xfId="0" applyNumberFormat="1" applyFont="1" applyFill="1" applyBorder="1" applyAlignment="1" applyProtection="1">
      <alignment/>
      <protection/>
    </xf>
    <xf numFmtId="3" fontId="5" fillId="7" borderId="18" xfId="0" applyNumberFormat="1" applyFont="1" applyFill="1" applyBorder="1" applyAlignment="1" applyProtection="1">
      <alignment/>
      <protection/>
    </xf>
    <xf numFmtId="3" fontId="4" fillId="7" borderId="19" xfId="0" applyNumberFormat="1" applyFont="1" applyFill="1" applyBorder="1" applyAlignment="1" applyProtection="1">
      <alignment/>
      <protection/>
    </xf>
    <xf numFmtId="3" fontId="4" fillId="7" borderId="18" xfId="0" applyNumberFormat="1" applyFont="1" applyFill="1" applyBorder="1" applyAlignment="1" applyProtection="1">
      <alignment/>
      <protection/>
    </xf>
    <xf numFmtId="0" fontId="4" fillId="4" borderId="19" xfId="0" applyFont="1" applyFill="1" applyBorder="1" applyAlignment="1" applyProtection="1">
      <alignment/>
      <protection/>
    </xf>
    <xf numFmtId="0" fontId="4" fillId="4" borderId="18" xfId="0" applyFont="1" applyFill="1" applyBorder="1" applyAlignment="1" applyProtection="1">
      <alignment/>
      <protection/>
    </xf>
    <xf numFmtId="37" fontId="4" fillId="4" borderId="0" xfId="0" applyNumberFormat="1" applyFont="1" applyFill="1" applyAlignment="1" applyProtection="1">
      <alignment horizontal="right"/>
      <protection/>
    </xf>
    <xf numFmtId="37" fontId="4" fillId="4" borderId="14" xfId="0" applyNumberFormat="1" applyFont="1" applyFill="1" applyBorder="1" applyAlignment="1" applyProtection="1">
      <alignment horizontal="right"/>
      <protection/>
    </xf>
    <xf numFmtId="181" fontId="4" fillId="4" borderId="0" xfId="0" applyNumberFormat="1" applyFont="1" applyFill="1" applyBorder="1" applyAlignment="1">
      <alignment horizontal="right"/>
    </xf>
    <xf numFmtId="0" fontId="0" fillId="0" borderId="0" xfId="0" applyFont="1" applyAlignment="1">
      <alignment horizontal="right"/>
    </xf>
    <xf numFmtId="0" fontId="4" fillId="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7" fontId="4" fillId="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4" fillId="18" borderId="19" xfId="0" applyNumberFormat="1" applyFont="1" applyFill="1" applyBorder="1" applyAlignment="1" applyProtection="1">
      <alignment horizontal="right"/>
      <protection locked="0"/>
    </xf>
    <xf numFmtId="3" fontId="4" fillId="18"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xf>
    <xf numFmtId="3" fontId="4" fillId="4" borderId="18" xfId="0" applyNumberFormat="1" applyFont="1" applyFill="1" applyBorder="1" applyAlignment="1" applyProtection="1">
      <alignment horizontal="right"/>
      <protection/>
    </xf>
    <xf numFmtId="3" fontId="4" fillId="4" borderId="19" xfId="42" applyNumberFormat="1" applyFont="1" applyFill="1" applyBorder="1" applyAlignment="1" applyProtection="1">
      <alignment horizontal="right"/>
      <protection/>
    </xf>
    <xf numFmtId="3" fontId="4" fillId="4" borderId="18" xfId="42" applyNumberFormat="1" applyFont="1" applyFill="1" applyBorder="1" applyAlignment="1" applyProtection="1">
      <alignment horizontal="right"/>
      <protection/>
    </xf>
    <xf numFmtId="1" fontId="4" fillId="4" borderId="23" xfId="0" applyNumberFormat="1" applyFont="1" applyFill="1" applyBorder="1" applyAlignment="1" applyProtection="1">
      <alignment horizontal="center"/>
      <protection/>
    </xf>
    <xf numFmtId="1" fontId="4" fillId="4" borderId="17" xfId="0" applyNumberFormat="1" applyFont="1" applyFill="1" applyBorder="1" applyAlignment="1" applyProtection="1">
      <alignment horizontal="center"/>
      <protection/>
    </xf>
    <xf numFmtId="3" fontId="5" fillId="7" borderId="19" xfId="0" applyNumberFormat="1" applyFont="1" applyFill="1" applyBorder="1" applyAlignment="1" applyProtection="1">
      <alignment horizontal="right"/>
      <protection/>
    </xf>
    <xf numFmtId="3" fontId="5" fillId="7" borderId="18" xfId="0" applyNumberFormat="1" applyFont="1" applyFill="1" applyBorder="1" applyAlignment="1" applyProtection="1">
      <alignment horizontal="right"/>
      <protection/>
    </xf>
    <xf numFmtId="0" fontId="0" fillId="0" borderId="18" xfId="0" applyBorder="1" applyAlignment="1">
      <alignment horizontal="right"/>
    </xf>
    <xf numFmtId="3" fontId="4" fillId="7" borderId="19" xfId="0" applyNumberFormat="1" applyFont="1" applyFill="1" applyBorder="1" applyAlignment="1" applyProtection="1">
      <alignment horizontal="right"/>
      <protection/>
    </xf>
    <xf numFmtId="3" fontId="4" fillId="7" borderId="18" xfId="0" applyNumberFormat="1" applyFont="1" applyFill="1" applyBorder="1" applyAlignment="1" applyProtection="1">
      <alignment horizontal="right"/>
      <protection/>
    </xf>
    <xf numFmtId="37" fontId="5" fillId="7" borderId="19" xfId="0" applyNumberFormat="1" applyFont="1" applyFill="1" applyBorder="1" applyAlignment="1" applyProtection="1">
      <alignment/>
      <protection/>
    </xf>
    <xf numFmtId="37" fontId="5" fillId="7" borderId="18" xfId="0" applyNumberFormat="1" applyFont="1" applyFill="1" applyBorder="1" applyAlignment="1" applyProtection="1">
      <alignment/>
      <protection/>
    </xf>
    <xf numFmtId="0" fontId="4" fillId="4" borderId="19" xfId="0" applyFont="1" applyFill="1" applyBorder="1" applyAlignment="1">
      <alignment/>
    </xf>
    <xf numFmtId="0" fontId="4" fillId="4" borderId="18" xfId="0" applyFont="1" applyFill="1" applyBorder="1" applyAlignment="1">
      <alignment/>
    </xf>
    <xf numFmtId="0" fontId="0" fillId="0" borderId="0" xfId="0" applyAlignment="1">
      <alignment/>
    </xf>
    <xf numFmtId="0" fontId="8" fillId="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18" borderId="0" xfId="0" applyNumberFormat="1" applyFont="1" applyFill="1" applyAlignment="1" applyProtection="1">
      <alignment horizontal="center"/>
      <protection locked="0"/>
    </xf>
    <xf numFmtId="0" fontId="4" fillId="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4" borderId="0" xfId="0" applyFont="1" applyFill="1" applyAlignment="1" applyProtection="1">
      <alignment horizontal="right"/>
      <protection/>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552450</xdr:colOff>
      <xdr:row>39</xdr:row>
      <xdr:rowOff>114300</xdr:rowOff>
    </xdr:to>
    <xdr:pic>
      <xdr:nvPicPr>
        <xdr:cNvPr id="1" name="Picture 1"/>
        <xdr:cNvPicPr preferRelativeResize="1">
          <a:picLocks noChangeAspect="1"/>
        </xdr:cNvPicPr>
      </xdr:nvPicPr>
      <xdr:blipFill>
        <a:blip r:embed="rId1"/>
        <a:stretch>
          <a:fillRect/>
        </a:stretch>
      </xdr:blipFill>
      <xdr:spPr>
        <a:xfrm>
          <a:off x="0" y="0"/>
          <a:ext cx="6419850" cy="7543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96</v>
      </c>
      <c r="B1" s="7"/>
    </row>
    <row r="2" spans="1:2" ht="15.75">
      <c r="A2" s="6"/>
      <c r="B2" s="7"/>
    </row>
    <row r="3" ht="35.25" customHeight="1">
      <c r="A3" s="2" t="s">
        <v>210</v>
      </c>
    </row>
    <row r="4" ht="15.75">
      <c r="A4" s="8"/>
    </row>
    <row r="5" ht="15.75">
      <c r="A5" s="8" t="s">
        <v>295</v>
      </c>
    </row>
    <row r="6" ht="15.75">
      <c r="A6" s="8"/>
    </row>
    <row r="7" ht="57.75" customHeight="1">
      <c r="A7" s="355" t="s">
        <v>339</v>
      </c>
    </row>
    <row r="8" ht="15.75">
      <c r="A8" s="8"/>
    </row>
    <row r="9" spans="1:2" ht="15.75">
      <c r="A9" s="9" t="s">
        <v>282</v>
      </c>
      <c r="B9" s="7"/>
    </row>
    <row r="10" spans="1:2" ht="15.75">
      <c r="A10" s="9"/>
      <c r="B10" s="7"/>
    </row>
    <row r="11" spans="1:2" ht="15.75">
      <c r="A11" s="8" t="s">
        <v>283</v>
      </c>
      <c r="B11" s="7"/>
    </row>
    <row r="12" ht="14.25" customHeight="1">
      <c r="A12" s="5"/>
    </row>
    <row r="13" s="4" customFormat="1" ht="42" customHeight="1">
      <c r="A13" s="3" t="s">
        <v>348</v>
      </c>
    </row>
    <row r="16" ht="15.75">
      <c r="A16" s="9" t="s">
        <v>12</v>
      </c>
    </row>
    <row r="17" ht="15.75">
      <c r="A17" s="5"/>
    </row>
    <row r="18" ht="15.75">
      <c r="A18" s="291" t="s">
        <v>258</v>
      </c>
    </row>
    <row r="19" ht="17.25" customHeight="1">
      <c r="A19" s="11" t="s">
        <v>149</v>
      </c>
    </row>
    <row r="20" ht="24.75" customHeight="1">
      <c r="A20" s="100" t="s">
        <v>148</v>
      </c>
    </row>
    <row r="21" ht="52.5" customHeight="1">
      <c r="A21" s="99" t="s">
        <v>150</v>
      </c>
    </row>
    <row r="22" ht="20.25" customHeight="1">
      <c r="A22" s="206" t="s">
        <v>211</v>
      </c>
    </row>
    <row r="23" s="263" customFormat="1" ht="20.25" customHeight="1">
      <c r="A23" s="344" t="s">
        <v>281</v>
      </c>
    </row>
    <row r="24" ht="21" customHeight="1">
      <c r="A24" s="3" t="s">
        <v>95</v>
      </c>
    </row>
    <row r="25" ht="15.75">
      <c r="A25" s="5"/>
    </row>
    <row r="26" ht="15.75">
      <c r="A26" s="10" t="s">
        <v>13</v>
      </c>
    </row>
    <row r="28" ht="21" customHeight="1">
      <c r="A28" s="4" t="s">
        <v>172</v>
      </c>
    </row>
    <row r="30" ht="71.25" customHeight="1">
      <c r="A30" s="4" t="s">
        <v>266</v>
      </c>
    </row>
    <row r="31" ht="49.5" customHeight="1">
      <c r="A31" s="343" t="s">
        <v>267</v>
      </c>
    </row>
    <row r="33" ht="71.25" customHeight="1">
      <c r="A33" s="4" t="s">
        <v>268</v>
      </c>
    </row>
    <row r="34" ht="57.75" customHeight="1">
      <c r="A34" s="4" t="s">
        <v>269</v>
      </c>
    </row>
    <row r="35" ht="105" customHeight="1">
      <c r="A35" s="4" t="s">
        <v>340</v>
      </c>
    </row>
    <row r="36" ht="15.75">
      <c r="A36" s="4"/>
    </row>
    <row r="37" ht="70.5" customHeight="1">
      <c r="A37" s="4" t="s">
        <v>270</v>
      </c>
    </row>
    <row r="38" ht="70.5" customHeight="1">
      <c r="A38" s="4" t="s">
        <v>271</v>
      </c>
    </row>
    <row r="39" ht="39" customHeight="1">
      <c r="A39" s="4" t="s">
        <v>272</v>
      </c>
    </row>
    <row r="40" ht="15.75">
      <c r="A40" s="4"/>
    </row>
    <row r="41" ht="71.25" customHeight="1">
      <c r="A41" s="4" t="s">
        <v>300</v>
      </c>
    </row>
    <row r="42" ht="42" customHeight="1">
      <c r="A42" s="4" t="s">
        <v>347</v>
      </c>
    </row>
    <row r="43" ht="44.25" customHeight="1">
      <c r="A43" s="4" t="s">
        <v>341</v>
      </c>
    </row>
    <row r="45" ht="51.75" customHeight="1">
      <c r="A45" s="4" t="s">
        <v>273</v>
      </c>
    </row>
    <row r="47" ht="35.25" customHeight="1">
      <c r="A47" s="4" t="s">
        <v>274</v>
      </c>
    </row>
    <row r="48" ht="23.25" customHeight="1">
      <c r="A48" s="1" t="s">
        <v>275</v>
      </c>
    </row>
    <row r="49" ht="35.25" customHeight="1">
      <c r="A49" s="4" t="s">
        <v>276</v>
      </c>
    </row>
    <row r="51" ht="72" customHeight="1">
      <c r="A51" s="4" t="s">
        <v>277</v>
      </c>
    </row>
    <row r="53" ht="67.5" customHeight="1">
      <c r="A53" s="4" t="s">
        <v>342</v>
      </c>
    </row>
    <row r="54" ht="15.75">
      <c r="A54" s="4"/>
    </row>
    <row r="55" ht="53.25" customHeight="1">
      <c r="A55" s="4" t="s">
        <v>296</v>
      </c>
    </row>
    <row r="56" ht="69" customHeight="1">
      <c r="A56" s="4" t="s">
        <v>278</v>
      </c>
    </row>
    <row r="57" ht="90" customHeight="1">
      <c r="A57" s="4" t="s">
        <v>280</v>
      </c>
    </row>
    <row r="58" ht="154.5" customHeight="1">
      <c r="A58" s="4" t="s">
        <v>279</v>
      </c>
    </row>
    <row r="59" ht="116.25" customHeight="1">
      <c r="A59" s="406" t="s">
        <v>343</v>
      </c>
    </row>
    <row r="60" ht="91.5" customHeight="1">
      <c r="A60" s="4" t="s">
        <v>344</v>
      </c>
    </row>
    <row r="61" ht="66.75" customHeight="1">
      <c r="A61" s="4" t="s">
        <v>345</v>
      </c>
    </row>
    <row r="62" ht="127.5" customHeight="1">
      <c r="A62" s="4" t="s">
        <v>346</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286</v>
      </c>
    </row>
    <row r="71" s="4" customFormat="1" ht="81" customHeight="1">
      <c r="A71" s="4" t="s">
        <v>287</v>
      </c>
    </row>
    <row r="72" s="4" customFormat="1" ht="41.25" customHeight="1">
      <c r="A72" s="4" t="s">
        <v>288</v>
      </c>
    </row>
    <row r="73" s="4" customFormat="1" ht="21.75" customHeight="1">
      <c r="A73" s="4" t="s">
        <v>289</v>
      </c>
    </row>
    <row r="74" s="4" customFormat="1" ht="23.25" customHeight="1">
      <c r="A74" s="4" t="s">
        <v>290</v>
      </c>
    </row>
    <row r="75" s="4" customFormat="1" ht="43.5" customHeight="1">
      <c r="A75" s="4" t="s">
        <v>291</v>
      </c>
    </row>
    <row r="76" s="4" customFormat="1" ht="54" customHeight="1">
      <c r="A76" s="4" t="s">
        <v>292</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37">
      <selection activeCell="G55" sqref="G55"/>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Harrisonville Cemetery District No. 3</v>
      </c>
      <c r="B1" s="32"/>
      <c r="C1" s="83"/>
      <c r="D1" s="83"/>
      <c r="E1" s="32"/>
      <c r="F1" s="32"/>
      <c r="G1" s="140"/>
    </row>
    <row r="2" spans="1:7" ht="15.75">
      <c r="A2" s="32" t="str">
        <f>inputPrYr!D4</f>
        <v>Montgomery</v>
      </c>
      <c r="B2" s="32"/>
      <c r="C2" s="83"/>
      <c r="D2" s="83"/>
      <c r="E2" s="32"/>
      <c r="F2" s="32"/>
      <c r="G2" s="80"/>
    </row>
    <row r="3" spans="1:8" ht="15.75">
      <c r="A3" s="74" t="s">
        <v>100</v>
      </c>
      <c r="B3" s="74"/>
      <c r="C3" s="83"/>
      <c r="D3" s="83"/>
      <c r="E3" s="32"/>
      <c r="F3" s="32"/>
      <c r="G3" s="84"/>
      <c r="H3" s="140">
        <f>inputPrYr!$D$6</f>
        <v>2012</v>
      </c>
    </row>
    <row r="4" spans="1:7" ht="15.75">
      <c r="A4" s="32"/>
      <c r="B4" s="32"/>
      <c r="C4" s="38"/>
      <c r="D4" s="38"/>
      <c r="E4" s="38"/>
      <c r="F4" s="38"/>
      <c r="G4" s="38"/>
    </row>
    <row r="5" spans="1:7" ht="15.75">
      <c r="A5" s="35" t="s">
        <v>43</v>
      </c>
      <c r="B5" s="35"/>
      <c r="C5" s="415" t="s">
        <v>318</v>
      </c>
      <c r="D5" s="407"/>
      <c r="E5" s="408" t="s">
        <v>317</v>
      </c>
      <c r="F5" s="409"/>
      <c r="G5" s="78" t="s">
        <v>314</v>
      </c>
    </row>
    <row r="6" spans="1:7" ht="15.75">
      <c r="A6" s="55" t="str">
        <f>inputPrYr!B18</f>
        <v>General</v>
      </c>
      <c r="B6" s="55"/>
      <c r="C6" s="410" t="str">
        <f>CONCATENATE("Actual ",H3-2,"")</f>
        <v>Actual 2010</v>
      </c>
      <c r="D6" s="411"/>
      <c r="E6" s="410" t="str">
        <f>CONCATENATE("Estimate ",H3-1,"")</f>
        <v>Estimate 2011</v>
      </c>
      <c r="F6" s="411"/>
      <c r="G6" s="181" t="str">
        <f>CONCATENATE("Year ",H3,"")</f>
        <v>Year 2012</v>
      </c>
    </row>
    <row r="7" spans="1:7" ht="15.75">
      <c r="A7" s="48" t="s">
        <v>145</v>
      </c>
      <c r="B7" s="309"/>
      <c r="C7" s="412">
        <v>9210</v>
      </c>
      <c r="D7" s="453"/>
      <c r="E7" s="456">
        <f>C42</f>
        <v>12179.4</v>
      </c>
      <c r="F7" s="457"/>
      <c r="G7" s="49">
        <f>E42</f>
        <v>7884.4000000000015</v>
      </c>
    </row>
    <row r="8" spans="1:7" ht="15.75">
      <c r="A8" s="308" t="s">
        <v>147</v>
      </c>
      <c r="B8" s="309"/>
      <c r="C8" s="454"/>
      <c r="D8" s="455"/>
      <c r="E8" s="454"/>
      <c r="F8" s="455"/>
      <c r="G8" s="51"/>
    </row>
    <row r="9" spans="1:7" ht="15.75">
      <c r="A9" s="48" t="s">
        <v>44</v>
      </c>
      <c r="B9" s="309"/>
      <c r="C9" s="412">
        <v>5748</v>
      </c>
      <c r="D9" s="453"/>
      <c r="E9" s="454">
        <f>inputPrYr!E18</f>
        <v>5853</v>
      </c>
      <c r="F9" s="455"/>
      <c r="G9" s="52" t="s">
        <v>35</v>
      </c>
    </row>
    <row r="10" spans="1:7" ht="15.75">
      <c r="A10" s="48" t="s">
        <v>45</v>
      </c>
      <c r="B10" s="309"/>
      <c r="C10" s="412">
        <v>74</v>
      </c>
      <c r="D10" s="453"/>
      <c r="E10" s="412">
        <v>0</v>
      </c>
      <c r="F10" s="453"/>
      <c r="G10" s="20">
        <v>0</v>
      </c>
    </row>
    <row r="11" spans="1:7" ht="15.75">
      <c r="A11" s="48" t="s">
        <v>46</v>
      </c>
      <c r="B11" s="309"/>
      <c r="C11" s="412">
        <v>138</v>
      </c>
      <c r="D11" s="453"/>
      <c r="E11" s="412">
        <v>122</v>
      </c>
      <c r="F11" s="453"/>
      <c r="G11" s="51">
        <f>mvalloc!D11</f>
        <v>114</v>
      </c>
    </row>
    <row r="12" spans="1:7" ht="15.75">
      <c r="A12" s="48" t="s">
        <v>47</v>
      </c>
      <c r="B12" s="309"/>
      <c r="C12" s="412">
        <v>3</v>
      </c>
      <c r="D12" s="453"/>
      <c r="E12" s="412">
        <v>2</v>
      </c>
      <c r="F12" s="453"/>
      <c r="G12" s="51">
        <f>mvalloc!E11</f>
        <v>3</v>
      </c>
    </row>
    <row r="13" spans="1:7" ht="15.75">
      <c r="A13" s="311" t="s">
        <v>129</v>
      </c>
      <c r="B13" s="309"/>
      <c r="C13" s="412">
        <v>12</v>
      </c>
      <c r="D13" s="453"/>
      <c r="E13" s="412">
        <v>8</v>
      </c>
      <c r="F13" s="453"/>
      <c r="G13" s="51">
        <f>mvalloc!F11</f>
        <v>7</v>
      </c>
    </row>
    <row r="14" spans="1:7" ht="15.75">
      <c r="A14" s="311" t="s">
        <v>186</v>
      </c>
      <c r="B14" s="309"/>
      <c r="C14" s="412">
        <v>0</v>
      </c>
      <c r="D14" s="453"/>
      <c r="E14" s="412">
        <v>0</v>
      </c>
      <c r="F14" s="453"/>
      <c r="G14" s="51">
        <f>inputOth!E30</f>
        <v>0</v>
      </c>
    </row>
    <row r="15" spans="1:7" ht="15.75">
      <c r="A15" s="311" t="s">
        <v>187</v>
      </c>
      <c r="B15" s="309"/>
      <c r="C15" s="412">
        <v>0</v>
      </c>
      <c r="D15" s="453"/>
      <c r="E15" s="412">
        <v>0</v>
      </c>
      <c r="F15" s="453"/>
      <c r="G15" s="51">
        <f>mvalloc!G11</f>
        <v>0</v>
      </c>
    </row>
    <row r="16" spans="1:7" ht="15.75">
      <c r="A16" s="305" t="s">
        <v>48</v>
      </c>
      <c r="B16" s="310"/>
      <c r="C16" s="412">
        <v>0</v>
      </c>
      <c r="D16" s="453"/>
      <c r="E16" s="412">
        <v>0</v>
      </c>
      <c r="F16" s="453"/>
      <c r="G16" s="20">
        <v>0</v>
      </c>
    </row>
    <row r="17" spans="1:7" ht="15.75">
      <c r="A17" s="305" t="s">
        <v>363</v>
      </c>
      <c r="B17" s="310"/>
      <c r="C17" s="412">
        <v>2700</v>
      </c>
      <c r="D17" s="453"/>
      <c r="E17" s="412">
        <v>0</v>
      </c>
      <c r="F17" s="453"/>
      <c r="G17" s="20">
        <v>0</v>
      </c>
    </row>
    <row r="18" spans="1:7" ht="15.75">
      <c r="A18" s="305" t="s">
        <v>262</v>
      </c>
      <c r="B18" s="310"/>
      <c r="C18" s="412">
        <v>25</v>
      </c>
      <c r="D18" s="453"/>
      <c r="E18" s="412">
        <v>0</v>
      </c>
      <c r="F18" s="453"/>
      <c r="G18" s="20">
        <v>0</v>
      </c>
    </row>
    <row r="19" spans="1:7" ht="15.75">
      <c r="A19" s="305"/>
      <c r="B19" s="310"/>
      <c r="C19" s="412"/>
      <c r="D19" s="453"/>
      <c r="E19" s="412"/>
      <c r="F19" s="453"/>
      <c r="G19" s="20"/>
    </row>
    <row r="20" spans="1:7" ht="15.75">
      <c r="A20" s="305"/>
      <c r="B20" s="310"/>
      <c r="C20" s="412"/>
      <c r="D20" s="453"/>
      <c r="E20" s="412"/>
      <c r="F20" s="453"/>
      <c r="G20" s="20"/>
    </row>
    <row r="21" spans="1:7" ht="15.75">
      <c r="A21" s="305"/>
      <c r="B21" s="310"/>
      <c r="C21" s="412"/>
      <c r="D21" s="453"/>
      <c r="E21" s="412"/>
      <c r="F21" s="453"/>
      <c r="G21" s="20"/>
    </row>
    <row r="22" spans="1:7" ht="15.75">
      <c r="A22" s="306"/>
      <c r="B22" s="310"/>
      <c r="C22" s="412"/>
      <c r="D22" s="453"/>
      <c r="E22" s="412"/>
      <c r="F22" s="453"/>
      <c r="G22" s="20"/>
    </row>
    <row r="23" spans="1:7" ht="15.75">
      <c r="A23" s="306" t="s">
        <v>49</v>
      </c>
      <c r="B23" s="310"/>
      <c r="C23" s="412"/>
      <c r="D23" s="453"/>
      <c r="E23" s="412"/>
      <c r="F23" s="453"/>
      <c r="G23" s="20"/>
    </row>
    <row r="24" spans="1:7" ht="15.75">
      <c r="A24" s="341" t="s">
        <v>262</v>
      </c>
      <c r="B24" s="318"/>
      <c r="C24" s="413"/>
      <c r="D24" s="414"/>
      <c r="E24" s="413"/>
      <c r="F24" s="414"/>
      <c r="G24" s="307"/>
    </row>
    <row r="25" spans="1:7" ht="15.75">
      <c r="A25" s="341" t="s">
        <v>263</v>
      </c>
      <c r="B25" s="318"/>
      <c r="C25" s="458">
        <f>IF(C26*0.1&lt;C24,"Exceed 10% Rule","")</f>
      </c>
      <c r="D25" s="459"/>
      <c r="E25" s="458">
        <f>IF(E26*0.1&lt;E24,"Exceed 10% Rule","")</f>
      </c>
      <c r="F25" s="459"/>
      <c r="G25" s="342">
        <f>IF(G26*0.1+G47&lt;G24,"Exceed 10% Rule","")</f>
      </c>
    </row>
    <row r="26" spans="1:7" ht="15.75">
      <c r="A26" s="178" t="s">
        <v>50</v>
      </c>
      <c r="B26" s="309"/>
      <c r="C26" s="460">
        <f>SUM(C9:C24)</f>
        <v>8700</v>
      </c>
      <c r="D26" s="461"/>
      <c r="E26" s="460">
        <f>SUM(E9:E24)</f>
        <v>5985</v>
      </c>
      <c r="F26" s="461"/>
      <c r="G26" s="275">
        <f>SUM(G9:G24)</f>
        <v>124</v>
      </c>
    </row>
    <row r="27" spans="1:7" ht="15.75">
      <c r="A27" s="178" t="s">
        <v>51</v>
      </c>
      <c r="B27" s="309"/>
      <c r="C27" s="460">
        <f>C7+C26</f>
        <v>17910</v>
      </c>
      <c r="D27" s="461"/>
      <c r="E27" s="460">
        <f>E7+E26</f>
        <v>18164.4</v>
      </c>
      <c r="F27" s="461"/>
      <c r="G27" s="297">
        <f>G7+G26</f>
        <v>8008.4000000000015</v>
      </c>
    </row>
    <row r="28" spans="1:7" ht="15.75">
      <c r="A28" s="48" t="s">
        <v>52</v>
      </c>
      <c r="B28" s="309"/>
      <c r="C28" s="464"/>
      <c r="D28" s="465"/>
      <c r="E28" s="464"/>
      <c r="F28" s="465"/>
      <c r="G28" s="47"/>
    </row>
    <row r="29" spans="1:7" ht="15.75">
      <c r="A29" s="305" t="s">
        <v>362</v>
      </c>
      <c r="B29" s="310"/>
      <c r="C29" s="412">
        <v>5400</v>
      </c>
      <c r="D29" s="453"/>
      <c r="E29" s="412">
        <v>7500</v>
      </c>
      <c r="F29" s="453"/>
      <c r="G29" s="20">
        <v>7500</v>
      </c>
    </row>
    <row r="30" spans="1:7" ht="15.75">
      <c r="A30" s="305" t="s">
        <v>364</v>
      </c>
      <c r="B30" s="310"/>
      <c r="C30" s="412">
        <v>120</v>
      </c>
      <c r="D30" s="453"/>
      <c r="E30" s="412">
        <v>1000</v>
      </c>
      <c r="F30" s="453"/>
      <c r="G30" s="20">
        <v>1000</v>
      </c>
    </row>
    <row r="31" spans="1:7" ht="15.75">
      <c r="A31" s="305" t="s">
        <v>365</v>
      </c>
      <c r="B31" s="310"/>
      <c r="C31" s="412">
        <v>15.6</v>
      </c>
      <c r="D31" s="453"/>
      <c r="E31" s="412">
        <v>0</v>
      </c>
      <c r="F31" s="453"/>
      <c r="G31" s="20">
        <v>100</v>
      </c>
    </row>
    <row r="32" spans="1:7" ht="15.75">
      <c r="A32" s="305" t="s">
        <v>262</v>
      </c>
      <c r="B32" s="310"/>
      <c r="C32" s="412">
        <v>195</v>
      </c>
      <c r="D32" s="453"/>
      <c r="E32" s="412">
        <v>0</v>
      </c>
      <c r="F32" s="453"/>
      <c r="G32" s="20">
        <v>420</v>
      </c>
    </row>
    <row r="33" spans="1:7" ht="15.75">
      <c r="A33" s="305" t="s">
        <v>366</v>
      </c>
      <c r="B33" s="310"/>
      <c r="C33" s="412">
        <v>0</v>
      </c>
      <c r="D33" s="453"/>
      <c r="E33" s="412">
        <v>1780</v>
      </c>
      <c r="F33" s="453"/>
      <c r="G33" s="20">
        <v>1780</v>
      </c>
    </row>
    <row r="34" spans="1:7" ht="15.75">
      <c r="A34" s="305"/>
      <c r="B34" s="310"/>
      <c r="C34" s="412"/>
      <c r="D34" s="453"/>
      <c r="E34" s="412"/>
      <c r="F34" s="453"/>
      <c r="G34" s="20"/>
    </row>
    <row r="35" spans="1:7" ht="15.75">
      <c r="A35" s="305"/>
      <c r="B35" s="310"/>
      <c r="C35" s="412"/>
      <c r="D35" s="453"/>
      <c r="E35" s="412"/>
      <c r="F35" s="453"/>
      <c r="G35" s="20"/>
    </row>
    <row r="36" spans="1:7" ht="15.75">
      <c r="A36" s="305"/>
      <c r="B36" s="310"/>
      <c r="C36" s="412"/>
      <c r="D36" s="453"/>
      <c r="E36" s="412"/>
      <c r="F36" s="453"/>
      <c r="G36" s="20"/>
    </row>
    <row r="37" spans="1:7" ht="15.75">
      <c r="A37" s="305"/>
      <c r="B37" s="310"/>
      <c r="C37" s="412"/>
      <c r="D37" s="453"/>
      <c r="E37" s="412"/>
      <c r="F37" s="453"/>
      <c r="G37" s="20"/>
    </row>
    <row r="38" spans="1:7" ht="15.75">
      <c r="A38" s="50" t="s">
        <v>265</v>
      </c>
      <c r="B38" s="318"/>
      <c r="C38" s="412"/>
      <c r="D38" s="453"/>
      <c r="E38" s="412"/>
      <c r="F38" s="453"/>
      <c r="G38" s="273">
        <f>Nhood!E7</f>
      </c>
    </row>
    <row r="39" spans="1:7" ht="15.75">
      <c r="A39" s="50" t="s">
        <v>262</v>
      </c>
      <c r="B39" s="318"/>
      <c r="C39" s="412"/>
      <c r="D39" s="453"/>
      <c r="E39" s="412"/>
      <c r="F39" s="453"/>
      <c r="G39" s="352"/>
    </row>
    <row r="40" spans="1:7" ht="15.75">
      <c r="A40" s="50" t="s">
        <v>264</v>
      </c>
      <c r="B40" s="318"/>
      <c r="C40" s="458">
        <f>IF(C41*0.1&lt;C39,"Exceed 10% Rule","")</f>
      </c>
      <c r="D40" s="459"/>
      <c r="E40" s="458">
        <f>IF(E41*0.1&lt;E39,"Exceed 10% Rule","")</f>
      </c>
      <c r="F40" s="459"/>
      <c r="G40" s="342">
        <f>IF(G41*0.1&lt;G39,"Exceed 10% Rule","")</f>
      </c>
    </row>
    <row r="41" spans="1:7" ht="15.75">
      <c r="A41" s="178" t="s">
        <v>53</v>
      </c>
      <c r="B41" s="309"/>
      <c r="C41" s="460">
        <f>SUM(C29:C39)</f>
        <v>5730.6</v>
      </c>
      <c r="D41" s="461"/>
      <c r="E41" s="460">
        <f>SUM(E29:E39)</f>
        <v>10280</v>
      </c>
      <c r="F41" s="461"/>
      <c r="G41" s="297">
        <f>SUM(G29:G39)</f>
        <v>10800</v>
      </c>
    </row>
    <row r="42" spans="1:7" ht="15.75">
      <c r="A42" s="48" t="s">
        <v>146</v>
      </c>
      <c r="B42" s="309"/>
      <c r="C42" s="462">
        <f>C27-C41</f>
        <v>12179.4</v>
      </c>
      <c r="D42" s="463"/>
      <c r="E42" s="462">
        <f>E27-E41</f>
        <v>7884.4000000000015</v>
      </c>
      <c r="F42" s="463"/>
      <c r="G42" s="52" t="s">
        <v>35</v>
      </c>
    </row>
    <row r="43" spans="1:8" ht="15.75">
      <c r="A43" s="80" t="str">
        <f>CONCATENATE("",H3-2,"/",H3-1," Budget Authority Amount:")</f>
        <v>2010/2011 Budget Authority Amount:</v>
      </c>
      <c r="B43" s="326">
        <f>inputOth!B42</f>
        <v>10280</v>
      </c>
      <c r="C43" s="155">
        <f>inputPrYr!D18</f>
        <v>10280</v>
      </c>
      <c r="D43" s="473" t="s">
        <v>319</v>
      </c>
      <c r="E43" s="474"/>
      <c r="F43" s="475"/>
      <c r="G43" s="20"/>
      <c r="H43" s="290">
        <f>IF(G41/0.95-G41&lt;G43,"Exceeds 5%","")</f>
      </c>
    </row>
    <row r="44" spans="1:7" ht="15.75">
      <c r="A44" s="80" t="str">
        <f>CONCATENATE("Violation of Budget Law for ",H3-2,"/",H3-1,":")</f>
        <v>Violation of Budget Law for 2010/2011:</v>
      </c>
      <c r="B44" s="327" t="str">
        <f>IF(C41&gt;B43,"Yes","No")</f>
        <v>No</v>
      </c>
      <c r="C44" s="327" t="str">
        <f>IF(E41&gt;C43,"Yes","No")</f>
        <v>No</v>
      </c>
      <c r="D44" s="32"/>
      <c r="E44" s="466" t="s">
        <v>320</v>
      </c>
      <c r="F44" s="467"/>
      <c r="G44" s="51">
        <f>G41+G43</f>
        <v>10800</v>
      </c>
    </row>
    <row r="45" spans="1:7" ht="15.75">
      <c r="A45" s="80" t="str">
        <f>CONCATENATE("Possible Cash Violation for ",H3-2,":")</f>
        <v>Possible Cash Violation for 2010:</v>
      </c>
      <c r="B45" s="327" t="str">
        <f>IF(C42&lt;0,"Yes","No")</f>
        <v>No</v>
      </c>
      <c r="C45" s="32"/>
      <c r="D45" s="32"/>
      <c r="E45" s="466" t="s">
        <v>54</v>
      </c>
      <c r="F45" s="467"/>
      <c r="G45" s="273">
        <f>IF(G44-G27&gt;0,G44-G27,0)</f>
        <v>2791.5999999999985</v>
      </c>
    </row>
    <row r="46" spans="1:7" ht="15.75">
      <c r="A46" s="81"/>
      <c r="B46" s="81"/>
      <c r="C46" s="81"/>
      <c r="D46" s="468" t="s">
        <v>321</v>
      </c>
      <c r="E46" s="469"/>
      <c r="F46" s="403">
        <f>inputOth!$E$36</f>
        <v>0.015</v>
      </c>
      <c r="G46" s="51">
        <f>ROUND(IF(F46&gt;0,(G45*F46),0),0)</f>
        <v>42</v>
      </c>
    </row>
    <row r="47" spans="1:7" ht="15.75">
      <c r="A47" s="32"/>
      <c r="B47" s="32"/>
      <c r="C47" s="470" t="str">
        <f>CONCATENATE("Amount of  ",$H$3-1," Ad Valorem Tax")</f>
        <v>Amount of  2011 Ad Valorem Tax</v>
      </c>
      <c r="D47" s="471"/>
      <c r="E47" s="471"/>
      <c r="F47" s="472"/>
      <c r="G47" s="273">
        <f>G45+G46</f>
        <v>2833.5999999999985</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294</v>
      </c>
      <c r="D53" s="32"/>
      <c r="E53" s="32"/>
      <c r="F53" s="32"/>
      <c r="G53" s="32"/>
    </row>
    <row r="55" spans="1:2" ht="15.75">
      <c r="A55"/>
      <c r="B55"/>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5:F35"/>
    <mergeCell ref="E36:F36"/>
    <mergeCell ref="E29:F29"/>
    <mergeCell ref="E30:F30"/>
    <mergeCell ref="E31:F31"/>
    <mergeCell ref="E32:F32"/>
    <mergeCell ref="E33:F33"/>
    <mergeCell ref="E34:F34"/>
    <mergeCell ref="E22:F22"/>
    <mergeCell ref="E23:F23"/>
    <mergeCell ref="C29:D29"/>
    <mergeCell ref="C30:D30"/>
    <mergeCell ref="C28:D28"/>
    <mergeCell ref="E28:F28"/>
    <mergeCell ref="C26:D26"/>
    <mergeCell ref="C27:D27"/>
    <mergeCell ref="E26:F26"/>
    <mergeCell ref="E27:F27"/>
    <mergeCell ref="E14:F14"/>
    <mergeCell ref="E15:F15"/>
    <mergeCell ref="E16:F16"/>
    <mergeCell ref="E17:F17"/>
    <mergeCell ref="E18:F18"/>
    <mergeCell ref="E19:F19"/>
    <mergeCell ref="E20:F20"/>
    <mergeCell ref="E21:F21"/>
    <mergeCell ref="E10:F10"/>
    <mergeCell ref="E11:F11"/>
    <mergeCell ref="E12:F12"/>
    <mergeCell ref="E13:F13"/>
    <mergeCell ref="C22:D22"/>
    <mergeCell ref="C23:D23"/>
    <mergeCell ref="C16:D16"/>
    <mergeCell ref="C17:D17"/>
    <mergeCell ref="C18:D18"/>
    <mergeCell ref="C19:D19"/>
    <mergeCell ref="C20:D20"/>
    <mergeCell ref="C21:D21"/>
    <mergeCell ref="E40:F40"/>
    <mergeCell ref="E41:F41"/>
    <mergeCell ref="E42:F42"/>
    <mergeCell ref="C39:D39"/>
    <mergeCell ref="E39:F39"/>
    <mergeCell ref="C35:D35"/>
    <mergeCell ref="C36:D36"/>
    <mergeCell ref="C41:D41"/>
    <mergeCell ref="C42:D42"/>
    <mergeCell ref="C31:D31"/>
    <mergeCell ref="C32:D32"/>
    <mergeCell ref="C33:D33"/>
    <mergeCell ref="C34:D34"/>
    <mergeCell ref="E9:F9"/>
    <mergeCell ref="E24:F24"/>
    <mergeCell ref="C25:D25"/>
    <mergeCell ref="E25:F25"/>
    <mergeCell ref="C9:D9"/>
    <mergeCell ref="C10:D10"/>
    <mergeCell ref="C11:D11"/>
    <mergeCell ref="C12:D12"/>
    <mergeCell ref="C13:D13"/>
    <mergeCell ref="C14:D14"/>
    <mergeCell ref="C24:D24"/>
    <mergeCell ref="C5:D5"/>
    <mergeCell ref="E5:F5"/>
    <mergeCell ref="C6:D6"/>
    <mergeCell ref="E6:F6"/>
    <mergeCell ref="C7:D7"/>
    <mergeCell ref="C8:D8"/>
    <mergeCell ref="E7:F7"/>
    <mergeCell ref="E8:F8"/>
    <mergeCell ref="C15:D15"/>
  </mergeCells>
  <conditionalFormatting sqref="G43">
    <cfRule type="cellIs" priority="1" dxfId="2" operator="greaterThan" stopIfTrue="1">
      <formula>$G$41/0.95-$G$41</formula>
    </cfRule>
  </conditionalFormatting>
  <conditionalFormatting sqref="C39:D39">
    <cfRule type="cellIs" priority="2" dxfId="2" operator="greaterThan" stopIfTrue="1">
      <formula>$C$41*0.1</formula>
    </cfRule>
  </conditionalFormatting>
  <conditionalFormatting sqref="E39:F39">
    <cfRule type="cellIs" priority="3" dxfId="2" operator="greaterThan" stopIfTrue="1">
      <formula>$E$41*0.1</formula>
    </cfRule>
  </conditionalFormatting>
  <conditionalFormatting sqref="G39">
    <cfRule type="cellIs" priority="4" dxfId="2" operator="greaterThan" stopIfTrue="1">
      <formula>$G$41*0.1</formula>
    </cfRule>
  </conditionalFormatting>
  <conditionalFormatting sqref="C24:D24">
    <cfRule type="cellIs" priority="5" dxfId="2" operator="greaterThan" stopIfTrue="1">
      <formula>$C$26*0.1</formula>
    </cfRule>
  </conditionalFormatting>
  <conditionalFormatting sqref="E24:F24">
    <cfRule type="cellIs" priority="6" dxfId="2" operator="greaterThan" stopIfTrue="1">
      <formula>$E$26*0.1</formula>
    </cfRule>
  </conditionalFormatting>
  <conditionalFormatting sqref="C42:D42">
    <cfRule type="cellIs" priority="7" dxfId="2" operator="lessThan" stopIfTrue="1">
      <formula>0</formula>
    </cfRule>
  </conditionalFormatting>
  <conditionalFormatting sqref="C41:D41">
    <cfRule type="cellIs" priority="8" dxfId="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Harrisonville Cemetery District No. 3</v>
      </c>
      <c r="B1" s="79"/>
      <c r="C1" s="32"/>
      <c r="D1" s="32"/>
      <c r="E1" s="32"/>
      <c r="F1" s="32"/>
      <c r="G1" s="169">
        <f>inputPrYr!$D$6</f>
        <v>2012</v>
      </c>
    </row>
    <row r="2" spans="1:7" ht="15.75">
      <c r="A2" s="32"/>
      <c r="B2" s="32"/>
      <c r="C2" s="32"/>
      <c r="D2" s="32"/>
      <c r="E2" s="32"/>
      <c r="F2" s="32"/>
      <c r="G2" s="81"/>
    </row>
    <row r="3" spans="1:7" ht="15.75">
      <c r="A3" s="74" t="s">
        <v>257</v>
      </c>
      <c r="B3" s="74"/>
      <c r="C3" s="83"/>
      <c r="D3" s="83"/>
      <c r="E3" s="83"/>
      <c r="F3" s="83"/>
      <c r="G3" s="170"/>
    </row>
    <row r="4" spans="1:7" ht="15.75">
      <c r="A4" s="32"/>
      <c r="B4" s="32"/>
      <c r="C4" s="171"/>
      <c r="D4" s="171"/>
      <c r="E4" s="171"/>
      <c r="F4" s="171"/>
      <c r="G4" s="171"/>
    </row>
    <row r="5" spans="1:7" ht="15.75">
      <c r="A5" s="82" t="s">
        <v>43</v>
      </c>
      <c r="B5" s="82"/>
      <c r="C5" s="415" t="s">
        <v>184</v>
      </c>
      <c r="D5" s="407"/>
      <c r="E5" s="408" t="s">
        <v>317</v>
      </c>
      <c r="F5" s="409"/>
      <c r="G5" s="78" t="s">
        <v>314</v>
      </c>
    </row>
    <row r="6" spans="1:7" ht="15.75">
      <c r="A6" s="186" t="s">
        <v>352</v>
      </c>
      <c r="B6" s="186"/>
      <c r="C6" s="482">
        <f>G1-2</f>
        <v>2010</v>
      </c>
      <c r="D6" s="483"/>
      <c r="E6" s="482" t="str">
        <f>CONCATENATE("Estimate ",G1-1,"")</f>
        <v>Estimate 2011</v>
      </c>
      <c r="F6" s="483"/>
      <c r="G6" s="172" t="str">
        <f>CONCATENATE("Year ",G1,"")</f>
        <v>Year 2012</v>
      </c>
    </row>
    <row r="7" spans="1:7" ht="15.75">
      <c r="A7" s="148" t="s">
        <v>145</v>
      </c>
      <c r="B7" s="318"/>
      <c r="C7" s="476"/>
      <c r="D7" s="477"/>
      <c r="E7" s="480">
        <f>C55</f>
        <v>0</v>
      </c>
      <c r="F7" s="481"/>
      <c r="G7" s="174">
        <f>E55</f>
        <v>0</v>
      </c>
    </row>
    <row r="8" spans="1:7" ht="15.75">
      <c r="A8" s="315" t="s">
        <v>147</v>
      </c>
      <c r="B8" s="318"/>
      <c r="C8" s="478"/>
      <c r="D8" s="479"/>
      <c r="E8" s="480"/>
      <c r="F8" s="481"/>
      <c r="G8" s="174"/>
    </row>
    <row r="9" spans="1:7" ht="15.75">
      <c r="A9" s="148" t="s">
        <v>44</v>
      </c>
      <c r="B9" s="318"/>
      <c r="C9" s="412"/>
      <c r="D9" s="453"/>
      <c r="E9" s="478">
        <f>inputPrYr!E19</f>
        <v>0</v>
      </c>
      <c r="F9" s="479"/>
      <c r="G9" s="176" t="s">
        <v>35</v>
      </c>
    </row>
    <row r="10" spans="1:7" ht="15.75">
      <c r="A10" s="148" t="s">
        <v>45</v>
      </c>
      <c r="B10" s="318"/>
      <c r="C10" s="412"/>
      <c r="D10" s="453"/>
      <c r="E10" s="412"/>
      <c r="F10" s="453"/>
      <c r="G10" s="173"/>
    </row>
    <row r="11" spans="1:7" ht="15.75">
      <c r="A11" s="148" t="s">
        <v>46</v>
      </c>
      <c r="B11" s="318"/>
      <c r="C11" s="412"/>
      <c r="D11" s="453"/>
      <c r="E11" s="412"/>
      <c r="F11" s="453"/>
      <c r="G11" s="175">
        <f>mvalloc!D12</f>
        <v>0</v>
      </c>
    </row>
    <row r="12" spans="1:7" ht="15.75">
      <c r="A12" s="148" t="s">
        <v>47</v>
      </c>
      <c r="B12" s="318"/>
      <c r="C12" s="412"/>
      <c r="D12" s="453"/>
      <c r="E12" s="412"/>
      <c r="F12" s="453"/>
      <c r="G12" s="175">
        <f>mvalloc!E12</f>
        <v>0</v>
      </c>
    </row>
    <row r="13" spans="1:7" ht="15.75">
      <c r="A13" s="312" t="s">
        <v>129</v>
      </c>
      <c r="B13" s="318"/>
      <c r="C13" s="412"/>
      <c r="D13" s="453"/>
      <c r="E13" s="412"/>
      <c r="F13" s="453"/>
      <c r="G13" s="175">
        <f>mvalloc!F12</f>
        <v>0</v>
      </c>
    </row>
    <row r="14" spans="1:7" ht="15.75">
      <c r="A14" s="312" t="s">
        <v>187</v>
      </c>
      <c r="B14" s="318"/>
      <c r="C14" s="412"/>
      <c r="D14" s="453"/>
      <c r="E14" s="412"/>
      <c r="F14" s="453"/>
      <c r="G14" s="175">
        <f>mvalloc!G12</f>
        <v>0</v>
      </c>
    </row>
    <row r="15" spans="1:7" ht="15.75">
      <c r="A15" s="312"/>
      <c r="B15" s="318"/>
      <c r="C15" s="412"/>
      <c r="D15" s="453"/>
      <c r="E15" s="412"/>
      <c r="F15" s="453"/>
      <c r="G15" s="175"/>
    </row>
    <row r="16" spans="1:7" ht="15.75">
      <c r="A16" s="312"/>
      <c r="B16" s="318"/>
      <c r="C16" s="412"/>
      <c r="D16" s="453"/>
      <c r="E16" s="412"/>
      <c r="F16" s="453"/>
      <c r="G16" s="175"/>
    </row>
    <row r="17" spans="1:7" ht="15.75">
      <c r="A17" s="313"/>
      <c r="B17" s="319"/>
      <c r="C17" s="412"/>
      <c r="D17" s="453"/>
      <c r="E17" s="412"/>
      <c r="F17" s="453"/>
      <c r="G17" s="173"/>
    </row>
    <row r="18" spans="1:7" ht="15.75">
      <c r="A18" s="313"/>
      <c r="B18" s="319"/>
      <c r="C18" s="412"/>
      <c r="D18" s="453"/>
      <c r="E18" s="412"/>
      <c r="F18" s="453"/>
      <c r="G18" s="177"/>
    </row>
    <row r="19" spans="1:7" ht="15.75">
      <c r="A19" s="313"/>
      <c r="B19" s="319"/>
      <c r="C19" s="412"/>
      <c r="D19" s="453"/>
      <c r="E19" s="412"/>
      <c r="F19" s="453"/>
      <c r="G19" s="173"/>
    </row>
    <row r="20" spans="1:7" ht="15.75">
      <c r="A20" s="313"/>
      <c r="B20" s="319"/>
      <c r="C20" s="412"/>
      <c r="D20" s="453"/>
      <c r="E20" s="412"/>
      <c r="F20" s="453"/>
      <c r="G20" s="173"/>
    </row>
    <row r="21" spans="1:7" ht="15.75">
      <c r="A21" s="313"/>
      <c r="B21" s="319"/>
      <c r="C21" s="412"/>
      <c r="D21" s="453"/>
      <c r="E21" s="412"/>
      <c r="F21" s="453"/>
      <c r="G21" s="173"/>
    </row>
    <row r="22" spans="1:7" ht="15.75">
      <c r="A22" s="313"/>
      <c r="B22" s="319"/>
      <c r="C22" s="412"/>
      <c r="D22" s="453"/>
      <c r="E22" s="412"/>
      <c r="F22" s="453"/>
      <c r="G22" s="173"/>
    </row>
    <row r="23" spans="1:7" ht="15.75">
      <c r="A23" s="313"/>
      <c r="B23" s="319"/>
      <c r="C23" s="412"/>
      <c r="D23" s="453"/>
      <c r="E23" s="412"/>
      <c r="F23" s="453"/>
      <c r="G23" s="173"/>
    </row>
    <row r="24" spans="1:7" ht="15.75">
      <c r="A24" s="313"/>
      <c r="B24" s="319"/>
      <c r="C24" s="412"/>
      <c r="D24" s="453"/>
      <c r="E24" s="412"/>
      <c r="F24" s="453"/>
      <c r="G24" s="173"/>
    </row>
    <row r="25" spans="1:7" ht="15.75">
      <c r="A25" s="313"/>
      <c r="B25" s="319"/>
      <c r="C25" s="412"/>
      <c r="D25" s="453"/>
      <c r="E25" s="412"/>
      <c r="F25" s="453"/>
      <c r="G25" s="173"/>
    </row>
    <row r="26" spans="1:7" ht="15.75">
      <c r="A26" s="313" t="s">
        <v>185</v>
      </c>
      <c r="B26" s="319"/>
      <c r="C26" s="412"/>
      <c r="D26" s="453"/>
      <c r="E26" s="412"/>
      <c r="F26" s="453"/>
      <c r="G26" s="173"/>
    </row>
    <row r="27" spans="1:7" ht="15.75">
      <c r="A27" s="314" t="s">
        <v>49</v>
      </c>
      <c r="B27" s="319"/>
      <c r="C27" s="412"/>
      <c r="D27" s="453"/>
      <c r="E27" s="412"/>
      <c r="F27" s="453"/>
      <c r="G27" s="173"/>
    </row>
    <row r="28" spans="1:7" ht="15.75">
      <c r="A28" s="341" t="s">
        <v>262</v>
      </c>
      <c r="B28" s="318"/>
      <c r="C28" s="476"/>
      <c r="D28" s="477"/>
      <c r="E28" s="476"/>
      <c r="F28" s="477"/>
      <c r="G28" s="317"/>
    </row>
    <row r="29" spans="1:7" ht="15.75">
      <c r="A29" s="341" t="s">
        <v>263</v>
      </c>
      <c r="B29" s="318"/>
      <c r="C29" s="458">
        <f>IF(C30*0.1&lt;C28,"Exceed 10% Rule","")</f>
      </c>
      <c r="D29" s="459"/>
      <c r="E29" s="458">
        <f>IF(E30*0.1&lt;E28,"Exceed 10% Rule","")</f>
      </c>
      <c r="F29" s="459"/>
      <c r="G29" s="342">
        <f>IF(G30*0.1+G60&lt;G28,"Exceed 10% Rule","")</f>
      </c>
    </row>
    <row r="30" spans="1:7" ht="15.75">
      <c r="A30" s="178" t="s">
        <v>50</v>
      </c>
      <c r="B30" s="318"/>
      <c r="C30" s="484">
        <f>SUM(C9:C28)</f>
        <v>0</v>
      </c>
      <c r="D30" s="486"/>
      <c r="E30" s="484">
        <f>SUM(E9:E28)</f>
        <v>0</v>
      </c>
      <c r="F30" s="485"/>
      <c r="G30" s="278">
        <f>SUM(G9:G28)</f>
        <v>0</v>
      </c>
    </row>
    <row r="31" spans="1:7" ht="15.75">
      <c r="A31" s="178" t="s">
        <v>51</v>
      </c>
      <c r="B31" s="318"/>
      <c r="C31" s="484">
        <f>C7+C30</f>
        <v>0</v>
      </c>
      <c r="D31" s="485"/>
      <c r="E31" s="484">
        <f>E7+E30</f>
        <v>0</v>
      </c>
      <c r="F31" s="485"/>
      <c r="G31" s="277">
        <f>G7+G30</f>
        <v>0</v>
      </c>
    </row>
    <row r="32" spans="1:7" ht="15.75">
      <c r="A32" s="315" t="s">
        <v>52</v>
      </c>
      <c r="B32" s="318"/>
      <c r="C32" s="478"/>
      <c r="D32" s="479"/>
      <c r="E32" s="478"/>
      <c r="F32" s="479"/>
      <c r="G32" s="175"/>
    </row>
    <row r="33" spans="1:7" ht="15.75">
      <c r="A33" s="316"/>
      <c r="B33" s="319"/>
      <c r="C33" s="412"/>
      <c r="D33" s="453"/>
      <c r="E33" s="412"/>
      <c r="F33" s="453"/>
      <c r="G33" s="173"/>
    </row>
    <row r="34" spans="1:7" ht="15.75">
      <c r="A34" s="316"/>
      <c r="B34" s="319"/>
      <c r="C34" s="412"/>
      <c r="D34" s="453"/>
      <c r="E34" s="412"/>
      <c r="F34" s="453"/>
      <c r="G34" s="173"/>
    </row>
    <row r="35" spans="1:7" ht="15.75">
      <c r="A35" s="316"/>
      <c r="B35" s="319"/>
      <c r="C35" s="412"/>
      <c r="D35" s="453"/>
      <c r="E35" s="412"/>
      <c r="F35" s="453"/>
      <c r="G35" s="173"/>
    </row>
    <row r="36" spans="1:7" ht="15.75">
      <c r="A36" s="316"/>
      <c r="B36" s="319"/>
      <c r="C36" s="412"/>
      <c r="D36" s="453"/>
      <c r="E36" s="412"/>
      <c r="F36" s="453"/>
      <c r="G36" s="173"/>
    </row>
    <row r="37" spans="1:7" ht="15.75">
      <c r="A37" s="316"/>
      <c r="B37" s="319"/>
      <c r="C37" s="412"/>
      <c r="D37" s="453"/>
      <c r="E37" s="412"/>
      <c r="F37" s="453"/>
      <c r="G37" s="173"/>
    </row>
    <row r="38" spans="1:7" ht="15.75">
      <c r="A38" s="316"/>
      <c r="B38" s="319"/>
      <c r="C38" s="412"/>
      <c r="D38" s="453"/>
      <c r="E38" s="412"/>
      <c r="F38" s="453"/>
      <c r="G38" s="173"/>
    </row>
    <row r="39" spans="1:7" ht="15.75">
      <c r="A39" s="316"/>
      <c r="B39" s="319"/>
      <c r="C39" s="412"/>
      <c r="D39" s="453"/>
      <c r="E39" s="412"/>
      <c r="F39" s="453"/>
      <c r="G39" s="173"/>
    </row>
    <row r="40" spans="1:7" ht="15.75">
      <c r="A40" s="316"/>
      <c r="B40" s="319"/>
      <c r="C40" s="412"/>
      <c r="D40" s="453"/>
      <c r="E40" s="412"/>
      <c r="F40" s="453"/>
      <c r="G40" s="173"/>
    </row>
    <row r="41" spans="1:7" ht="15.75">
      <c r="A41" s="316"/>
      <c r="B41" s="319"/>
      <c r="C41" s="412"/>
      <c r="D41" s="453"/>
      <c r="E41" s="412"/>
      <c r="F41" s="453"/>
      <c r="G41" s="173"/>
    </row>
    <row r="42" spans="1:7" ht="15.75">
      <c r="A42" s="316"/>
      <c r="B42" s="319"/>
      <c r="C42" s="412"/>
      <c r="D42" s="453"/>
      <c r="E42" s="412"/>
      <c r="F42" s="453"/>
      <c r="G42" s="173"/>
    </row>
    <row r="43" spans="1:7" ht="15.75">
      <c r="A43" s="316"/>
      <c r="B43" s="319"/>
      <c r="C43" s="412"/>
      <c r="D43" s="453"/>
      <c r="E43" s="412"/>
      <c r="F43" s="453"/>
      <c r="G43" s="173"/>
    </row>
    <row r="44" spans="1:7" ht="15.75">
      <c r="A44" s="316"/>
      <c r="B44" s="319"/>
      <c r="C44" s="412"/>
      <c r="D44" s="453"/>
      <c r="E44" s="412"/>
      <c r="F44" s="453"/>
      <c r="G44" s="173"/>
    </row>
    <row r="45" spans="1:7" ht="15.75">
      <c r="A45" s="316"/>
      <c r="B45" s="319"/>
      <c r="C45" s="412"/>
      <c r="D45" s="453"/>
      <c r="E45" s="412"/>
      <c r="F45" s="453"/>
      <c r="G45" s="173"/>
    </row>
    <row r="46" spans="1:7" ht="15.75">
      <c r="A46" s="316"/>
      <c r="B46" s="319"/>
      <c r="C46" s="412"/>
      <c r="D46" s="453"/>
      <c r="E46" s="412"/>
      <c r="F46" s="453"/>
      <c r="G46" s="173"/>
    </row>
    <row r="47" spans="1:7" ht="15.75">
      <c r="A47" s="316"/>
      <c r="B47" s="319"/>
      <c r="C47" s="412"/>
      <c r="D47" s="453"/>
      <c r="E47" s="412"/>
      <c r="F47" s="453"/>
      <c r="G47" s="173"/>
    </row>
    <row r="48" spans="1:7" ht="15.75">
      <c r="A48" s="316"/>
      <c r="B48" s="319"/>
      <c r="C48" s="412"/>
      <c r="D48" s="453"/>
      <c r="E48" s="412"/>
      <c r="F48" s="453"/>
      <c r="G48" s="173"/>
    </row>
    <row r="49" spans="1:7" ht="15.75">
      <c r="A49" s="316"/>
      <c r="B49" s="319"/>
      <c r="C49" s="412"/>
      <c r="D49" s="453"/>
      <c r="E49" s="412"/>
      <c r="F49" s="453"/>
      <c r="G49" s="173"/>
    </row>
    <row r="50" spans="1:7" ht="15.75">
      <c r="A50" s="316"/>
      <c r="B50" s="319"/>
      <c r="C50" s="412"/>
      <c r="D50" s="453"/>
      <c r="E50" s="412"/>
      <c r="F50" s="453"/>
      <c r="G50" s="173"/>
    </row>
    <row r="51" spans="1:7" ht="15.75">
      <c r="A51" s="50" t="s">
        <v>265</v>
      </c>
      <c r="B51" s="318"/>
      <c r="C51" s="476"/>
      <c r="D51" s="477"/>
      <c r="E51" s="476"/>
      <c r="F51" s="477"/>
      <c r="G51" s="271">
        <f>Nhood!E8</f>
      </c>
    </row>
    <row r="52" spans="1:7" ht="15.75">
      <c r="A52" s="50" t="s">
        <v>262</v>
      </c>
      <c r="B52" s="318"/>
      <c r="C52" s="476"/>
      <c r="D52" s="477"/>
      <c r="E52" s="476"/>
      <c r="F52" s="477"/>
      <c r="G52" s="317"/>
    </row>
    <row r="53" spans="1:7" ht="15.75">
      <c r="A53" s="50" t="s">
        <v>264</v>
      </c>
      <c r="B53" s="318"/>
      <c r="C53" s="458">
        <f>IF(C54*0.1&lt;C52,"Exceed 10% Rule","")</f>
      </c>
      <c r="D53" s="459"/>
      <c r="E53" s="458">
        <f>IF(E54*0.1&lt;E52,"Exceed 10% Rule","")</f>
      </c>
      <c r="F53" s="459"/>
      <c r="G53" s="342">
        <f>IF(G54*0.1&lt;G52,"Exceed 10% Rule","")</f>
      </c>
    </row>
    <row r="54" spans="1:7" ht="15.75">
      <c r="A54" s="178" t="s">
        <v>53</v>
      </c>
      <c r="B54" s="318"/>
      <c r="C54" s="484">
        <f>SUM(C33:C52)</f>
        <v>0</v>
      </c>
      <c r="D54" s="486"/>
      <c r="E54" s="484">
        <f>SUM(E33:E52)</f>
        <v>0</v>
      </c>
      <c r="F54" s="485"/>
      <c r="G54" s="278">
        <f>SUM(G33:G52)</f>
        <v>0</v>
      </c>
    </row>
    <row r="55" spans="1:7" ht="15.75">
      <c r="A55" s="148" t="s">
        <v>146</v>
      </c>
      <c r="B55" s="318"/>
      <c r="C55" s="487">
        <f>C31-C54</f>
        <v>0</v>
      </c>
      <c r="D55" s="488"/>
      <c r="E55" s="487">
        <f>E31-E54</f>
        <v>0</v>
      </c>
      <c r="F55" s="488"/>
      <c r="G55" s="176" t="s">
        <v>35</v>
      </c>
    </row>
    <row r="56" spans="1:8" ht="15.75">
      <c r="A56" s="80" t="str">
        <f>CONCATENATE("",G1-2,"/",G1-1," Budget Authority Amount:")</f>
        <v>2010/2011 Budget Authority Amount:</v>
      </c>
      <c r="B56" s="326">
        <f>inputOth!B43</f>
        <v>0</v>
      </c>
      <c r="C56" s="155">
        <f>inputPrYr!D19</f>
        <v>0</v>
      </c>
      <c r="D56" s="473" t="s">
        <v>319</v>
      </c>
      <c r="E56" s="474"/>
      <c r="F56" s="475"/>
      <c r="G56" s="15"/>
      <c r="H56" s="291">
        <f>IF(G54/0.95-G54&lt;G56,"Exceeds 5%","")</f>
      </c>
    </row>
    <row r="57" spans="1:7" ht="15.75">
      <c r="A57" s="80" t="str">
        <f>CONCATENATE("Violation of Budget Law for ",G1-2,"/",G1-1,":")</f>
        <v>Violation of Budget Law for 2010/2011:</v>
      </c>
      <c r="B57" s="327" t="str">
        <f>IF(C54&gt;B56,"Yes","No")</f>
        <v>No</v>
      </c>
      <c r="C57" s="327" t="str">
        <f>IF(E54&gt;C56,"Yes","No")</f>
        <v>No</v>
      </c>
      <c r="D57" s="32"/>
      <c r="E57" s="466" t="s">
        <v>320</v>
      </c>
      <c r="F57" s="467"/>
      <c r="G57" s="49">
        <f>G54+G56</f>
        <v>0</v>
      </c>
    </row>
    <row r="58" spans="1:7" ht="15.75">
      <c r="A58" s="80" t="str">
        <f>CONCATENATE("Possible Cash Violation for ",G1-2,":")</f>
        <v>Possible Cash Violation for 2010:</v>
      </c>
      <c r="B58" s="327" t="str">
        <f>IF(C55&lt;0,"Yes","No")</f>
        <v>No</v>
      </c>
      <c r="C58" s="32"/>
      <c r="D58" s="32"/>
      <c r="E58" s="466" t="s">
        <v>54</v>
      </c>
      <c r="F58" s="467"/>
      <c r="G58" s="276">
        <f>IF(G57-G31&gt;0,G57-G31,0)</f>
        <v>0</v>
      </c>
    </row>
    <row r="59" spans="1:7" ht="15.75">
      <c r="A59" s="81"/>
      <c r="B59" s="81"/>
      <c r="C59" s="81"/>
      <c r="D59" s="468" t="s">
        <v>321</v>
      </c>
      <c r="E59" s="469"/>
      <c r="F59" s="403">
        <f>inputOth!$E$36</f>
        <v>0.015</v>
      </c>
      <c r="G59" s="49">
        <f>ROUND(IF(F59&gt;0,(G58*F59),0),0)</f>
        <v>0</v>
      </c>
    </row>
    <row r="60" spans="1:7" ht="15.75">
      <c r="A60" s="32"/>
      <c r="B60" s="32"/>
      <c r="C60" s="470" t="str">
        <f>CONCATENATE("Amount of  ",$G$1-1," Ad Valorem Tax")</f>
        <v>Amount of  2011 Ad Valorem Tax</v>
      </c>
      <c r="D60" s="471"/>
      <c r="E60" s="471"/>
      <c r="F60" s="472"/>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D56:F56"/>
    <mergeCell ref="E42:F42"/>
    <mergeCell ref="E43:F43"/>
    <mergeCell ref="E44:F44"/>
    <mergeCell ref="E50:F50"/>
    <mergeCell ref="E45:F45"/>
    <mergeCell ref="E46:F46"/>
    <mergeCell ref="E47:F47"/>
    <mergeCell ref="E48:F48"/>
    <mergeCell ref="C43:D43"/>
    <mergeCell ref="E57:F57"/>
    <mergeCell ref="E58:F58"/>
    <mergeCell ref="D59:E59"/>
    <mergeCell ref="C60:F60"/>
    <mergeCell ref="E41:F41"/>
    <mergeCell ref="E26:F26"/>
    <mergeCell ref="E27:F27"/>
    <mergeCell ref="E40:F40"/>
    <mergeCell ref="E12:F12"/>
    <mergeCell ref="E13:F13"/>
    <mergeCell ref="E14:F14"/>
    <mergeCell ref="E15:F15"/>
    <mergeCell ref="E22:F22"/>
    <mergeCell ref="E23:F23"/>
    <mergeCell ref="E24:F24"/>
    <mergeCell ref="E25:F25"/>
    <mergeCell ref="E16:F16"/>
    <mergeCell ref="C21:D21"/>
    <mergeCell ref="E17:F17"/>
    <mergeCell ref="E18:F18"/>
    <mergeCell ref="E19:F19"/>
    <mergeCell ref="E20:F20"/>
    <mergeCell ref="E21:F21"/>
    <mergeCell ref="C17:D17"/>
    <mergeCell ref="C18:D18"/>
    <mergeCell ref="C19:D19"/>
    <mergeCell ref="C49:D49"/>
    <mergeCell ref="C50:D50"/>
    <mergeCell ref="E33:F33"/>
    <mergeCell ref="E34:F34"/>
    <mergeCell ref="E35:F35"/>
    <mergeCell ref="E36:F36"/>
    <mergeCell ref="E37:F37"/>
    <mergeCell ref="E38:F38"/>
    <mergeCell ref="E39:F39"/>
    <mergeCell ref="E49:F49"/>
    <mergeCell ref="C45:D45"/>
    <mergeCell ref="C46:D46"/>
    <mergeCell ref="C47:D47"/>
    <mergeCell ref="C20:D20"/>
    <mergeCell ref="C25:D25"/>
    <mergeCell ref="C26:D26"/>
    <mergeCell ref="C27:D27"/>
    <mergeCell ref="C41:D41"/>
    <mergeCell ref="C42:D42"/>
    <mergeCell ref="C31:D31"/>
    <mergeCell ref="C48:D48"/>
    <mergeCell ref="C33:D33"/>
    <mergeCell ref="C34:D34"/>
    <mergeCell ref="C35:D35"/>
    <mergeCell ref="C36:D36"/>
    <mergeCell ref="C37:D37"/>
    <mergeCell ref="C38:D38"/>
    <mergeCell ref="C39:D39"/>
    <mergeCell ref="C40:D40"/>
    <mergeCell ref="C44:D44"/>
    <mergeCell ref="C55:D55"/>
    <mergeCell ref="E51:F51"/>
    <mergeCell ref="E52:F52"/>
    <mergeCell ref="E53:F53"/>
    <mergeCell ref="E54:F54"/>
    <mergeCell ref="E55:F55"/>
    <mergeCell ref="C51:D51"/>
    <mergeCell ref="C52:D52"/>
    <mergeCell ref="C53:D53"/>
    <mergeCell ref="C54:D54"/>
    <mergeCell ref="C32:D32"/>
    <mergeCell ref="E29:F29"/>
    <mergeCell ref="E30:F30"/>
    <mergeCell ref="E31:F31"/>
    <mergeCell ref="E32:F32"/>
    <mergeCell ref="C29:D29"/>
    <mergeCell ref="C30:D30"/>
    <mergeCell ref="C5:D5"/>
    <mergeCell ref="C6:D6"/>
    <mergeCell ref="E5:F5"/>
    <mergeCell ref="E6:F6"/>
    <mergeCell ref="C10:D10"/>
    <mergeCell ref="C11:D11"/>
    <mergeCell ref="E9:F9"/>
    <mergeCell ref="C7:D7"/>
    <mergeCell ref="C8:D8"/>
    <mergeCell ref="C9:D9"/>
    <mergeCell ref="E7:F7"/>
    <mergeCell ref="E8:F8"/>
    <mergeCell ref="E10:F10"/>
    <mergeCell ref="E11:F11"/>
    <mergeCell ref="C28:D28"/>
    <mergeCell ref="E28:F28"/>
    <mergeCell ref="C12:D12"/>
    <mergeCell ref="C22:D22"/>
    <mergeCell ref="C13:D13"/>
    <mergeCell ref="C14:D14"/>
    <mergeCell ref="C15:D15"/>
    <mergeCell ref="C16:D16"/>
    <mergeCell ref="C23:D23"/>
    <mergeCell ref="C24:D24"/>
  </mergeCells>
  <conditionalFormatting sqref="C52:D52">
    <cfRule type="cellIs" priority="1" dxfId="2" operator="greaterThan" stopIfTrue="1">
      <formula>$C$54*0.1</formula>
    </cfRule>
  </conditionalFormatting>
  <conditionalFormatting sqref="E52:F52">
    <cfRule type="cellIs" priority="2" dxfId="2" operator="greaterThan" stopIfTrue="1">
      <formula>$E$54*0.1</formula>
    </cfRule>
  </conditionalFormatting>
  <conditionalFormatting sqref="G52">
    <cfRule type="cellIs" priority="3" dxfId="2" operator="greaterThan" stopIfTrue="1">
      <formula>$G$54*0.1</formula>
    </cfRule>
  </conditionalFormatting>
  <conditionalFormatting sqref="G56">
    <cfRule type="cellIs" priority="4" dxfId="2" operator="greaterThan" stopIfTrue="1">
      <formula>$G$54/0.95-$G$54</formula>
    </cfRule>
  </conditionalFormatting>
  <conditionalFormatting sqref="C28:D28">
    <cfRule type="cellIs" priority="5" dxfId="2" operator="greaterThan" stopIfTrue="1">
      <formula>$C$30*0.1</formula>
    </cfRule>
  </conditionalFormatting>
  <conditionalFormatting sqref="E28:F28">
    <cfRule type="cellIs" priority="6" dxfId="2" operator="greaterThan" stopIfTrue="1">
      <formula>$E$30*0.1</formula>
    </cfRule>
  </conditionalFormatting>
  <conditionalFormatting sqref="C55:D55">
    <cfRule type="cellIs" priority="7" dxfId="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Harrisonville Cemetery District No. 3</v>
      </c>
      <c r="B1" s="32"/>
      <c r="C1" s="32"/>
      <c r="D1" s="32"/>
      <c r="E1" s="32"/>
      <c r="F1" s="32"/>
      <c r="G1" s="140"/>
    </row>
    <row r="2" spans="1:7" ht="15.75">
      <c r="A2" s="32" t="str">
        <f>inputPrYr!D4</f>
        <v>Montgomery</v>
      </c>
      <c r="B2" s="32"/>
      <c r="C2" s="32"/>
      <c r="D2" s="32"/>
      <c r="E2" s="32"/>
      <c r="F2" s="32"/>
      <c r="G2" s="80"/>
    </row>
    <row r="3" spans="1:8" ht="15.75">
      <c r="A3" s="74" t="s">
        <v>101</v>
      </c>
      <c r="B3" s="74"/>
      <c r="C3" s="83"/>
      <c r="D3" s="83"/>
      <c r="E3" s="83"/>
      <c r="F3" s="83"/>
      <c r="G3" s="84"/>
      <c r="H3" s="1">
        <f>inputPrYr!D6</f>
        <v>2012</v>
      </c>
    </row>
    <row r="4" spans="1:7" ht="15.75">
      <c r="A4" s="32"/>
      <c r="B4" s="32"/>
      <c r="C4" s="37"/>
      <c r="D4" s="37"/>
      <c r="E4" s="37"/>
      <c r="F4" s="37"/>
      <c r="G4" s="37"/>
    </row>
    <row r="5" spans="1:7" ht="15.75">
      <c r="A5" s="35" t="s">
        <v>43</v>
      </c>
      <c r="B5" s="35"/>
      <c r="C5" s="415" t="s">
        <v>316</v>
      </c>
      <c r="D5" s="407"/>
      <c r="E5" s="408" t="s">
        <v>315</v>
      </c>
      <c r="F5" s="409"/>
      <c r="G5" s="78" t="s">
        <v>314</v>
      </c>
    </row>
    <row r="6" spans="1:7" ht="15.75">
      <c r="A6" s="55">
        <f>inputPrYr!B21</f>
        <v>0</v>
      </c>
      <c r="B6" s="55"/>
      <c r="C6" s="410" t="str">
        <f>CONCATENATE("Actual ",$H$3-2,"")</f>
        <v>Actual 2010</v>
      </c>
      <c r="D6" s="411"/>
      <c r="E6" s="410" t="str">
        <f>CONCATENATE("Estimate ",H3-1,"")</f>
        <v>Estimate 2011</v>
      </c>
      <c r="F6" s="411"/>
      <c r="G6" s="181" t="str">
        <f>CONCATENATE("Year ",H3,"")</f>
        <v>Year 2012</v>
      </c>
    </row>
    <row r="7" spans="1:7" ht="15.75">
      <c r="A7" s="48" t="s">
        <v>145</v>
      </c>
      <c r="B7" s="309"/>
      <c r="C7" s="412"/>
      <c r="D7" s="453"/>
      <c r="E7" s="456">
        <f>C32</f>
        <v>0</v>
      </c>
      <c r="F7" s="457"/>
      <c r="G7" s="49">
        <f>E32</f>
        <v>0</v>
      </c>
    </row>
    <row r="8" spans="1:7" ht="15.75">
      <c r="A8" s="308" t="s">
        <v>147</v>
      </c>
      <c r="B8" s="309"/>
      <c r="C8" s="454"/>
      <c r="D8" s="455"/>
      <c r="E8" s="454"/>
      <c r="F8" s="455"/>
      <c r="G8" s="51"/>
    </row>
    <row r="9" spans="1:7" ht="15.75">
      <c r="A9" s="48" t="s">
        <v>44</v>
      </c>
      <c r="B9" s="309"/>
      <c r="C9" s="412"/>
      <c r="D9" s="453"/>
      <c r="E9" s="454">
        <f>inputPrYr!E21</f>
        <v>0</v>
      </c>
      <c r="F9" s="455"/>
      <c r="G9" s="52" t="s">
        <v>35</v>
      </c>
    </row>
    <row r="10" spans="1:7" ht="15.75">
      <c r="A10" s="48" t="s">
        <v>45</v>
      </c>
      <c r="B10" s="309"/>
      <c r="C10" s="412"/>
      <c r="D10" s="453"/>
      <c r="E10" s="412"/>
      <c r="F10" s="453"/>
      <c r="G10" s="20"/>
    </row>
    <row r="11" spans="1:7" ht="15.75">
      <c r="A11" s="48" t="s">
        <v>46</v>
      </c>
      <c r="B11" s="309"/>
      <c r="C11" s="412"/>
      <c r="D11" s="453"/>
      <c r="E11" s="412"/>
      <c r="F11" s="453"/>
      <c r="G11" s="51">
        <f>mvalloc!D13</f>
        <v>0</v>
      </c>
    </row>
    <row r="12" spans="1:7" ht="15.75">
      <c r="A12" s="48" t="s">
        <v>47</v>
      </c>
      <c r="B12" s="309"/>
      <c r="C12" s="412"/>
      <c r="D12" s="453"/>
      <c r="E12" s="412"/>
      <c r="F12" s="453"/>
      <c r="G12" s="51">
        <f>mvalloc!E13</f>
        <v>0</v>
      </c>
    </row>
    <row r="13" spans="1:7" ht="15.75">
      <c r="A13" s="311" t="s">
        <v>129</v>
      </c>
      <c r="B13" s="309"/>
      <c r="C13" s="412"/>
      <c r="D13" s="453"/>
      <c r="E13" s="412"/>
      <c r="F13" s="453"/>
      <c r="G13" s="51">
        <f>mvalloc!F13</f>
        <v>0</v>
      </c>
    </row>
    <row r="14" spans="1:7" ht="15.75">
      <c r="A14" s="311" t="s">
        <v>187</v>
      </c>
      <c r="B14" s="309"/>
      <c r="C14" s="412"/>
      <c r="D14" s="453"/>
      <c r="E14" s="412"/>
      <c r="F14" s="453"/>
      <c r="G14" s="51">
        <f>mvalloc!G13</f>
        <v>0</v>
      </c>
    </row>
    <row r="15" spans="1:7" ht="15.75">
      <c r="A15" s="305"/>
      <c r="B15" s="310"/>
      <c r="C15" s="412"/>
      <c r="D15" s="453"/>
      <c r="E15" s="412"/>
      <c r="F15" s="453"/>
      <c r="G15" s="20"/>
    </row>
    <row r="16" spans="1:7" ht="15.75">
      <c r="A16" s="305"/>
      <c r="B16" s="310"/>
      <c r="C16" s="412"/>
      <c r="D16" s="453"/>
      <c r="E16" s="412"/>
      <c r="F16" s="453"/>
      <c r="G16" s="20"/>
    </row>
    <row r="17" spans="1:7" ht="15.75">
      <c r="A17" s="306" t="s">
        <v>49</v>
      </c>
      <c r="B17" s="310"/>
      <c r="C17" s="412"/>
      <c r="D17" s="453"/>
      <c r="E17" s="412"/>
      <c r="F17" s="453"/>
      <c r="G17" s="20"/>
    </row>
    <row r="18" spans="1:7" ht="15.75">
      <c r="A18" s="341" t="s">
        <v>262</v>
      </c>
      <c r="B18" s="318"/>
      <c r="C18" s="412"/>
      <c r="D18" s="453"/>
      <c r="E18" s="412"/>
      <c r="F18" s="453"/>
      <c r="G18" s="352"/>
    </row>
    <row r="19" spans="1:7" ht="15.75">
      <c r="A19" s="341" t="s">
        <v>263</v>
      </c>
      <c r="B19" s="318"/>
      <c r="C19" s="458">
        <f>IF(C20*0.1&lt;C18,"Exceed 10% Rule","")</f>
      </c>
      <c r="D19" s="459"/>
      <c r="E19" s="458">
        <f>IF(E20*0.1&lt;E18,"Exceed 10% Rule","")</f>
      </c>
      <c r="F19" s="459"/>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64"/>
      <c r="D22" s="465"/>
      <c r="E22" s="464"/>
      <c r="F22" s="465"/>
      <c r="G22" s="47"/>
    </row>
    <row r="23" spans="1:7" ht="15.75">
      <c r="A23" s="305"/>
      <c r="B23" s="310"/>
      <c r="C23" s="412"/>
      <c r="D23" s="453"/>
      <c r="E23" s="412"/>
      <c r="F23" s="453"/>
      <c r="G23" s="20"/>
    </row>
    <row r="24" spans="1:7" ht="15.75">
      <c r="A24" s="305"/>
      <c r="B24" s="310"/>
      <c r="C24" s="412"/>
      <c r="D24" s="453"/>
      <c r="E24" s="412"/>
      <c r="F24" s="453"/>
      <c r="G24" s="20"/>
    </row>
    <row r="25" spans="1:7" ht="15.75">
      <c r="A25" s="305"/>
      <c r="B25" s="310"/>
      <c r="C25" s="412"/>
      <c r="D25" s="453"/>
      <c r="E25" s="412"/>
      <c r="F25" s="453"/>
      <c r="G25" s="20"/>
    </row>
    <row r="26" spans="1:7" ht="15.75">
      <c r="A26" s="305"/>
      <c r="B26" s="310"/>
      <c r="C26" s="412"/>
      <c r="D26" s="453"/>
      <c r="E26" s="412"/>
      <c r="F26" s="453"/>
      <c r="G26" s="20"/>
    </row>
    <row r="27" spans="1:7" ht="15.75">
      <c r="A27" s="305"/>
      <c r="B27" s="310"/>
      <c r="C27" s="412"/>
      <c r="D27" s="453"/>
      <c r="E27" s="412"/>
      <c r="F27" s="453"/>
      <c r="G27" s="20"/>
    </row>
    <row r="28" spans="1:7" ht="15.75">
      <c r="A28" s="50" t="s">
        <v>265</v>
      </c>
      <c r="B28" s="318"/>
      <c r="C28" s="412"/>
      <c r="D28" s="453"/>
      <c r="E28" s="412"/>
      <c r="F28" s="453"/>
      <c r="G28" s="273">
        <f>Nhood!E9</f>
      </c>
    </row>
    <row r="29" spans="1:7" ht="15.75">
      <c r="A29" s="50" t="s">
        <v>262</v>
      </c>
      <c r="B29" s="318"/>
      <c r="C29" s="413"/>
      <c r="D29" s="414"/>
      <c r="E29" s="413"/>
      <c r="F29" s="414"/>
      <c r="G29" s="307"/>
    </row>
    <row r="30" spans="1:7" ht="15.75">
      <c r="A30" s="50" t="s">
        <v>264</v>
      </c>
      <c r="B30" s="318"/>
      <c r="C30" s="458">
        <f>IF(C31*0.1&lt;C29,"Exceed 10% Rule","")</f>
      </c>
      <c r="D30" s="459"/>
      <c r="E30" s="458">
        <f>IF(E31*0.1&lt;E29,"Exceed 10% Rule","")</f>
      </c>
      <c r="F30" s="459"/>
      <c r="G30" s="342">
        <f>IF(G31*0.1&lt;G29,"Exceed 10% Rule","")</f>
      </c>
    </row>
    <row r="31" spans="1:7" ht="15.75">
      <c r="A31" s="178" t="s">
        <v>53</v>
      </c>
      <c r="B31" s="309"/>
      <c r="C31" s="489">
        <f>SUM(C23:C29)</f>
        <v>0</v>
      </c>
      <c r="D31" s="490"/>
      <c r="E31" s="489">
        <f>SUM(E23:E29)</f>
        <v>0</v>
      </c>
      <c r="F31" s="490"/>
      <c r="G31" s="275">
        <f>SUM(G23:G29)</f>
        <v>0</v>
      </c>
    </row>
    <row r="32" spans="1:7" ht="15.75">
      <c r="A32" s="48" t="s">
        <v>146</v>
      </c>
      <c r="B32" s="309"/>
      <c r="C32" s="462">
        <f>C21-C31</f>
        <v>0</v>
      </c>
      <c r="D32" s="463"/>
      <c r="E32" s="462">
        <f>E21-E31</f>
        <v>0</v>
      </c>
      <c r="F32" s="463"/>
      <c r="G32" s="52" t="s">
        <v>35</v>
      </c>
    </row>
    <row r="33" spans="1:8" ht="15.75">
      <c r="A33" s="80" t="str">
        <f>CONCATENATE("",H3-2,"/",H3-1," Budget Authority Amount:")</f>
        <v>2010/2011 Budget Authority Amount:</v>
      </c>
      <c r="B33" s="326">
        <f>inputOth!B44</f>
        <v>0</v>
      </c>
      <c r="C33" s="155">
        <f>inputPrYr!D21</f>
        <v>0</v>
      </c>
      <c r="D33" s="473" t="s">
        <v>319</v>
      </c>
      <c r="E33" s="474"/>
      <c r="F33" s="475"/>
      <c r="G33" s="20"/>
      <c r="H33" s="290">
        <f>IF(G31/0.95-G31&lt;G33,"Exceeds 5%","")</f>
      </c>
    </row>
    <row r="34" spans="1:7" ht="15.75">
      <c r="A34" s="80" t="str">
        <f>CONCATENATE("Violation of Budget Law for ",H3-2,"/",H3-1,":")</f>
        <v>Violation of Budget Law for 2010/2011:</v>
      </c>
      <c r="B34" s="327" t="str">
        <f>IF(C31&gt;B33,"Yes","No")</f>
        <v>No</v>
      </c>
      <c r="C34" s="327" t="str">
        <f>IF(E31&gt;C33,"Yes","No")</f>
        <v>No</v>
      </c>
      <c r="D34" s="32"/>
      <c r="E34" s="466" t="s">
        <v>320</v>
      </c>
      <c r="F34" s="467"/>
      <c r="G34" s="51">
        <f>G31+G33</f>
        <v>0</v>
      </c>
    </row>
    <row r="35" spans="1:7" ht="15.75">
      <c r="A35" s="80" t="str">
        <f>CONCATENATE("Possible Cash Violation for ",H3-2,":")</f>
        <v>Possible Cash Violation for 2010:</v>
      </c>
      <c r="B35" s="327" t="str">
        <f>IF(C32&lt;0,"Yes","No")</f>
        <v>No</v>
      </c>
      <c r="C35" s="32"/>
      <c r="D35" s="32"/>
      <c r="E35" s="466" t="s">
        <v>54</v>
      </c>
      <c r="F35" s="467"/>
      <c r="G35" s="273">
        <f>IF(G34-G21&gt;0,G34-G21,0)</f>
        <v>0</v>
      </c>
    </row>
    <row r="36" spans="1:7" ht="15.75">
      <c r="A36" s="81"/>
      <c r="B36" s="81"/>
      <c r="C36" s="81"/>
      <c r="D36" s="468" t="s">
        <v>321</v>
      </c>
      <c r="E36" s="469"/>
      <c r="F36" s="403">
        <f>inputOth!$E$36</f>
        <v>0.015</v>
      </c>
      <c r="G36" s="51">
        <f>ROUND(IF(F36&gt;0,(G35*F36),0),0)</f>
        <v>0</v>
      </c>
    </row>
    <row r="37" spans="1:7" ht="15.75">
      <c r="A37" s="32"/>
      <c r="B37" s="32"/>
      <c r="C37" s="470" t="str">
        <f>CONCATENATE("Amount of  ",$H$3-1," Ad Valorem Tax")</f>
        <v>Amount of  2011 Ad Valorem Tax</v>
      </c>
      <c r="D37" s="471"/>
      <c r="E37" s="471"/>
      <c r="F37" s="472"/>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15" t="s">
        <v>316</v>
      </c>
      <c r="D40" s="407"/>
      <c r="E40" s="408" t="s">
        <v>317</v>
      </c>
      <c r="F40" s="409"/>
      <c r="G40" s="78" t="s">
        <v>314</v>
      </c>
    </row>
    <row r="41" spans="1:7" ht="15.75" customHeight="1">
      <c r="A41" s="55">
        <f>inputPrYr!B22</f>
        <v>0</v>
      </c>
      <c r="B41" s="55"/>
      <c r="C41" s="410" t="str">
        <f>C6</f>
        <v>Actual 2010</v>
      </c>
      <c r="D41" s="411"/>
      <c r="E41" s="410" t="str">
        <f>E6</f>
        <v>Estimate 2011</v>
      </c>
      <c r="F41" s="411"/>
      <c r="G41" s="181" t="str">
        <f>G6</f>
        <v>Year 2012</v>
      </c>
    </row>
    <row r="42" spans="1:7" ht="15.75">
      <c r="A42" s="48" t="s">
        <v>145</v>
      </c>
      <c r="B42" s="309"/>
      <c r="C42" s="412"/>
      <c r="D42" s="453"/>
      <c r="E42" s="456">
        <f>C67</f>
        <v>0</v>
      </c>
      <c r="F42" s="457"/>
      <c r="G42" s="49">
        <f>E67</f>
        <v>0</v>
      </c>
    </row>
    <row r="43" spans="1:7" ht="15.75">
      <c r="A43" s="308" t="s">
        <v>147</v>
      </c>
      <c r="B43" s="309"/>
      <c r="C43" s="454"/>
      <c r="D43" s="455"/>
      <c r="E43" s="454"/>
      <c r="F43" s="455"/>
      <c r="G43" s="51"/>
    </row>
    <row r="44" spans="1:7" ht="15.75">
      <c r="A44" s="48" t="s">
        <v>44</v>
      </c>
      <c r="B44" s="309"/>
      <c r="C44" s="412"/>
      <c r="D44" s="453"/>
      <c r="E44" s="454">
        <f>inputPrYr!E22</f>
        <v>0</v>
      </c>
      <c r="F44" s="455"/>
      <c r="G44" s="52" t="s">
        <v>35</v>
      </c>
    </row>
    <row r="45" spans="1:7" ht="15.75">
      <c r="A45" s="48" t="s">
        <v>45</v>
      </c>
      <c r="B45" s="309"/>
      <c r="C45" s="412"/>
      <c r="D45" s="453"/>
      <c r="E45" s="412"/>
      <c r="F45" s="453"/>
      <c r="G45" s="20"/>
    </row>
    <row r="46" spans="1:7" ht="15.75">
      <c r="A46" s="48" t="s">
        <v>46</v>
      </c>
      <c r="B46" s="309"/>
      <c r="C46" s="412"/>
      <c r="D46" s="453"/>
      <c r="E46" s="412"/>
      <c r="F46" s="453"/>
      <c r="G46" s="49">
        <f>mvalloc!D14</f>
        <v>0</v>
      </c>
    </row>
    <row r="47" spans="1:7" ht="15.75">
      <c r="A47" s="48" t="s">
        <v>47</v>
      </c>
      <c r="B47" s="309"/>
      <c r="C47" s="412"/>
      <c r="D47" s="453"/>
      <c r="E47" s="412"/>
      <c r="F47" s="453"/>
      <c r="G47" s="49">
        <f>mvalloc!E14</f>
        <v>0</v>
      </c>
    </row>
    <row r="48" spans="1:7" ht="15.75">
      <c r="A48" s="311" t="s">
        <v>129</v>
      </c>
      <c r="B48" s="309"/>
      <c r="C48" s="412"/>
      <c r="D48" s="453"/>
      <c r="E48" s="412"/>
      <c r="F48" s="453"/>
      <c r="G48" s="49">
        <f>mvalloc!F14</f>
        <v>0</v>
      </c>
    </row>
    <row r="49" spans="1:7" ht="15.75">
      <c r="A49" s="311" t="s">
        <v>187</v>
      </c>
      <c r="B49" s="309"/>
      <c r="C49" s="412"/>
      <c r="D49" s="453"/>
      <c r="E49" s="412"/>
      <c r="F49" s="453"/>
      <c r="G49" s="49">
        <f>mvalloc!G14</f>
        <v>0</v>
      </c>
    </row>
    <row r="50" spans="1:7" ht="15.75">
      <c r="A50" s="305"/>
      <c r="B50" s="310"/>
      <c r="C50" s="412"/>
      <c r="D50" s="453"/>
      <c r="E50" s="412"/>
      <c r="F50" s="453"/>
      <c r="G50" s="20"/>
    </row>
    <row r="51" spans="1:7" ht="15.75">
      <c r="A51" s="305"/>
      <c r="B51" s="310"/>
      <c r="C51" s="412"/>
      <c r="D51" s="453"/>
      <c r="E51" s="412"/>
      <c r="F51" s="453"/>
      <c r="G51" s="20"/>
    </row>
    <row r="52" spans="1:7" ht="15.75">
      <c r="A52" s="306" t="s">
        <v>49</v>
      </c>
      <c r="B52" s="310"/>
      <c r="C52" s="412"/>
      <c r="D52" s="453"/>
      <c r="E52" s="412"/>
      <c r="F52" s="453"/>
      <c r="G52" s="20"/>
    </row>
    <row r="53" spans="1:7" ht="15.75">
      <c r="A53" s="341" t="s">
        <v>262</v>
      </c>
      <c r="B53" s="318"/>
      <c r="C53" s="413"/>
      <c r="D53" s="414"/>
      <c r="E53" s="413"/>
      <c r="F53" s="414"/>
      <c r="G53" s="307"/>
    </row>
    <row r="54" spans="1:7" ht="15.75">
      <c r="A54" s="341" t="s">
        <v>263</v>
      </c>
      <c r="B54" s="318"/>
      <c r="C54" s="458">
        <f>IF(C55*0.1&lt;C53,"Exceed 10% Rule","")</f>
      </c>
      <c r="D54" s="459"/>
      <c r="E54" s="458">
        <f>IF(E55*0.1&lt;E53,"Exceed 10% Rule","")</f>
      </c>
      <c r="F54" s="459"/>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64"/>
      <c r="D57" s="465"/>
      <c r="E57" s="464"/>
      <c r="F57" s="465"/>
      <c r="G57" s="47"/>
    </row>
    <row r="58" spans="1:7" ht="15.75">
      <c r="A58" s="305"/>
      <c r="B58" s="310"/>
      <c r="C58" s="412"/>
      <c r="D58" s="453"/>
      <c r="E58" s="412"/>
      <c r="F58" s="453"/>
      <c r="G58" s="20"/>
    </row>
    <row r="59" spans="1:7" ht="15.75">
      <c r="A59" s="305"/>
      <c r="B59" s="310"/>
      <c r="C59" s="412"/>
      <c r="D59" s="453"/>
      <c r="E59" s="412"/>
      <c r="F59" s="453"/>
      <c r="G59" s="20"/>
    </row>
    <row r="60" spans="1:7" ht="15.75">
      <c r="A60" s="305"/>
      <c r="B60" s="310"/>
      <c r="C60" s="412"/>
      <c r="D60" s="453"/>
      <c r="E60" s="412"/>
      <c r="F60" s="453"/>
      <c r="G60" s="20"/>
    </row>
    <row r="61" spans="1:7" ht="15.75">
      <c r="A61" s="305"/>
      <c r="B61" s="310"/>
      <c r="C61" s="412"/>
      <c r="D61" s="453"/>
      <c r="E61" s="412"/>
      <c r="F61" s="453"/>
      <c r="G61" s="20"/>
    </row>
    <row r="62" spans="1:7" ht="15.75">
      <c r="A62" s="305"/>
      <c r="B62" s="310"/>
      <c r="C62" s="412"/>
      <c r="D62" s="453"/>
      <c r="E62" s="412"/>
      <c r="F62" s="453"/>
      <c r="G62" s="20"/>
    </row>
    <row r="63" spans="1:7" ht="15.75">
      <c r="A63" s="50" t="s">
        <v>265</v>
      </c>
      <c r="B63" s="318"/>
      <c r="C63" s="412"/>
      <c r="D63" s="453"/>
      <c r="E63" s="412"/>
      <c r="F63" s="453"/>
      <c r="G63" s="273">
        <f>Nhood!E10</f>
      </c>
    </row>
    <row r="64" spans="1:7" ht="15.75">
      <c r="A64" s="50" t="s">
        <v>262</v>
      </c>
      <c r="B64" s="318"/>
      <c r="C64" s="413"/>
      <c r="D64" s="414"/>
      <c r="E64" s="413"/>
      <c r="F64" s="414"/>
      <c r="G64" s="307"/>
    </row>
    <row r="65" spans="1:7" ht="15.75">
      <c r="A65" s="50" t="s">
        <v>264</v>
      </c>
      <c r="B65" s="318"/>
      <c r="C65" s="458">
        <f>IF(C66*0.1&lt;C64,"Exceed 10% Rule","")</f>
      </c>
      <c r="D65" s="459"/>
      <c r="E65" s="458">
        <f>IF(E66*0.1&lt;E64,"Exceed 10% Rule","")</f>
      </c>
      <c r="F65" s="459"/>
      <c r="G65" s="342">
        <f>IF(G66*0.1&lt;G64,"Exceed 10% Rule","")</f>
      </c>
    </row>
    <row r="66" spans="1:7" ht="15.75">
      <c r="A66" s="178" t="s">
        <v>53</v>
      </c>
      <c r="B66" s="309"/>
      <c r="C66" s="489">
        <f>SUM(C58:C64)</f>
        <v>0</v>
      </c>
      <c r="D66" s="490"/>
      <c r="E66" s="489">
        <f>SUM(E58:E64)</f>
        <v>0</v>
      </c>
      <c r="F66" s="490"/>
      <c r="G66" s="275">
        <f>SUM(G58:G64)</f>
        <v>0</v>
      </c>
    </row>
    <row r="67" spans="1:7" ht="15.75">
      <c r="A67" s="48" t="s">
        <v>146</v>
      </c>
      <c r="B67" s="309"/>
      <c r="C67" s="462">
        <f>C56-C66</f>
        <v>0</v>
      </c>
      <c r="D67" s="463"/>
      <c r="E67" s="462">
        <f>E56-E66</f>
        <v>0</v>
      </c>
      <c r="F67" s="463"/>
      <c r="G67" s="52" t="s">
        <v>35</v>
      </c>
    </row>
    <row r="68" spans="1:8" ht="15.75">
      <c r="A68" s="80" t="str">
        <f>CONCATENATE("",H3-2,"/",H3-1," Budget Authority Amount:")</f>
        <v>2010/2011 Budget Authority Amount:</v>
      </c>
      <c r="B68" s="326">
        <f>inputOth!B45</f>
        <v>0</v>
      </c>
      <c r="C68" s="155">
        <f>inputPrYr!D22</f>
        <v>0</v>
      </c>
      <c r="D68" s="473" t="s">
        <v>319</v>
      </c>
      <c r="E68" s="474"/>
      <c r="F68" s="475"/>
      <c r="G68" s="20"/>
      <c r="H68" s="290">
        <f>IF(G66/0.95-G66&lt;G68,"Exceeds 5%","")</f>
      </c>
    </row>
    <row r="69" spans="1:7" ht="15.75">
      <c r="A69" s="80" t="str">
        <f>CONCATENATE("Violation of Budget Law for ",H3-2,"/",H3-1,":")</f>
        <v>Violation of Budget Law for 2010/2011:</v>
      </c>
      <c r="B69" s="327" t="str">
        <f>IF(C66&gt;B68,"Yes","No")</f>
        <v>No</v>
      </c>
      <c r="C69" s="327" t="str">
        <f>IF(E66&gt;C68,"Yes","No")</f>
        <v>No</v>
      </c>
      <c r="D69" s="32"/>
      <c r="E69" s="466" t="s">
        <v>320</v>
      </c>
      <c r="F69" s="467"/>
      <c r="G69" s="51">
        <f>G66+G68</f>
        <v>0</v>
      </c>
    </row>
    <row r="70" spans="1:7" ht="15.75">
      <c r="A70" s="80" t="str">
        <f>CONCATENATE("Possible Cash Violation for ",H3-2,":")</f>
        <v>Possible Cash Violation for 2010:</v>
      </c>
      <c r="B70" s="327" t="str">
        <f>IF(C67&lt;0,"Yes","No")</f>
        <v>No</v>
      </c>
      <c r="C70" s="32"/>
      <c r="D70" s="32"/>
      <c r="E70" s="466" t="s">
        <v>54</v>
      </c>
      <c r="F70" s="467"/>
      <c r="G70" s="273">
        <f>IF(G69-G56&gt;0,G69-G56,0)</f>
        <v>0</v>
      </c>
    </row>
    <row r="71" spans="1:7" ht="15.75">
      <c r="A71" s="81"/>
      <c r="B71" s="81"/>
      <c r="C71" s="81"/>
      <c r="D71" s="468" t="s">
        <v>321</v>
      </c>
      <c r="E71" s="469"/>
      <c r="F71" s="403">
        <f>inputOth!$E$36</f>
        <v>0.015</v>
      </c>
      <c r="G71" s="51">
        <f>ROUND(IF(F71&gt;0,(G70*F71),0),0)</f>
        <v>0</v>
      </c>
    </row>
    <row r="72" spans="1:7" ht="15.75">
      <c r="A72" s="32"/>
      <c r="B72" s="32"/>
      <c r="C72" s="470" t="str">
        <f>CONCATENATE("Amount of  ",$H$3-1," Ad Valorem Tax")</f>
        <v>Amount of  2011 Ad Valorem Tax</v>
      </c>
      <c r="D72" s="471"/>
      <c r="E72" s="471"/>
      <c r="F72" s="472"/>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E34:F34"/>
    <mergeCell ref="E35:F35"/>
    <mergeCell ref="D36:E36"/>
    <mergeCell ref="C37:F37"/>
    <mergeCell ref="C72:F72"/>
    <mergeCell ref="D68:F68"/>
    <mergeCell ref="E69:F69"/>
    <mergeCell ref="E70:F70"/>
    <mergeCell ref="D71:E71"/>
    <mergeCell ref="D33:F33"/>
    <mergeCell ref="C15:D15"/>
    <mergeCell ref="E15:F15"/>
    <mergeCell ref="C16:D16"/>
    <mergeCell ref="E16:F16"/>
    <mergeCell ref="C28:D28"/>
    <mergeCell ref="E28:F28"/>
    <mergeCell ref="C25:D25"/>
    <mergeCell ref="E25:F25"/>
    <mergeCell ref="C26:D26"/>
    <mergeCell ref="E26:F26"/>
    <mergeCell ref="C23:D23"/>
    <mergeCell ref="E23:F23"/>
    <mergeCell ref="C24:D24"/>
    <mergeCell ref="E24:F24"/>
    <mergeCell ref="E27:F27"/>
    <mergeCell ref="C51:D51"/>
    <mergeCell ref="E51:F51"/>
    <mergeCell ref="C52:D52"/>
    <mergeCell ref="E52:F52"/>
    <mergeCell ref="C49:D49"/>
    <mergeCell ref="E49:F49"/>
    <mergeCell ref="C50:D50"/>
    <mergeCell ref="E50:F50"/>
    <mergeCell ref="E47:F47"/>
    <mergeCell ref="E48:F48"/>
    <mergeCell ref="C45:D45"/>
    <mergeCell ref="E45:F45"/>
    <mergeCell ref="C46:D46"/>
    <mergeCell ref="E46:F46"/>
    <mergeCell ref="C47:D47"/>
    <mergeCell ref="E63:F63"/>
    <mergeCell ref="C60:D60"/>
    <mergeCell ref="E60:F60"/>
    <mergeCell ref="C61:D61"/>
    <mergeCell ref="E61:F61"/>
    <mergeCell ref="E59:F59"/>
    <mergeCell ref="C67:D67"/>
    <mergeCell ref="E65:F65"/>
    <mergeCell ref="E66:F66"/>
    <mergeCell ref="E67:F67"/>
    <mergeCell ref="C64:D64"/>
    <mergeCell ref="E64:F64"/>
    <mergeCell ref="C62:D62"/>
    <mergeCell ref="E62:F62"/>
    <mergeCell ref="C63:D63"/>
    <mergeCell ref="E55:F55"/>
    <mergeCell ref="E56:F56"/>
    <mergeCell ref="E57:F57"/>
    <mergeCell ref="C58:D58"/>
    <mergeCell ref="E58:F58"/>
    <mergeCell ref="C44:D44"/>
    <mergeCell ref="C65:D65"/>
    <mergeCell ref="C66:D66"/>
    <mergeCell ref="C55:D55"/>
    <mergeCell ref="C56:D56"/>
    <mergeCell ref="C57:D57"/>
    <mergeCell ref="C59:D59"/>
    <mergeCell ref="C48:D48"/>
    <mergeCell ref="C27:D27"/>
    <mergeCell ref="C53:D53"/>
    <mergeCell ref="E53:F53"/>
    <mergeCell ref="C54:D54"/>
    <mergeCell ref="E54:F54"/>
    <mergeCell ref="C42:D42"/>
    <mergeCell ref="E42:F42"/>
    <mergeCell ref="E43:F43"/>
    <mergeCell ref="E44:F44"/>
    <mergeCell ref="C43:D43"/>
    <mergeCell ref="C31:D31"/>
    <mergeCell ref="C32:D32"/>
    <mergeCell ref="E31:F31"/>
    <mergeCell ref="E32:F32"/>
    <mergeCell ref="C40:D40"/>
    <mergeCell ref="C41:D41"/>
    <mergeCell ref="E40:F40"/>
    <mergeCell ref="E41:F41"/>
    <mergeCell ref="C21:D21"/>
    <mergeCell ref="C22:D22"/>
    <mergeCell ref="E20:F20"/>
    <mergeCell ref="E21:F21"/>
    <mergeCell ref="E22:F22"/>
    <mergeCell ref="C20:D20"/>
    <mergeCell ref="C29:D29"/>
    <mergeCell ref="E29:F29"/>
    <mergeCell ref="C30:D30"/>
    <mergeCell ref="E30:F30"/>
    <mergeCell ref="C19:D19"/>
    <mergeCell ref="E19:F19"/>
    <mergeCell ref="C12:D12"/>
    <mergeCell ref="C17:D17"/>
    <mergeCell ref="E17:F17"/>
    <mergeCell ref="C18:D18"/>
    <mergeCell ref="E18:F18"/>
    <mergeCell ref="E13:F13"/>
    <mergeCell ref="C14:D14"/>
    <mergeCell ref="E14:F14"/>
    <mergeCell ref="C9:D9"/>
    <mergeCell ref="E12:F12"/>
    <mergeCell ref="C13:D13"/>
    <mergeCell ref="C10:D10"/>
    <mergeCell ref="E10:F10"/>
    <mergeCell ref="C11:D11"/>
    <mergeCell ref="E11:F11"/>
    <mergeCell ref="E9:F9"/>
    <mergeCell ref="E5:F5"/>
    <mergeCell ref="E6:F6"/>
    <mergeCell ref="C5:D5"/>
    <mergeCell ref="C6:D6"/>
    <mergeCell ref="C7:D7"/>
    <mergeCell ref="C8:D8"/>
    <mergeCell ref="E7:F7"/>
    <mergeCell ref="E8:F8"/>
  </mergeCells>
  <conditionalFormatting sqref="C18:D18">
    <cfRule type="cellIs" priority="1" dxfId="2" operator="greaterThan" stopIfTrue="1">
      <formula>$C$20*0.1</formula>
    </cfRule>
  </conditionalFormatting>
  <conditionalFormatting sqref="E18:F18">
    <cfRule type="cellIs" priority="2" dxfId="2" operator="greaterThan" stopIfTrue="1">
      <formula>$E$20*0.1</formula>
    </cfRule>
  </conditionalFormatting>
  <conditionalFormatting sqref="C29:D29">
    <cfRule type="cellIs" priority="3" dxfId="2" operator="greaterThan" stopIfTrue="1">
      <formula>$C$31*0.1</formula>
    </cfRule>
  </conditionalFormatting>
  <conditionalFormatting sqref="E29:F29">
    <cfRule type="cellIs" priority="4" dxfId="2" operator="greaterThan" stopIfTrue="1">
      <formula>$E$31*0.1</formula>
    </cfRule>
  </conditionalFormatting>
  <conditionalFormatting sqref="G29">
    <cfRule type="cellIs" priority="5" dxfId="2" operator="greaterThan" stopIfTrue="1">
      <formula>$G$31*0.1</formula>
    </cfRule>
  </conditionalFormatting>
  <conditionalFormatting sqref="C53:D53">
    <cfRule type="cellIs" priority="6" dxfId="2" operator="greaterThan" stopIfTrue="1">
      <formula>$C$55*0.1</formula>
    </cfRule>
  </conditionalFormatting>
  <conditionalFormatting sqref="E53:F53">
    <cfRule type="cellIs" priority="7" dxfId="2" operator="greaterThan" stopIfTrue="1">
      <formula>$E$55*0.1</formula>
    </cfRule>
  </conditionalFormatting>
  <conditionalFormatting sqref="C64:D64">
    <cfRule type="cellIs" priority="8" dxfId="2" operator="greaterThan" stopIfTrue="1">
      <formula>$C$66*0.1</formula>
    </cfRule>
  </conditionalFormatting>
  <conditionalFormatting sqref="E64:F64">
    <cfRule type="cellIs" priority="9" dxfId="2" operator="greaterThan" stopIfTrue="1">
      <formula>$E$66*0.1</formula>
    </cfRule>
  </conditionalFormatting>
  <conditionalFormatting sqref="G64">
    <cfRule type="cellIs" priority="10" dxfId="2" operator="greaterThan" stopIfTrue="1">
      <formula>$G$66*0.1</formula>
    </cfRule>
  </conditionalFormatting>
  <conditionalFormatting sqref="G68">
    <cfRule type="cellIs" priority="11" dxfId="2" operator="greaterThan" stopIfTrue="1">
      <formula>$G$66/0.95-$G$66</formula>
    </cfRule>
  </conditionalFormatting>
  <conditionalFormatting sqref="G33">
    <cfRule type="cellIs" priority="12" dxfId="2" operator="greaterThan" stopIfTrue="1">
      <formula>$G$31/0.95-$G$31</formula>
    </cfRule>
  </conditionalFormatting>
  <conditionalFormatting sqref="C67:D67">
    <cfRule type="cellIs" priority="13" dxfId="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2" operator="greaterThan" stopIfTrue="1">
      <formula>$G$55*0.1+$G$72</formula>
    </cfRule>
  </conditionalFormatting>
  <conditionalFormatting sqref="G18">
    <cfRule type="cellIs" priority="17" dxfId="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Harrisonville Cemetery District No. 3</v>
      </c>
      <c r="B1" s="32"/>
      <c r="C1" s="83"/>
      <c r="D1" s="32"/>
      <c r="E1" s="140"/>
    </row>
    <row r="2" spans="1:5" ht="15.75">
      <c r="A2" s="32" t="str">
        <f>inputPrYr!D4</f>
        <v>Montgomery</v>
      </c>
      <c r="B2" s="32"/>
      <c r="C2" s="83"/>
      <c r="D2" s="32"/>
      <c r="E2" s="80"/>
    </row>
    <row r="3" spans="1:6" ht="15.75">
      <c r="A3" s="74" t="s">
        <v>102</v>
      </c>
      <c r="B3" s="74"/>
      <c r="C3" s="83"/>
      <c r="D3" s="83"/>
      <c r="E3" s="84"/>
      <c r="F3" s="1">
        <f>inputPrYr!$D$6</f>
        <v>2012</v>
      </c>
    </row>
    <row r="4" spans="1:5" ht="15.75">
      <c r="A4" s="32"/>
      <c r="B4" s="32"/>
      <c r="C4" s="37"/>
      <c r="D4" s="37"/>
      <c r="E4" s="37"/>
    </row>
    <row r="5" spans="1:5" ht="15.75">
      <c r="A5" s="35" t="s">
        <v>43</v>
      </c>
      <c r="B5" s="35"/>
      <c r="C5" s="77" t="s">
        <v>316</v>
      </c>
      <c r="D5" s="78" t="s">
        <v>317</v>
      </c>
      <c r="E5" s="78" t="s">
        <v>314</v>
      </c>
    </row>
    <row r="6" spans="1:5" ht="15.75">
      <c r="A6" s="55">
        <f>inputPrYr!B25</f>
        <v>0</v>
      </c>
      <c r="B6" s="55"/>
      <c r="C6" s="181" t="str">
        <f>CONCATENATE("Actual ",F3-2,"")</f>
        <v>Actual 2010</v>
      </c>
      <c r="D6" s="181" t="str">
        <f>CONCATENATE("Estimate ",F3-1,"")</f>
        <v>Estimate 2011</v>
      </c>
      <c r="E6" s="181" t="str">
        <f>CONCATENATE("Year ",F3,"")</f>
        <v>Year 2012</v>
      </c>
    </row>
    <row r="7" spans="1:5" ht="15.75">
      <c r="A7" s="48" t="s">
        <v>145</v>
      </c>
      <c r="B7" s="309"/>
      <c r="C7" s="352"/>
      <c r="D7" s="49">
        <f>C32</f>
        <v>0</v>
      </c>
      <c r="E7" s="49">
        <f>D32</f>
        <v>0</v>
      </c>
    </row>
    <row r="8" spans="1:5" ht="15.75">
      <c r="A8" s="308" t="s">
        <v>147</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262</v>
      </c>
      <c r="B17" s="318"/>
      <c r="C17" s="307"/>
      <c r="D17" s="307"/>
      <c r="E17" s="307"/>
    </row>
    <row r="18" spans="1:5" ht="15.75">
      <c r="A18" s="341" t="s">
        <v>263</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262</v>
      </c>
      <c r="B29" s="318"/>
      <c r="C29" s="352"/>
      <c r="D29" s="352"/>
      <c r="E29" s="352"/>
    </row>
    <row r="30" spans="1:5" ht="15.75">
      <c r="A30" s="50" t="s">
        <v>264</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146</v>
      </c>
      <c r="B32" s="309"/>
      <c r="C32" s="351">
        <f>C20-C31</f>
        <v>0</v>
      </c>
      <c r="D32" s="276">
        <f>D20-D31</f>
        <v>0</v>
      </c>
      <c r="E32" s="276">
        <f>E20-E31</f>
        <v>0</v>
      </c>
    </row>
    <row r="33" spans="1:5" ht="15.75">
      <c r="A33" s="80" t="str">
        <f>CONCATENATE("",F3-2,"/",F3-1," Budget Authority Amount:")</f>
        <v>2010/2011 Budget Authority Amount:</v>
      </c>
      <c r="B33" s="326"/>
      <c r="C33" s="326">
        <f>inputOth!B46</f>
        <v>0</v>
      </c>
      <c r="D33" s="326">
        <f>inputPrYr!D25</f>
        <v>0</v>
      </c>
      <c r="E33" s="404">
        <f>IF(E32&lt;0,"Budget Violation","")</f>
      </c>
    </row>
    <row r="34" spans="1:5" ht="15.75">
      <c r="A34" s="80" t="str">
        <f>CONCATENATE("Violation of Budget Law for ",F3-2,"/",F3-1,":")</f>
        <v>Violation of Budget Law for 2010/2011:</v>
      </c>
      <c r="B34" s="327"/>
      <c r="C34" s="327" t="str">
        <f>IF(C31&gt;C33,"Yes","No")</f>
        <v>No</v>
      </c>
      <c r="D34" s="327" t="str">
        <f>IF(D31&gt;D33,"Yes","No")</f>
        <v>No</v>
      </c>
      <c r="E34" s="63"/>
    </row>
    <row r="35" spans="1:5" ht="15.75">
      <c r="A35" s="80" t="str">
        <f>CONCATENATE("Possible Cash Violation for ",F3-2,":")</f>
        <v>Possible Cash Violation for 2010:</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316</v>
      </c>
      <c r="D38" s="78" t="s">
        <v>317</v>
      </c>
      <c r="E38" s="78" t="s">
        <v>314</v>
      </c>
    </row>
    <row r="39" spans="1:5" ht="15.75" customHeight="1">
      <c r="A39" s="55">
        <f>inputPrYr!B26</f>
        <v>0</v>
      </c>
      <c r="B39" s="55"/>
      <c r="C39" s="181" t="str">
        <f>C6</f>
        <v>Actual 2010</v>
      </c>
      <c r="D39" s="181" t="str">
        <f>D6</f>
        <v>Estimate 2011</v>
      </c>
      <c r="E39" s="181" t="str">
        <f>E6</f>
        <v>Year 2012</v>
      </c>
    </row>
    <row r="40" spans="1:5" ht="15.75">
      <c r="A40" s="48" t="s">
        <v>145</v>
      </c>
      <c r="B40" s="309"/>
      <c r="C40" s="352"/>
      <c r="D40" s="49">
        <f>C65</f>
        <v>0</v>
      </c>
      <c r="E40" s="49">
        <f>D65</f>
        <v>0</v>
      </c>
    </row>
    <row r="41" spans="1:5" ht="15.75">
      <c r="A41" s="308" t="s">
        <v>147</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262</v>
      </c>
      <c r="B50" s="318"/>
      <c r="C50" s="307"/>
      <c r="D50" s="307"/>
      <c r="E50" s="307"/>
    </row>
    <row r="51" spans="1:5" ht="15.75">
      <c r="A51" s="341" t="s">
        <v>263</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262</v>
      </c>
      <c r="B62" s="318"/>
      <c r="C62" s="352"/>
      <c r="D62" s="352"/>
      <c r="E62" s="352"/>
    </row>
    <row r="63" spans="1:5" ht="15.75">
      <c r="A63" s="50" t="s">
        <v>264</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146</v>
      </c>
      <c r="B65" s="309"/>
      <c r="C65" s="351">
        <f>C53-C64</f>
        <v>0</v>
      </c>
      <c r="D65" s="276">
        <f>D53-D64</f>
        <v>0</v>
      </c>
      <c r="E65" s="276">
        <f>E53-E64</f>
        <v>0</v>
      </c>
    </row>
    <row r="66" spans="1:5" ht="15.75">
      <c r="A66" s="80" t="str">
        <f>CONCATENATE("",F3-2,"/",F3-1," Budget Authority Amount:")</f>
        <v>2010/2011 Budget Authority Amount:</v>
      </c>
      <c r="B66" s="326"/>
      <c r="C66" s="326">
        <f>inputOth!B47</f>
        <v>0</v>
      </c>
      <c r="D66" s="326">
        <f>inputPrYr!D26</f>
        <v>0</v>
      </c>
      <c r="E66" s="258">
        <f>IF(E65&lt;0,"Budget Violation","")</f>
      </c>
    </row>
    <row r="67" spans="1:5" ht="15.75">
      <c r="A67" s="80" t="str">
        <f>CONCATENATE("Violation of Budget Law for ",F3-2,"/",F3-1,":")</f>
        <v>Violation of Budget Law for 2010/2011:</v>
      </c>
      <c r="B67" s="327"/>
      <c r="C67" s="327" t="str">
        <f>IF(C64&gt;C66,"Yes","No")</f>
        <v>No</v>
      </c>
      <c r="D67" s="327" t="str">
        <f>IF(D64&gt;D66,"Yes","No")</f>
        <v>No</v>
      </c>
      <c r="E67" s="32"/>
    </row>
    <row r="68" spans="1:5" ht="15.75">
      <c r="A68" s="80" t="str">
        <f>CONCATENATE("Possible Cash Violation for ",F3-2,":")</f>
        <v>Possible Cash Violation for 2010:</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2" operator="greaterThan" stopIfTrue="1">
      <formula>$E$19*0.1</formula>
    </cfRule>
  </conditionalFormatting>
  <conditionalFormatting sqref="E29">
    <cfRule type="cellIs" priority="2" dxfId="2" operator="greaterThan" stopIfTrue="1">
      <formula>$E$31*0.1</formula>
    </cfRule>
  </conditionalFormatting>
  <conditionalFormatting sqref="E50">
    <cfRule type="cellIs" priority="3" dxfId="2" operator="greaterThan" stopIfTrue="1">
      <formula>$E$52*0.1</formula>
    </cfRule>
  </conditionalFormatting>
  <conditionalFormatting sqref="E62">
    <cfRule type="cellIs" priority="4" dxfId="2" operator="greaterThan" stopIfTrue="1">
      <formula>$E$64*0.1</formula>
    </cfRule>
  </conditionalFormatting>
  <conditionalFormatting sqref="D17">
    <cfRule type="cellIs" priority="5" dxfId="2" operator="greaterThan" stopIfTrue="1">
      <formula>$D$19*0.1</formula>
    </cfRule>
  </conditionalFormatting>
  <conditionalFormatting sqref="D29">
    <cfRule type="cellIs" priority="6" dxfId="2" operator="greaterThan" stopIfTrue="1">
      <formula>$D$31*0.1</formula>
    </cfRule>
  </conditionalFormatting>
  <conditionalFormatting sqref="D50">
    <cfRule type="cellIs" priority="7" dxfId="2" operator="greaterThan" stopIfTrue="1">
      <formula>$D$52*0.1</formula>
    </cfRule>
  </conditionalFormatting>
  <conditionalFormatting sqref="D62">
    <cfRule type="cellIs" priority="8" dxfId="2" operator="greaterThan" stopIfTrue="1">
      <formula>$D$64*0.1</formula>
    </cfRule>
  </conditionalFormatting>
  <conditionalFormatting sqref="C17">
    <cfRule type="cellIs" priority="9" dxfId="2" operator="greaterThan" stopIfTrue="1">
      <formula>$C$19*0.1</formula>
    </cfRule>
  </conditionalFormatting>
  <conditionalFormatting sqref="C29">
    <cfRule type="cellIs" priority="10" dxfId="2" operator="greaterThan" stopIfTrue="1">
      <formula>$C$31*0.1</formula>
    </cfRule>
  </conditionalFormatting>
  <conditionalFormatting sqref="C50">
    <cfRule type="cellIs" priority="11" dxfId="2" operator="greaterThan" stopIfTrue="1">
      <formula>$C$52*0.1</formula>
    </cfRule>
  </conditionalFormatting>
  <conditionalFormatting sqref="C62">
    <cfRule type="cellIs" priority="12" dxfId="2" operator="greaterThan" stopIfTrue="1">
      <formula>$C$64*0.1</formula>
    </cfRule>
  </conditionalFormatting>
  <conditionalFormatting sqref="E65 C65 E32">
    <cfRule type="cellIs" priority="13" dxfId="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Harrisonville Cemetery District No. 3</v>
      </c>
      <c r="B1" s="359"/>
      <c r="C1" s="60"/>
      <c r="D1" s="60"/>
      <c r="E1" s="60"/>
      <c r="F1" s="360" t="s">
        <v>301</v>
      </c>
      <c r="G1" s="60"/>
      <c r="H1" s="60"/>
      <c r="I1" s="60"/>
      <c r="J1" s="60"/>
      <c r="K1" s="60">
        <f>inputPrYr!$D$6</f>
        <v>2012</v>
      </c>
    </row>
    <row r="2" spans="1:11" ht="15.75">
      <c r="A2" s="60"/>
      <c r="B2" s="60"/>
      <c r="C2" s="60"/>
      <c r="D2" s="60"/>
      <c r="E2" s="60"/>
      <c r="F2" s="361" t="str">
        <f>CONCATENATE("(Only the actual budget year for ",K1-2," is to be shown)")</f>
        <v>(Only the actual budget year for 2010 is to be shown)</v>
      </c>
      <c r="G2" s="60"/>
      <c r="H2" s="60"/>
      <c r="I2" s="60"/>
      <c r="J2" s="60"/>
      <c r="K2" s="60"/>
    </row>
    <row r="3" spans="1:11" ht="15.75">
      <c r="A3" s="60" t="s">
        <v>302</v>
      </c>
      <c r="B3" s="60"/>
      <c r="C3" s="60"/>
      <c r="D3" s="60"/>
      <c r="E3" s="60"/>
      <c r="F3" s="359"/>
      <c r="G3" s="60"/>
      <c r="H3" s="60"/>
      <c r="I3" s="60"/>
      <c r="J3" s="60"/>
      <c r="K3" s="60"/>
    </row>
    <row r="4" spans="1:11" ht="15.75">
      <c r="A4" s="60" t="s">
        <v>303</v>
      </c>
      <c r="B4" s="60"/>
      <c r="C4" s="60" t="s">
        <v>304</v>
      </c>
      <c r="D4" s="60"/>
      <c r="E4" s="60" t="s">
        <v>305</v>
      </c>
      <c r="F4" s="359"/>
      <c r="G4" s="60" t="s">
        <v>306</v>
      </c>
      <c r="H4" s="60"/>
      <c r="I4" s="60" t="s">
        <v>307</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308</v>
      </c>
      <c r="B6" s="364"/>
      <c r="C6" s="365" t="s">
        <v>308</v>
      </c>
      <c r="D6" s="366"/>
      <c r="E6" s="365" t="s">
        <v>308</v>
      </c>
      <c r="F6" s="367"/>
      <c r="G6" s="365" t="s">
        <v>308</v>
      </c>
      <c r="H6" s="368"/>
      <c r="I6" s="365" t="s">
        <v>308</v>
      </c>
      <c r="J6" s="60"/>
      <c r="K6" s="369" t="s">
        <v>20</v>
      </c>
    </row>
    <row r="7" spans="1:11" ht="15.75">
      <c r="A7" s="370" t="s">
        <v>309</v>
      </c>
      <c r="B7" s="371"/>
      <c r="C7" s="372" t="s">
        <v>309</v>
      </c>
      <c r="D7" s="371"/>
      <c r="E7" s="372" t="s">
        <v>309</v>
      </c>
      <c r="F7" s="371"/>
      <c r="G7" s="372" t="s">
        <v>309</v>
      </c>
      <c r="H7" s="371"/>
      <c r="I7" s="372" t="s">
        <v>309</v>
      </c>
      <c r="J7" s="371"/>
      <c r="K7" s="373">
        <f>SUM(B7+D7+F7+H7+J7)</f>
        <v>0</v>
      </c>
    </row>
    <row r="8" spans="1:11" ht="15.75">
      <c r="A8" s="374" t="s">
        <v>147</v>
      </c>
      <c r="B8" s="375"/>
      <c r="C8" s="374" t="s">
        <v>147</v>
      </c>
      <c r="D8" s="376"/>
      <c r="E8" s="374" t="s">
        <v>147</v>
      </c>
      <c r="F8" s="359"/>
      <c r="G8" s="374" t="s">
        <v>147</v>
      </c>
      <c r="H8" s="60"/>
      <c r="I8" s="374" t="s">
        <v>147</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310</v>
      </c>
      <c r="B29" s="373">
        <f>SUM(B18-B28)</f>
        <v>0</v>
      </c>
      <c r="C29" s="374" t="s">
        <v>310</v>
      </c>
      <c r="D29" s="373">
        <f>SUM(D18-D28)</f>
        <v>0</v>
      </c>
      <c r="E29" s="374" t="s">
        <v>310</v>
      </c>
      <c r="F29" s="373">
        <f>SUM(F18-F28)</f>
        <v>0</v>
      </c>
      <c r="G29" s="374" t="s">
        <v>310</v>
      </c>
      <c r="H29" s="373">
        <f>SUM(H18-H28)</f>
        <v>0</v>
      </c>
      <c r="I29" s="374" t="s">
        <v>310</v>
      </c>
      <c r="J29" s="373">
        <f>SUM(J18-J28)</f>
        <v>0</v>
      </c>
      <c r="K29" s="390">
        <f>SUM(B29+D29+F29+H29+J29)</f>
        <v>0</v>
      </c>
      <c r="L29" s="1" t="s">
        <v>311</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311</v>
      </c>
    </row>
    <row r="31" spans="1:11" ht="15.75">
      <c r="A31" s="60"/>
      <c r="B31" s="392"/>
      <c r="C31" s="60"/>
      <c r="D31" s="359"/>
      <c r="E31" s="60"/>
      <c r="F31" s="60"/>
      <c r="G31" s="344" t="s">
        <v>312</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8">
      <selection activeCell="E46" sqref="E46"/>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16" t="s">
        <v>103</v>
      </c>
      <c r="B1" s="416"/>
      <c r="C1" s="416"/>
      <c r="D1" s="416"/>
      <c r="E1" s="416"/>
      <c r="F1" s="416"/>
      <c r="G1" s="416"/>
      <c r="H1" s="493"/>
    </row>
    <row r="2" spans="1:8" ht="15.75">
      <c r="A2" s="32"/>
      <c r="B2" s="32"/>
      <c r="C2" s="32"/>
      <c r="D2" s="32"/>
      <c r="E2" s="32"/>
      <c r="F2" s="32"/>
      <c r="G2" s="32"/>
      <c r="H2" s="32"/>
    </row>
    <row r="3" spans="1:9" ht="15.75">
      <c r="A3" s="452" t="s">
        <v>130</v>
      </c>
      <c r="B3" s="452"/>
      <c r="C3" s="452"/>
      <c r="D3" s="452"/>
      <c r="E3" s="452"/>
      <c r="F3" s="452"/>
      <c r="G3" s="452"/>
      <c r="H3" s="452"/>
      <c r="I3" s="64">
        <f>inputPrYr!D6</f>
        <v>2012</v>
      </c>
    </row>
    <row r="4" spans="1:8" ht="15.75">
      <c r="A4" s="443" t="str">
        <f>inputPrYr!D3</f>
        <v>Harrisonville Cemetery District No. 3</v>
      </c>
      <c r="B4" s="443"/>
      <c r="C4" s="443"/>
      <c r="D4" s="443"/>
      <c r="E4" s="443"/>
      <c r="F4" s="443"/>
      <c r="G4" s="443"/>
      <c r="H4" s="443"/>
    </row>
    <row r="5" spans="1:8" ht="15.75">
      <c r="A5" s="443" t="str">
        <f>inputPrYr!D4</f>
        <v>Montgomery</v>
      </c>
      <c r="B5" s="443"/>
      <c r="C5" s="443"/>
      <c r="D5" s="443"/>
      <c r="E5" s="443"/>
      <c r="F5" s="443"/>
      <c r="G5" s="443"/>
      <c r="H5" s="443"/>
    </row>
    <row r="6" spans="1:8" ht="15.75">
      <c r="A6" s="496" t="s">
        <v>360</v>
      </c>
      <c r="B6" s="496"/>
      <c r="C6" s="496"/>
      <c r="D6" s="496"/>
      <c r="E6" s="496"/>
      <c r="F6" s="496"/>
      <c r="G6" s="496"/>
      <c r="H6" s="496"/>
    </row>
    <row r="7" spans="1:8" ht="15.75">
      <c r="A7" s="90" t="s">
        <v>359</v>
      </c>
      <c r="B7" s="91"/>
      <c r="C7" s="91"/>
      <c r="D7" s="91"/>
      <c r="E7" s="91"/>
      <c r="F7" s="91"/>
      <c r="G7" s="91"/>
      <c r="H7" s="65"/>
    </row>
    <row r="8" spans="1:8" ht="15.75">
      <c r="A8" s="65" t="s">
        <v>63</v>
      </c>
      <c r="B8" s="65"/>
      <c r="C8" s="65"/>
      <c r="D8" s="65"/>
      <c r="E8" s="65"/>
      <c r="F8" s="65"/>
      <c r="G8" s="65"/>
      <c r="H8" s="65"/>
    </row>
    <row r="9" spans="1:8" ht="15.75">
      <c r="A9" s="24" t="s">
        <v>64</v>
      </c>
      <c r="B9" s="25"/>
      <c r="C9" s="25"/>
      <c r="D9" s="23"/>
      <c r="E9" s="23"/>
      <c r="F9" s="23"/>
      <c r="G9" s="91"/>
      <c r="H9" s="65"/>
    </row>
    <row r="10" spans="1:8" ht="15.75">
      <c r="A10" s="33" t="s">
        <v>65</v>
      </c>
      <c r="B10" s="34"/>
      <c r="C10" s="34"/>
      <c r="D10" s="34"/>
      <c r="E10" s="34"/>
      <c r="F10" s="34"/>
      <c r="G10" s="34"/>
      <c r="H10" s="34"/>
    </row>
    <row r="11" spans="1:8" ht="15.75">
      <c r="A11" s="33"/>
      <c r="B11" s="34"/>
      <c r="C11" s="34"/>
      <c r="D11" s="34"/>
      <c r="E11" s="34"/>
      <c r="F11" s="34"/>
      <c r="G11" s="34"/>
      <c r="H11" s="34"/>
    </row>
    <row r="12" spans="1:8" ht="15.75">
      <c r="A12" s="108" t="s">
        <v>104</v>
      </c>
      <c r="B12" s="34"/>
      <c r="C12" s="34"/>
      <c r="D12" s="34"/>
      <c r="E12" s="34"/>
      <c r="F12" s="34"/>
      <c r="G12" s="34"/>
      <c r="H12" s="34"/>
    </row>
    <row r="13" spans="1:8" ht="15.75">
      <c r="A13" s="33" t="str">
        <f>CONCATENATE("Proposed Budget ",I3," Expenditures and Amount of ",I3-1," Ad Valorem Tax establish the maximum limits")</f>
        <v>Proposed Budget 2012 Expenditures and Amount of 2011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2012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2010</v>
      </c>
      <c r="C16" s="250"/>
      <c r="D16" s="251" t="str">
        <f>CONCATENATE("Current Year Estimate for ",I3-1,"")</f>
        <v>Current Year Estimate for 2011</v>
      </c>
      <c r="E16" s="250"/>
      <c r="F16" s="249" t="str">
        <f>CONCATENATE("Proposed Budget Year for ",I3,"")</f>
        <v>Proposed Budget Year for 2012</v>
      </c>
      <c r="G16" s="252"/>
      <c r="H16" s="250"/>
    </row>
    <row r="17" spans="1:8" ht="15.75">
      <c r="A17" s="32"/>
      <c r="B17" s="43"/>
      <c r="C17" s="66" t="s">
        <v>66</v>
      </c>
      <c r="D17" s="43"/>
      <c r="E17" s="66" t="s">
        <v>66</v>
      </c>
      <c r="F17" s="237"/>
      <c r="G17" s="494" t="str">
        <f>CONCATENATE("Amount of ",I3-1," Ad Valorem Tax")</f>
        <v>Amount of 2011 Ad Valorem Tax</v>
      </c>
      <c r="H17" s="66" t="s">
        <v>66</v>
      </c>
    </row>
    <row r="18" spans="1:8" ht="15.75">
      <c r="A18" s="253" t="s">
        <v>67</v>
      </c>
      <c r="B18" s="86" t="s">
        <v>68</v>
      </c>
      <c r="C18" s="67" t="s">
        <v>230</v>
      </c>
      <c r="D18" s="86" t="s">
        <v>68</v>
      </c>
      <c r="E18" s="67" t="s">
        <v>230</v>
      </c>
      <c r="F18" s="86" t="s">
        <v>68</v>
      </c>
      <c r="G18" s="495"/>
      <c r="H18" s="67" t="s">
        <v>230</v>
      </c>
    </row>
    <row r="19" spans="1:8" ht="15.75">
      <c r="A19" s="47" t="str">
        <f>inputPrYr!B18</f>
        <v>General</v>
      </c>
      <c r="B19" s="51">
        <f>IF(gen!$C$41&lt;&gt;0,gen!$C$41,"  ")</f>
        <v>5730.6</v>
      </c>
      <c r="C19" s="92">
        <f>IF(inputPrYr!D37&gt;0,inputPrYr!D37,"  ")</f>
        <v>0.375</v>
      </c>
      <c r="D19" s="51">
        <f>IF(gen!$E$41&lt;&gt;0,gen!$E$41,"  ")</f>
        <v>10280</v>
      </c>
      <c r="E19" s="92">
        <f>IF(inputOth!D16&gt;0,inputOth!D16,"  ")</f>
        <v>0.375</v>
      </c>
      <c r="F19" s="51">
        <f>IF(gen!$G$41&lt;&gt;0,gen!$G$41,"  ")</f>
        <v>10800</v>
      </c>
      <c r="G19" s="51">
        <f>IF(gen!$G$47&lt;&gt;0,gen!$G$47,"  ")</f>
        <v>2833.5999999999985</v>
      </c>
      <c r="H19" s="92">
        <f>IF(gen!G47&gt;0,ROUND(G19/$F$30*1000,3)," ")</f>
        <v>0.188</v>
      </c>
    </row>
    <row r="20" spans="1:8" ht="15.75">
      <c r="A20" s="47" t="s">
        <v>352</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154</v>
      </c>
      <c r="B26" s="273">
        <f aca="true" t="shared" si="0" ref="B26:H26">SUM(B19:B24)</f>
        <v>5730.6</v>
      </c>
      <c r="C26" s="279">
        <f t="shared" si="0"/>
        <v>0.375</v>
      </c>
      <c r="D26" s="273">
        <f t="shared" si="0"/>
        <v>10280</v>
      </c>
      <c r="E26" s="279">
        <f t="shared" si="0"/>
        <v>0.375</v>
      </c>
      <c r="F26" s="273">
        <f t="shared" si="0"/>
        <v>10800</v>
      </c>
      <c r="G26" s="273">
        <f t="shared" si="0"/>
        <v>2833.5999999999985</v>
      </c>
      <c r="H26" s="279">
        <f t="shared" si="0"/>
        <v>0.188</v>
      </c>
    </row>
    <row r="27" spans="1:8" ht="15.75">
      <c r="A27" s="75" t="s">
        <v>200</v>
      </c>
      <c r="B27" s="273">
        <f>transfers!C26</f>
        <v>0</v>
      </c>
      <c r="C27" s="187"/>
      <c r="D27" s="273">
        <f>transfers!D26</f>
        <v>0</v>
      </c>
      <c r="E27" s="187"/>
      <c r="F27" s="400">
        <f>transfers!E26</f>
        <v>0</v>
      </c>
      <c r="G27" s="186"/>
      <c r="H27" s="167"/>
    </row>
    <row r="28" spans="1:8" ht="16.5" thickBot="1">
      <c r="A28" s="75" t="s">
        <v>201</v>
      </c>
      <c r="B28" s="266">
        <f>SUM(B26-B27)</f>
        <v>5730.6</v>
      </c>
      <c r="C28" s="188"/>
      <c r="D28" s="266">
        <f>SUM(D26-D27)</f>
        <v>10280</v>
      </c>
      <c r="E28" s="188"/>
      <c r="F28" s="280">
        <f>SUM(F26-F27)</f>
        <v>10800</v>
      </c>
      <c r="G28" s="186"/>
      <c r="H28" s="167"/>
    </row>
    <row r="29" spans="1:8" ht="16.5" thickTop="1">
      <c r="A29" s="75" t="s">
        <v>69</v>
      </c>
      <c r="B29" s="402">
        <f>inputPrYr!E43</f>
        <v>5853</v>
      </c>
      <c r="C29" s="237"/>
      <c r="D29" s="402">
        <f>inputPrYr!E23</f>
        <v>5853</v>
      </c>
      <c r="E29" s="237"/>
      <c r="F29" s="254" t="s">
        <v>206</v>
      </c>
      <c r="G29" s="32"/>
      <c r="H29" s="32"/>
    </row>
    <row r="30" spans="1:8" ht="15.75">
      <c r="A30" s="75" t="s">
        <v>202</v>
      </c>
      <c r="B30" s="273">
        <f>inputPrYr!E44</f>
        <v>15600153</v>
      </c>
      <c r="C30" s="237"/>
      <c r="D30" s="273">
        <f>inputOth!E24</f>
        <v>15600153</v>
      </c>
      <c r="E30" s="237"/>
      <c r="F30" s="273">
        <f>inputOth!E7</f>
        <v>15072093</v>
      </c>
      <c r="G30" s="32"/>
      <c r="H30" s="32"/>
    </row>
    <row r="31" spans="1:8" ht="15.75">
      <c r="A31" s="111"/>
      <c r="B31" s="186"/>
      <c r="C31" s="55"/>
      <c r="D31" s="186"/>
      <c r="E31" s="55"/>
      <c r="F31" s="186"/>
      <c r="G31" s="32"/>
      <c r="H31" s="32"/>
    </row>
    <row r="32" spans="1:8" ht="15.75">
      <c r="A32" s="35" t="s">
        <v>70</v>
      </c>
      <c r="B32" s="32"/>
      <c r="C32" s="32"/>
      <c r="D32" s="32"/>
      <c r="E32" s="32"/>
      <c r="F32" s="32"/>
      <c r="G32" s="32"/>
      <c r="H32" s="32"/>
    </row>
    <row r="33" spans="1:8" ht="15.75">
      <c r="A33" s="35" t="s">
        <v>199</v>
      </c>
      <c r="B33" s="156">
        <f>I3-3</f>
        <v>2009</v>
      </c>
      <c r="C33" s="32"/>
      <c r="D33" s="156">
        <f>I3-2</f>
        <v>2010</v>
      </c>
      <c r="E33" s="32"/>
      <c r="F33" s="156">
        <f>I3-1</f>
        <v>2011</v>
      </c>
      <c r="G33" s="32"/>
      <c r="H33" s="32"/>
    </row>
    <row r="34" spans="1:8" ht="15.75">
      <c r="A34" s="35" t="s">
        <v>71</v>
      </c>
      <c r="B34" s="401">
        <f>inputPrYr!D47</f>
        <v>0</v>
      </c>
      <c r="C34" s="79"/>
      <c r="D34" s="401">
        <f>inputPrYr!E47</f>
        <v>0</v>
      </c>
      <c r="E34" s="32"/>
      <c r="F34" s="401">
        <f>debt!E12</f>
        <v>0</v>
      </c>
      <c r="G34" s="32"/>
      <c r="H34" s="64"/>
    </row>
    <row r="35" spans="1:8" ht="15.75">
      <c r="A35" s="32" t="s">
        <v>72</v>
      </c>
      <c r="B35" s="401">
        <f>inputPrYr!D48</f>
        <v>0</v>
      </c>
      <c r="C35" s="32"/>
      <c r="D35" s="401">
        <f>inputPrYr!E48</f>
        <v>0</v>
      </c>
      <c r="E35" s="32"/>
      <c r="F35" s="401">
        <f>debt!E16</f>
        <v>0</v>
      </c>
      <c r="G35" s="32"/>
      <c r="H35" s="64"/>
    </row>
    <row r="36" spans="1:8" ht="15.75">
      <c r="A36" s="35" t="s">
        <v>73</v>
      </c>
      <c r="B36" s="401">
        <f>inputPrYr!D49</f>
        <v>0</v>
      </c>
      <c r="C36" s="79"/>
      <c r="D36" s="401">
        <f>inputPrYr!E49</f>
        <v>0</v>
      </c>
      <c r="E36" s="32"/>
      <c r="F36" s="401">
        <f>debt!E20</f>
        <v>0</v>
      </c>
      <c r="G36" s="32"/>
      <c r="H36" s="64"/>
    </row>
    <row r="37" spans="1:8" ht="15.75">
      <c r="A37" s="35" t="s">
        <v>155</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74</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75</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76</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7" sqref="C7:C10"/>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Harrisonville Cemetery District No. 3</v>
      </c>
      <c r="B1" s="64"/>
      <c r="C1" s="64"/>
      <c r="D1" s="64"/>
      <c r="E1" s="64"/>
      <c r="F1" s="64">
        <f>inputPrYr!D6</f>
        <v>2012</v>
      </c>
    </row>
    <row r="2" spans="1:6" ht="15.75">
      <c r="A2" s="329"/>
      <c r="B2" s="64"/>
      <c r="C2" s="64"/>
      <c r="D2" s="64"/>
      <c r="E2" s="64"/>
      <c r="F2" s="64"/>
    </row>
    <row r="3" spans="1:6" ht="15.75">
      <c r="A3" s="64"/>
      <c r="B3" s="64"/>
      <c r="C3" s="64"/>
      <c r="D3" s="64"/>
      <c r="E3" s="64"/>
      <c r="F3" s="64"/>
    </row>
    <row r="4" spans="1:6" ht="15.75">
      <c r="A4" s="32"/>
      <c r="B4" s="441" t="str">
        <f>CONCATENATE("",F1," Neighborhood Revitalization Rebate")</f>
        <v>2012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2011</v>
      </c>
      <c r="C6" s="328" t="str">
        <f>CONCATENATE("",F1-1," Ad Valorem before Rebate")</f>
        <v>2011 Ad Valorem before Rebate</v>
      </c>
      <c r="D6" s="330" t="str">
        <f>CONCATENATE("",F1-1," Mil Rate before Rebate")</f>
        <v>2011 Mil Rate before Rebate</v>
      </c>
      <c r="E6" s="331" t="str">
        <f>CONCATENATE("Estimate ",F1," NR Rebate")</f>
        <v>Estimate 2012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246</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2011 Net Valuation (July 1 less NR Valuation)</v>
      </c>
      <c r="B16" s="498"/>
      <c r="C16" s="500"/>
      <c r="D16" s="294">
        <f>(inputOth!E7)-(inputOth!E12)</f>
        <v>15072093</v>
      </c>
      <c r="E16" s="32"/>
      <c r="F16" s="64"/>
    </row>
    <row r="17" spans="1:6" ht="15.75">
      <c r="A17" s="32"/>
      <c r="B17" s="32"/>
      <c r="C17" s="32"/>
      <c r="D17" s="32"/>
      <c r="E17" s="32"/>
      <c r="F17" s="64"/>
    </row>
    <row r="18" spans="1:6" ht="15.75">
      <c r="A18" s="32"/>
      <c r="B18" s="500" t="s">
        <v>259</v>
      </c>
      <c r="C18" s="500"/>
      <c r="D18" s="335">
        <f>IF(D16&gt;0,(D16*0.001),"")</f>
        <v>15072.093</v>
      </c>
      <c r="E18" s="32"/>
      <c r="F18" s="64"/>
    </row>
    <row r="19" spans="1:6" ht="15.75">
      <c r="A19" s="32"/>
      <c r="B19" s="80"/>
      <c r="C19" s="80"/>
      <c r="D19" s="336"/>
      <c r="E19" s="32"/>
      <c r="F19" s="64"/>
    </row>
    <row r="20" spans="1:6" ht="15.75">
      <c r="A20" s="497" t="s">
        <v>260</v>
      </c>
      <c r="B20" s="493"/>
      <c r="C20" s="493"/>
      <c r="D20" s="338">
        <f>inputOth!E12</f>
        <v>0</v>
      </c>
      <c r="E20" s="161"/>
      <c r="F20" s="161"/>
    </row>
    <row r="21" spans="1:6" ht="15">
      <c r="A21" s="161"/>
      <c r="B21" s="161"/>
      <c r="C21" s="161"/>
      <c r="D21" s="339"/>
      <c r="E21" s="161"/>
      <c r="F21" s="161"/>
    </row>
    <row r="22" spans="1:6" ht="15.75">
      <c r="A22" s="161"/>
      <c r="B22" s="497" t="s">
        <v>261</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oddFooter>&amp;Lrevised 10/23/08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127" customWidth="1"/>
    <col min="2" max="16384" width="9.796875" style="127" customWidth="1"/>
  </cols>
  <sheetData>
    <row r="1" spans="2:8" ht="15.75">
      <c r="B1" s="509" t="s">
        <v>160</v>
      </c>
      <c r="C1" s="509"/>
      <c r="D1" s="509"/>
      <c r="E1" s="509"/>
      <c r="F1" s="509"/>
      <c r="G1" s="509"/>
      <c r="H1" s="509"/>
    </row>
    <row r="2" spans="2:8" ht="15.75">
      <c r="B2" s="131"/>
      <c r="C2"/>
      <c r="D2"/>
      <c r="E2"/>
      <c r="F2"/>
      <c r="G2"/>
      <c r="H2"/>
    </row>
    <row r="3" spans="2:8" ht="15.75">
      <c r="B3" s="510" t="s">
        <v>157</v>
      </c>
      <c r="C3" s="510"/>
      <c r="D3" s="510"/>
      <c r="E3" s="510"/>
      <c r="F3" s="510"/>
      <c r="G3" s="510"/>
      <c r="H3" s="510"/>
    </row>
    <row r="4" spans="2:8" ht="15.75">
      <c r="B4" s="132"/>
      <c r="C4"/>
      <c r="D4"/>
      <c r="E4"/>
      <c r="F4"/>
      <c r="G4"/>
      <c r="H4"/>
    </row>
    <row r="5" spans="2:8" ht="15.75">
      <c r="B5" s="502" t="str">
        <f>CONCATENATE("A resolution expressing the property taxation policy of the Board of ",(inputPrYr!D3)," District with respect to financing the ",inputPrYr!D6," annual budget for ",(inputPrYr!D3)," , ",(inputPrYr!D4)," , Kansas.")</f>
        <v>A resolution expressing the property taxation policy of the Board of Harrisonville Cemetery District No. 3 District with respect to financing the 2012 annual budget for Harrisonville Cemetery District No. 3 , Montgomery , Kansas.</v>
      </c>
      <c r="C5" s="503"/>
      <c r="D5" s="503"/>
      <c r="E5" s="503"/>
      <c r="F5" s="503"/>
      <c r="G5" s="503"/>
      <c r="H5" s="503"/>
    </row>
    <row r="6" spans="2:10" ht="15.75">
      <c r="B6" s="503"/>
      <c r="C6" s="503"/>
      <c r="D6" s="503"/>
      <c r="E6" s="503"/>
      <c r="F6" s="503"/>
      <c r="G6" s="503"/>
      <c r="H6" s="503"/>
      <c r="J6" s="127">
        <f>CONCATENATE(J7)</f>
      </c>
    </row>
    <row r="7" spans="2:8" ht="15.75">
      <c r="B7" s="136"/>
      <c r="C7"/>
      <c r="D7"/>
      <c r="E7"/>
      <c r="F7"/>
      <c r="G7"/>
      <c r="H7"/>
    </row>
    <row r="8" spans="2:8" ht="15.75">
      <c r="B8" s="137" t="s">
        <v>207</v>
      </c>
      <c r="C8"/>
      <c r="D8"/>
      <c r="E8"/>
      <c r="F8"/>
      <c r="G8"/>
      <c r="H8"/>
    </row>
    <row r="9" spans="2:8" ht="15.75">
      <c r="B9" s="137" t="str">
        <f>CONCATENATE("",inputPrYr!D6," ",(inputPrYr!D3)," district budget exceed the amount levied to finance the")</f>
        <v>2012 Harrisonville Cemetery District No. 3 district budget exceed the amount levied to finance the</v>
      </c>
      <c r="C9"/>
      <c r="D9"/>
      <c r="E9"/>
      <c r="F9"/>
      <c r="G9"/>
      <c r="H9"/>
    </row>
    <row r="10" spans="2:8" ht="15.75">
      <c r="B10" s="137" t="str">
        <f>CONCATENATE("",inputPrYr!D6-1," ",inputPrYr!D3," except with regard to revenue produced and attributable to the")</f>
        <v>2011 Harrisonville Cemetery District No. 3 except with regard to revenue produced and attributable to the</v>
      </c>
      <c r="C10"/>
      <c r="D10"/>
      <c r="E10"/>
      <c r="F10"/>
      <c r="G10"/>
      <c r="H10"/>
    </row>
    <row r="11" spans="2:8" ht="15.75">
      <c r="B11" s="506" t="s">
        <v>208</v>
      </c>
      <c r="C11" s="511"/>
      <c r="D11" s="511"/>
      <c r="E11" s="511"/>
      <c r="F11" s="511"/>
      <c r="G11" s="511"/>
      <c r="H11" s="511"/>
    </row>
    <row r="12" spans="2:8" ht="15.75">
      <c r="B12" s="511"/>
      <c r="C12" s="511"/>
      <c r="D12" s="511"/>
      <c r="E12" s="511"/>
      <c r="F12" s="511"/>
      <c r="G12" s="511"/>
      <c r="H12" s="511"/>
    </row>
    <row r="13" spans="2:8" ht="15.75">
      <c r="B13" s="511"/>
      <c r="C13" s="511"/>
      <c r="D13" s="511"/>
      <c r="E13" s="511"/>
      <c r="F13" s="511"/>
      <c r="G13" s="511"/>
      <c r="H13" s="511"/>
    </row>
    <row r="14" spans="2:8" ht="15.75">
      <c r="B14" s="511"/>
      <c r="C14" s="511"/>
      <c r="D14" s="511"/>
      <c r="E14" s="511"/>
      <c r="F14" s="511"/>
      <c r="G14" s="511"/>
      <c r="H14" s="511"/>
    </row>
    <row r="15" spans="2:8" ht="15.75">
      <c r="B15" s="109"/>
      <c r="C15" s="109"/>
      <c r="D15" s="109"/>
      <c r="E15" s="109"/>
      <c r="F15" s="109"/>
      <c r="G15" s="109"/>
      <c r="H15" s="109"/>
    </row>
    <row r="16" spans="2:8" ht="15.75">
      <c r="B16" s="504" t="s">
        <v>173</v>
      </c>
      <c r="C16" s="505"/>
      <c r="D16" s="505"/>
      <c r="E16" s="505"/>
      <c r="F16" s="505"/>
      <c r="G16" s="505"/>
      <c r="H16" s="505"/>
    </row>
    <row r="17" spans="2:8" ht="15.75">
      <c r="B17" s="505"/>
      <c r="C17" s="505"/>
      <c r="D17" s="505"/>
      <c r="E17" s="505"/>
      <c r="F17" s="505"/>
      <c r="G17" s="505"/>
      <c r="H17" s="505"/>
    </row>
    <row r="18" spans="2:8" ht="15.75">
      <c r="B18" s="137"/>
      <c r="C18"/>
      <c r="D18"/>
      <c r="E18"/>
      <c r="F18"/>
      <c r="G18"/>
      <c r="H18"/>
    </row>
    <row r="19" spans="2:8" ht="15.75">
      <c r="B19" s="137" t="str">
        <f>CONCATENATE("Whereas, ",(inputPrYr!D3)," provides essential services to district residents; and")</f>
        <v>Whereas, Harrisonville Cemetery District No. 3 provides essential services to district residents; and</v>
      </c>
      <c r="C19"/>
      <c r="D19"/>
      <c r="E19"/>
      <c r="F19"/>
      <c r="G19"/>
      <c r="H19"/>
    </row>
    <row r="20" spans="2:8" ht="15.75">
      <c r="B20" s="137"/>
      <c r="C20"/>
      <c r="D20"/>
      <c r="E20"/>
      <c r="F20"/>
      <c r="G20"/>
      <c r="H20"/>
    </row>
    <row r="21" spans="2:8" ht="15.75">
      <c r="B21" s="137" t="s">
        <v>174</v>
      </c>
      <c r="C21"/>
      <c r="D21"/>
      <c r="E21"/>
      <c r="F21"/>
      <c r="G21"/>
      <c r="H21"/>
    </row>
    <row r="22" spans="2:8" ht="15.75">
      <c r="B22" s="137"/>
      <c r="C22"/>
      <c r="D22"/>
      <c r="E22"/>
      <c r="F22"/>
      <c r="G22"/>
      <c r="H22"/>
    </row>
    <row r="23" spans="2:8" ht="15.75">
      <c r="B23" s="50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Harrisonville Cemetery District No. 3 that is our desire to notify the public of the possibility of increased property taxes to finance the 2012 Harrisonville Cemetery District No. 3  budget as defined above.</v>
      </c>
      <c r="C23" s="507"/>
      <c r="D23" s="507"/>
      <c r="E23" s="507"/>
      <c r="F23" s="507"/>
      <c r="G23" s="507"/>
      <c r="H23" s="507"/>
    </row>
    <row r="24" spans="2:8" ht="15.75">
      <c r="B24" s="507"/>
      <c r="C24" s="507"/>
      <c r="D24" s="507"/>
      <c r="E24" s="507"/>
      <c r="F24" s="507"/>
      <c r="G24" s="507"/>
      <c r="H24" s="507"/>
    </row>
    <row r="25" spans="2:8" ht="15.75">
      <c r="B25" s="507"/>
      <c r="C25" s="507"/>
      <c r="D25" s="507"/>
      <c r="E25" s="507"/>
      <c r="F25" s="507"/>
      <c r="G25" s="507"/>
      <c r="H25" s="507"/>
    </row>
    <row r="26" spans="2:8" ht="15.75">
      <c r="B26" s="137"/>
      <c r="C26"/>
      <c r="D26"/>
      <c r="E26"/>
      <c r="F26"/>
      <c r="G26"/>
      <c r="H26"/>
    </row>
    <row r="27" spans="2:8" ht="15.75">
      <c r="B27" s="504" t="str">
        <f>CONCATENATE("Adopted this _________ day of ___________, ",inputPrYr!D6-1," by the ",(inputPrYr!D3)," District Board, ",(inputPrYr!D4),", Kansas.")</f>
        <v>Adopted this _________ day of ___________, 2011 by the Harrisonville Cemetery District No. 3 District Board, Montgomery, Kansas.</v>
      </c>
      <c r="C27" s="503"/>
      <c r="D27" s="503"/>
      <c r="E27" s="503"/>
      <c r="F27" s="503"/>
      <c r="G27" s="503"/>
      <c r="H27" s="503"/>
    </row>
    <row r="28" spans="2:8" ht="15.75">
      <c r="B28" s="503"/>
      <c r="C28" s="503"/>
      <c r="D28" s="503"/>
      <c r="E28" s="503"/>
      <c r="F28" s="503"/>
      <c r="G28" s="503"/>
      <c r="H28" s="503"/>
    </row>
    <row r="29" spans="2:8" ht="15.75">
      <c r="B29" s="133"/>
      <c r="C29"/>
      <c r="D29"/>
      <c r="E29"/>
      <c r="F29"/>
      <c r="G29"/>
      <c r="H29"/>
    </row>
    <row r="30" spans="2:8" ht="15.75">
      <c r="B30" s="133"/>
      <c r="C30"/>
      <c r="D30"/>
      <c r="E30"/>
      <c r="F30"/>
      <c r="G30"/>
      <c r="H30"/>
    </row>
    <row r="31" spans="2:8" ht="15.75">
      <c r="B31" s="134" t="str">
        <f>CONCATENATE(" ",(inputPrYr!D3)," District Board")</f>
        <v> Harrisonville Cemetery District No. 3 District Board</v>
      </c>
      <c r="C31"/>
      <c r="D31"/>
      <c r="E31"/>
      <c r="F31"/>
      <c r="G31"/>
      <c r="H31"/>
    </row>
    <row r="32" spans="2:8" ht="15.75">
      <c r="B32" s="133"/>
      <c r="C32"/>
      <c r="D32"/>
      <c r="E32"/>
      <c r="F32"/>
      <c r="G32"/>
      <c r="H32"/>
    </row>
    <row r="33" spans="2:8" ht="15.75">
      <c r="B33"/>
      <c r="C33"/>
      <c r="D33"/>
      <c r="E33" s="508" t="s">
        <v>158</v>
      </c>
      <c r="F33" s="508"/>
      <c r="G33" s="508"/>
      <c r="H33" s="508"/>
    </row>
    <row r="34" spans="2:8" ht="15.75">
      <c r="B34"/>
      <c r="C34"/>
      <c r="D34"/>
      <c r="E34" s="508" t="s">
        <v>161</v>
      </c>
      <c r="F34" s="508"/>
      <c r="G34" s="508"/>
      <c r="H34" s="508"/>
    </row>
    <row r="35" spans="2:8" ht="15.75">
      <c r="B35" s="133"/>
      <c r="C35"/>
      <c r="D35"/>
      <c r="E35" s="508"/>
      <c r="F35" s="508"/>
      <c r="G35" s="508"/>
      <c r="H35" s="508"/>
    </row>
    <row r="36" spans="2:8" ht="15.75">
      <c r="B36"/>
      <c r="C36"/>
      <c r="D36"/>
      <c r="E36" s="508" t="s">
        <v>158</v>
      </c>
      <c r="F36" s="508"/>
      <c r="G36" s="508"/>
      <c r="H36" s="508"/>
    </row>
    <row r="37" spans="2:8" ht="15.75">
      <c r="B37"/>
      <c r="C37"/>
      <c r="D37"/>
      <c r="E37" s="508" t="s">
        <v>162</v>
      </c>
      <c r="F37" s="508"/>
      <c r="G37" s="508"/>
      <c r="H37" s="508"/>
    </row>
    <row r="38" spans="2:8" ht="15.75">
      <c r="B38" s="133"/>
      <c r="C38"/>
      <c r="D38"/>
      <c r="E38" s="508"/>
      <c r="F38" s="508"/>
      <c r="G38" s="508"/>
      <c r="H38" s="508"/>
    </row>
    <row r="39" spans="2:8" ht="15.75">
      <c r="B39"/>
      <c r="C39"/>
      <c r="D39"/>
      <c r="E39" s="508" t="s">
        <v>158</v>
      </c>
      <c r="F39" s="508"/>
      <c r="G39" s="508"/>
      <c r="H39" s="508"/>
    </row>
    <row r="40" spans="2:8" ht="15.75">
      <c r="B40"/>
      <c r="C40"/>
      <c r="D40"/>
      <c r="E40" s="508" t="s">
        <v>163</v>
      </c>
      <c r="F40" s="508"/>
      <c r="G40" s="508"/>
      <c r="H40" s="508"/>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c r="F45" s="205"/>
      <c r="G45" s="205"/>
      <c r="H45" s="205"/>
    </row>
    <row r="46" spans="2:8" ht="15.75">
      <c r="B46" s="135" t="s">
        <v>159</v>
      </c>
      <c r="E46" s="501"/>
      <c r="F46" s="501"/>
      <c r="G46" s="501"/>
      <c r="H46" s="501"/>
    </row>
    <row r="47" spans="2:8" ht="15.75">
      <c r="B47" s="128"/>
      <c r="E47" s="501"/>
      <c r="F47" s="501"/>
      <c r="G47" s="501"/>
      <c r="H47" s="501"/>
    </row>
    <row r="48" spans="5:8" ht="15.75">
      <c r="E48" s="501"/>
      <c r="F48" s="501"/>
      <c r="G48" s="501"/>
      <c r="H48" s="501"/>
    </row>
    <row r="49" spans="5:8" ht="15.75">
      <c r="E49" s="501"/>
      <c r="F49" s="501"/>
      <c r="G49" s="501"/>
      <c r="H49" s="501"/>
    </row>
    <row r="50" spans="2:8" ht="15.75">
      <c r="B50" s="128"/>
      <c r="E50" s="501"/>
      <c r="F50" s="501"/>
      <c r="G50" s="501"/>
      <c r="H50" s="501"/>
    </row>
    <row r="51" ht="15.75">
      <c r="B51" s="130"/>
    </row>
    <row r="52" ht="15.75">
      <c r="B52" s="130"/>
    </row>
    <row r="53" ht="15.75">
      <c r="B53" s="130"/>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8.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353</v>
      </c>
    </row>
    <row r="2" ht="15.75">
      <c r="A2" s="1" t="s">
        <v>354</v>
      </c>
    </row>
    <row r="3" ht="15.75">
      <c r="A3" s="1" t="s">
        <v>355</v>
      </c>
    </row>
    <row r="4" ht="15.75">
      <c r="A4" s="1" t="s">
        <v>356</v>
      </c>
    </row>
    <row r="6" ht="15.75">
      <c r="A6" s="1" t="s">
        <v>349</v>
      </c>
    </row>
    <row r="7" ht="15.75">
      <c r="A7" s="1" t="s">
        <v>350</v>
      </c>
    </row>
    <row r="8" ht="15.75">
      <c r="A8" s="1" t="s">
        <v>351</v>
      </c>
    </row>
    <row r="10" ht="15.75">
      <c r="A10" s="1" t="s">
        <v>322</v>
      </c>
    </row>
    <row r="11" ht="15.75">
      <c r="A11" s="1" t="s">
        <v>323</v>
      </c>
    </row>
    <row r="12" ht="36" customHeight="1">
      <c r="A12" s="4" t="s">
        <v>324</v>
      </c>
    </row>
    <row r="13" ht="15.75">
      <c r="A13" s="1" t="s">
        <v>325</v>
      </c>
    </row>
    <row r="14" ht="18.75" customHeight="1">
      <c r="A14" s="1" t="s">
        <v>326</v>
      </c>
    </row>
    <row r="15" ht="15.75">
      <c r="A15" s="1" t="s">
        <v>327</v>
      </c>
    </row>
    <row r="16" ht="24.75" customHeight="1">
      <c r="A16" s="1" t="s">
        <v>328</v>
      </c>
    </row>
    <row r="17" ht="39" customHeight="1">
      <c r="A17" s="4" t="s">
        <v>329</v>
      </c>
    </row>
    <row r="18" ht="38.25" customHeight="1">
      <c r="A18" s="4" t="s">
        <v>330</v>
      </c>
    </row>
    <row r="19" ht="37.5" customHeight="1">
      <c r="A19" s="4" t="s">
        <v>331</v>
      </c>
    </row>
    <row r="20" ht="21" customHeight="1">
      <c r="A20" s="4" t="s">
        <v>332</v>
      </c>
    </row>
    <row r="21" ht="35.25" customHeight="1">
      <c r="A21" s="4" t="s">
        <v>333</v>
      </c>
    </row>
    <row r="22" ht="15.75">
      <c r="A22" s="1" t="s">
        <v>334</v>
      </c>
    </row>
    <row r="23" ht="15.75">
      <c r="A23" s="1" t="s">
        <v>335</v>
      </c>
    </row>
    <row r="24" ht="15.75">
      <c r="A24" s="1" t="s">
        <v>336</v>
      </c>
    </row>
    <row r="25" ht="15.75">
      <c r="A25" s="1" t="s">
        <v>337</v>
      </c>
    </row>
    <row r="26" ht="15.75">
      <c r="A26" s="1" t="s">
        <v>338</v>
      </c>
    </row>
    <row r="29" ht="15.75">
      <c r="A29" s="1" t="s">
        <v>209</v>
      </c>
    </row>
    <row r="30" ht="15.75">
      <c r="A30" s="1" t="s">
        <v>218</v>
      </c>
    </row>
    <row r="31" ht="15.75">
      <c r="A31" s="1" t="s">
        <v>219</v>
      </c>
    </row>
    <row r="32" ht="15.75">
      <c r="A32" s="1" t="s">
        <v>220</v>
      </c>
    </row>
    <row r="33" ht="15.75">
      <c r="A33" s="1" t="s">
        <v>234</v>
      </c>
    </row>
    <row r="34" ht="15.75">
      <c r="A34" s="1" t="s">
        <v>221</v>
      </c>
    </row>
    <row r="35" ht="15.75">
      <c r="A35" s="1" t="s">
        <v>222</v>
      </c>
    </row>
    <row r="36" ht="15.75">
      <c r="A36" s="1" t="s">
        <v>223</v>
      </c>
    </row>
    <row r="37" ht="15.75">
      <c r="A37" s="1" t="s">
        <v>224</v>
      </c>
    </row>
    <row r="38" ht="15.75">
      <c r="A38" s="1" t="s">
        <v>235</v>
      </c>
    </row>
    <row r="39" ht="15.75">
      <c r="A39" s="1" t="s">
        <v>225</v>
      </c>
    </row>
    <row r="40" ht="15.75">
      <c r="A40" s="1" t="s">
        <v>226</v>
      </c>
    </row>
    <row r="41" ht="15.75">
      <c r="A41" s="1" t="s">
        <v>227</v>
      </c>
    </row>
    <row r="42" ht="15.75">
      <c r="A42" s="1" t="s">
        <v>236</v>
      </c>
    </row>
    <row r="43" ht="15.75">
      <c r="A43" s="1" t="s">
        <v>237</v>
      </c>
    </row>
    <row r="44" ht="15.75">
      <c r="A44" s="1" t="s">
        <v>244</v>
      </c>
    </row>
    <row r="45" ht="15.75">
      <c r="A45" s="1" t="s">
        <v>245</v>
      </c>
    </row>
    <row r="46" ht="15.75">
      <c r="A46" s="1" t="s">
        <v>7</v>
      </c>
    </row>
    <row r="47" ht="15.75">
      <c r="A47" s="1" t="s">
        <v>8</v>
      </c>
    </row>
    <row r="48" ht="15.75">
      <c r="A48" s="1" t="s">
        <v>9</v>
      </c>
    </row>
    <row r="49" ht="15.75">
      <c r="A49" s="1" t="s">
        <v>247</v>
      </c>
    </row>
    <row r="50" ht="15.75">
      <c r="A50" s="1" t="s">
        <v>255</v>
      </c>
    </row>
    <row r="51" ht="15.75">
      <c r="A51" s="1" t="s">
        <v>256</v>
      </c>
    </row>
    <row r="52" ht="15.75">
      <c r="A52" s="1" t="s">
        <v>10</v>
      </c>
    </row>
    <row r="53" ht="15.75">
      <c r="A53" s="1" t="s">
        <v>11</v>
      </c>
    </row>
    <row r="54" ht="15.75">
      <c r="A54" s="1" t="s">
        <v>284</v>
      </c>
    </row>
    <row r="55" ht="15.75">
      <c r="A55" s="1" t="s">
        <v>285</v>
      </c>
    </row>
    <row r="56" ht="15.75">
      <c r="A56" s="1" t="s">
        <v>298</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31">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26" t="s">
        <v>14</v>
      </c>
      <c r="B1" s="427"/>
      <c r="C1" s="427"/>
      <c r="D1" s="427"/>
      <c r="E1" s="427"/>
    </row>
    <row r="2" spans="1:5" ht="15.75">
      <c r="A2" s="35"/>
      <c r="B2" s="32"/>
      <c r="C2" s="32"/>
      <c r="D2" s="32"/>
      <c r="E2" s="32"/>
    </row>
    <row r="3" spans="1:5" ht="15.75">
      <c r="A3" s="285" t="s">
        <v>151</v>
      </c>
      <c r="B3" s="32"/>
      <c r="C3" s="32"/>
      <c r="D3" s="101" t="s">
        <v>361</v>
      </c>
      <c r="E3" s="111"/>
    </row>
    <row r="4" spans="1:5" ht="15.75">
      <c r="A4" s="285" t="s">
        <v>293</v>
      </c>
      <c r="B4" s="32"/>
      <c r="C4" s="32"/>
      <c r="D4" s="102" t="s">
        <v>357</v>
      </c>
      <c r="E4" s="111"/>
    </row>
    <row r="5" spans="1:5" ht="15.75">
      <c r="A5" s="35"/>
      <c r="B5" s="32"/>
      <c r="C5" s="32"/>
      <c r="D5" s="158"/>
      <c r="E5" s="111"/>
    </row>
    <row r="6" spans="1:5" ht="15.75">
      <c r="A6" s="285" t="s">
        <v>175</v>
      </c>
      <c r="B6" s="32"/>
      <c r="C6" s="32"/>
      <c r="D6" s="284">
        <v>2012</v>
      </c>
      <c r="E6" s="111"/>
    </row>
    <row r="7" spans="1:5" ht="15.75">
      <c r="A7" s="32"/>
      <c r="B7" s="32"/>
      <c r="C7" s="32"/>
      <c r="D7" s="32"/>
      <c r="E7" s="32"/>
    </row>
    <row r="8" spans="1:5" ht="15.75">
      <c r="A8" s="428" t="s">
        <v>242</v>
      </c>
      <c r="B8" s="429"/>
      <c r="C8" s="429"/>
      <c r="D8" s="429"/>
      <c r="E8" s="429"/>
    </row>
    <row r="9" spans="1:5" ht="15.75">
      <c r="A9" s="94" t="s">
        <v>97</v>
      </c>
      <c r="B9" s="95"/>
      <c r="C9" s="95"/>
      <c r="D9" s="95"/>
      <c r="E9" s="95"/>
    </row>
    <row r="10" spans="1:5" ht="15.75">
      <c r="A10" s="430" t="s">
        <v>241</v>
      </c>
      <c r="B10" s="431"/>
      <c r="C10" s="431"/>
      <c r="D10" s="431"/>
      <c r="E10" s="431"/>
    </row>
    <row r="11" spans="1:5" ht="15.75">
      <c r="A11" s="74"/>
      <c r="B11" s="32"/>
      <c r="C11" s="32"/>
      <c r="D11" s="32"/>
      <c r="E11" s="32"/>
    </row>
    <row r="12" spans="1:5" ht="15.75">
      <c r="A12" s="424" t="s">
        <v>228</v>
      </c>
      <c r="B12" s="425"/>
      <c r="C12" s="425"/>
      <c r="D12" s="425"/>
      <c r="E12" s="425"/>
    </row>
    <row r="13" spans="1:5" ht="15.75">
      <c r="A13" s="74"/>
      <c r="B13" s="32"/>
      <c r="C13" s="32"/>
      <c r="D13" s="32"/>
      <c r="E13" s="32"/>
    </row>
    <row r="14" spans="1:5" ht="15.75">
      <c r="A14" s="159" t="s">
        <v>180</v>
      </c>
      <c r="B14" s="107"/>
      <c r="C14" s="32"/>
      <c r="D14" s="32"/>
      <c r="E14" s="32"/>
    </row>
    <row r="15" spans="1:5" ht="15.75">
      <c r="A15" s="104" t="str">
        <f>CONCATENATE("the ",D6-1," Budget, Certificate Page:")</f>
        <v>the 2011 Budget, Certificate Page:</v>
      </c>
      <c r="B15" s="105"/>
      <c r="C15" s="32"/>
      <c r="D15" s="32"/>
      <c r="E15" s="32"/>
    </row>
    <row r="16" spans="1:5" ht="15.75">
      <c r="A16" s="32"/>
      <c r="B16" s="32"/>
      <c r="C16" s="96"/>
      <c r="D16" s="395">
        <f>D6-1</f>
        <v>2011</v>
      </c>
      <c r="E16" s="432" t="str">
        <f>CONCATENATE("Amount of ",D6-2,"     Ad Valorem Tax")</f>
        <v>Amount of 2010     Ad Valorem Tax</v>
      </c>
    </row>
    <row r="17" spans="1:5" ht="15.75">
      <c r="A17" s="35" t="s">
        <v>15</v>
      </c>
      <c r="B17" s="32"/>
      <c r="C17" s="96" t="s">
        <v>16</v>
      </c>
      <c r="D17" s="394" t="s">
        <v>68</v>
      </c>
      <c r="E17" s="433"/>
    </row>
    <row r="18" spans="1:5" ht="15.75">
      <c r="A18" s="32"/>
      <c r="B18" s="75" t="s">
        <v>17</v>
      </c>
      <c r="C18" s="14" t="s">
        <v>358</v>
      </c>
      <c r="D18" s="15">
        <v>10280</v>
      </c>
      <c r="E18" s="15">
        <v>5853</v>
      </c>
    </row>
    <row r="19" spans="1:5" ht="15.75">
      <c r="A19" s="32"/>
      <c r="B19" s="75" t="s">
        <v>182</v>
      </c>
      <c r="C19" s="47" t="s">
        <v>183</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2011 Budgeted Year</v>
      </c>
      <c r="B23" s="39"/>
      <c r="C23" s="39"/>
      <c r="D23" s="62"/>
      <c r="E23" s="276">
        <f>SUM(E18:E19,E21:E22)</f>
        <v>5853</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2011 Budgeted Year</v>
      </c>
      <c r="B27" s="39"/>
      <c r="C27" s="59"/>
      <c r="D27" s="49">
        <f>SUM(D18:D19,D21:D22,D25:D26)</f>
        <v>10280</v>
      </c>
      <c r="E27" s="63"/>
    </row>
    <row r="28" spans="1:5" ht="15.75">
      <c r="A28" s="32" t="s">
        <v>313</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180</v>
      </c>
      <c r="B35" s="107"/>
      <c r="C35" s="32"/>
      <c r="D35" s="422" t="str">
        <f>CONCATENATE("",D6-3," Tax Rate          (",D6-2," Column)")</f>
        <v>2009 Tax Rate          (2010 Column)</v>
      </c>
      <c r="E35" s="63"/>
    </row>
    <row r="36" spans="1:5" ht="15.75">
      <c r="A36" s="104" t="str">
        <f>CONCATENATE("the ",D6-1," Budget, Budget Summary Page:")</f>
        <v>the 2011 Budget, Budget Summary Page:</v>
      </c>
      <c r="B36" s="105"/>
      <c r="C36" s="32"/>
      <c r="D36" s="423"/>
      <c r="E36" s="63"/>
    </row>
    <row r="37" spans="1:5" ht="15.75">
      <c r="A37" s="32"/>
      <c r="B37" s="47" t="str">
        <f>B18</f>
        <v>General</v>
      </c>
      <c r="C37" s="32"/>
      <c r="D37" s="16">
        <v>0.375</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0.375</v>
      </c>
      <c r="E41" s="63"/>
    </row>
    <row r="42" spans="1:5" ht="16.5" thickTop="1">
      <c r="A42" s="32"/>
      <c r="B42" s="32"/>
      <c r="C42" s="32"/>
      <c r="D42" s="32"/>
      <c r="E42" s="63"/>
    </row>
    <row r="43" spans="1:5" ht="15.75">
      <c r="A43" s="160" t="str">
        <f>CONCATENATE("Total Tax Levied (",D6-2," budget column)")</f>
        <v>Total Tax Levied (2010 budget column)</v>
      </c>
      <c r="B43" s="107"/>
      <c r="C43" s="32"/>
      <c r="D43" s="32"/>
      <c r="E43" s="17">
        <v>5853</v>
      </c>
    </row>
    <row r="44" spans="1:5" ht="15.75">
      <c r="A44" s="160" t="str">
        <f>CONCATENATE("Assessed Valuation (",D6-2," budget column)")</f>
        <v>Assessed Valuation (2010 budget column)</v>
      </c>
      <c r="B44" s="107"/>
      <c r="C44" s="32"/>
      <c r="D44" s="32"/>
      <c r="E44" s="18">
        <v>15600153</v>
      </c>
    </row>
    <row r="45" spans="1:5" ht="15.75">
      <c r="A45" s="32"/>
      <c r="B45" s="32"/>
      <c r="C45" s="32"/>
      <c r="D45" s="32"/>
      <c r="E45" s="63"/>
    </row>
    <row r="46" spans="1:5" ht="15.75">
      <c r="A46" s="107" t="s">
        <v>243</v>
      </c>
      <c r="B46" s="107"/>
      <c r="C46" s="64"/>
      <c r="D46" s="162">
        <f>D6-3</f>
        <v>2009</v>
      </c>
      <c r="E46" s="162">
        <f>D6-2</f>
        <v>2010</v>
      </c>
    </row>
    <row r="47" spans="1:5" ht="15.75">
      <c r="A47" s="211" t="s">
        <v>176</v>
      </c>
      <c r="B47" s="211"/>
      <c r="C47" s="163"/>
      <c r="D47" s="164"/>
      <c r="E47" s="164"/>
    </row>
    <row r="48" spans="1:5" ht="15.75">
      <c r="A48" s="212" t="s">
        <v>177</v>
      </c>
      <c r="B48" s="212"/>
      <c r="C48" s="165"/>
      <c r="D48" s="164"/>
      <c r="E48" s="164"/>
    </row>
    <row r="49" spans="1:5" ht="15.75">
      <c r="A49" s="212" t="s">
        <v>179</v>
      </c>
      <c r="B49" s="212"/>
      <c r="C49" s="165"/>
      <c r="D49" s="164"/>
      <c r="E49" s="164"/>
    </row>
    <row r="50" spans="1:5" ht="15.75">
      <c r="A50" s="212" t="s">
        <v>178</v>
      </c>
      <c r="B50" s="212"/>
      <c r="C50" s="165"/>
      <c r="D50" s="164"/>
      <c r="E50" s="164"/>
    </row>
    <row r="51" spans="1:5" ht="15.75">
      <c r="A51" s="212"/>
      <c r="B51" s="212"/>
      <c r="C51" s="166"/>
      <c r="D51" s="164"/>
      <c r="E51" s="164"/>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34">
      <selection activeCell="F24" sqref="F24"/>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Harrisonville Cemetery District No. 3</v>
      </c>
      <c r="B1" s="60"/>
      <c r="C1" s="60"/>
      <c r="D1" s="60"/>
      <c r="E1" s="60">
        <f>inputPrYr!D6</f>
        <v>2012</v>
      </c>
    </row>
    <row r="2" spans="1:5" ht="15.75">
      <c r="A2" s="60" t="str">
        <f>inputPrYr!D4</f>
        <v>Montgomery</v>
      </c>
      <c r="B2" s="60"/>
      <c r="C2" s="60"/>
      <c r="D2" s="60"/>
      <c r="E2" s="60"/>
    </row>
    <row r="3" spans="1:5" ht="15">
      <c r="A3" s="161"/>
      <c r="B3" s="161"/>
      <c r="C3" s="161"/>
      <c r="D3" s="161"/>
      <c r="E3" s="161"/>
    </row>
    <row r="4" spans="1:5" ht="15">
      <c r="A4" s="424" t="s">
        <v>228</v>
      </c>
      <c r="B4" s="425"/>
      <c r="C4" s="425"/>
      <c r="D4" s="425"/>
      <c r="E4" s="425"/>
    </row>
    <row r="5" spans="1:5" ht="15">
      <c r="A5" s="161"/>
      <c r="B5" s="161"/>
      <c r="C5" s="161"/>
      <c r="D5" s="161"/>
      <c r="E5" s="161"/>
    </row>
    <row r="6" spans="1:5" ht="15.75">
      <c r="A6" s="123" t="str">
        <f>CONCATENATE("From the County Clerks ",E1," Budget Information:")</f>
        <v>From the County Clerks 2012 Budget Information:</v>
      </c>
      <c r="B6" s="103"/>
      <c r="C6" s="103"/>
      <c r="D6" s="32"/>
      <c r="E6" s="63"/>
    </row>
    <row r="7" spans="1:5" ht="15.75">
      <c r="A7" s="192" t="str">
        <f>CONCATENATE("Total Assessed Valuation for ",inputPrYr!D6-1,"")</f>
        <v>Total Assessed Valuation for 2011</v>
      </c>
      <c r="B7" s="39"/>
      <c r="C7" s="39"/>
      <c r="D7" s="39"/>
      <c r="E7" s="17">
        <v>15072093</v>
      </c>
    </row>
    <row r="8" spans="1:5" ht="15.75">
      <c r="A8" s="193" t="str">
        <f>CONCATENATE("New Improvements for ",inputPrYr!D6-1,"")</f>
        <v>New Improvements for 2011</v>
      </c>
      <c r="B8" s="194"/>
      <c r="C8" s="194"/>
      <c r="D8" s="194"/>
      <c r="E8" s="31">
        <v>9186</v>
      </c>
    </row>
    <row r="9" spans="1:5" ht="15.75">
      <c r="A9" s="193" t="str">
        <f>CONCATENATE("Personal Property excluding oil, gas, and mobile homes- ",inputPrYr!D6-1,"")</f>
        <v>Personal Property excluding oil, gas, and mobile homes- 2011</v>
      </c>
      <c r="B9" s="194"/>
      <c r="C9" s="194"/>
      <c r="D9" s="194"/>
      <c r="E9" s="31">
        <v>888921</v>
      </c>
    </row>
    <row r="10" spans="1:5" ht="15.75">
      <c r="A10" s="193" t="str">
        <f>CONCATENATE("Property that has changed in use for ",inputPrYr!D6-1,"")</f>
        <v>Property that has changed in use for 2011</v>
      </c>
      <c r="B10" s="194"/>
      <c r="C10" s="194"/>
      <c r="D10" s="194"/>
      <c r="E10" s="31">
        <v>0</v>
      </c>
    </row>
    <row r="11" spans="1:5" ht="15.75">
      <c r="A11" s="192" t="str">
        <f>CONCATENATE("Personal Property excluding oil, gas, and mobile homes- ",inputPrYr!D6-2,"")</f>
        <v>Personal Property excluding oil, gas, and mobile homes- 2010</v>
      </c>
      <c r="B11" s="39"/>
      <c r="C11" s="39"/>
      <c r="D11" s="39"/>
      <c r="E11" s="31"/>
    </row>
    <row r="12" spans="1:5" ht="15.75">
      <c r="A12" s="193" t="str">
        <f>CONCATENATE("Neighborhood Revitalization - ",E1,"")</f>
        <v>Neighborhood Revitalization - 2012</v>
      </c>
      <c r="B12" s="194"/>
      <c r="C12" s="194"/>
      <c r="D12" s="194"/>
      <c r="E12" s="31">
        <v>0</v>
      </c>
    </row>
    <row r="13" spans="1:5" ht="15.75">
      <c r="A13" s="82"/>
      <c r="B13" s="55"/>
      <c r="C13" s="55"/>
      <c r="D13" s="55"/>
      <c r="E13" s="295"/>
    </row>
    <row r="14" spans="1:5" ht="15.75">
      <c r="A14" s="296" t="str">
        <f>CONCATENATE("Actual Tax Rates for the ",E1-1," Budget:")</f>
        <v>Actual Tax Rates for the 2011 Budget:</v>
      </c>
      <c r="B14" s="55"/>
      <c r="C14" s="55"/>
      <c r="D14" s="55"/>
      <c r="E14" s="190"/>
    </row>
    <row r="15" spans="1:5" ht="15.75">
      <c r="A15" s="434" t="s">
        <v>33</v>
      </c>
      <c r="B15" s="435"/>
      <c r="C15" s="161"/>
      <c r="D15" s="191" t="s">
        <v>80</v>
      </c>
      <c r="E15" s="190"/>
    </row>
    <row r="16" spans="1:5" ht="15.75">
      <c r="A16" s="192" t="s">
        <v>17</v>
      </c>
      <c r="B16" s="39"/>
      <c r="C16" s="55"/>
      <c r="D16" s="287">
        <v>0.375</v>
      </c>
      <c r="E16" s="190"/>
    </row>
    <row r="17" spans="1:5" ht="15.75">
      <c r="A17" s="193" t="s">
        <v>182</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239</v>
      </c>
      <c r="C22" s="283"/>
      <c r="D22" s="286">
        <f>SUM(D16:D21)</f>
        <v>0.375</v>
      </c>
      <c r="E22" s="122"/>
    </row>
    <row r="23" spans="1:5" ht="15">
      <c r="A23" s="122"/>
      <c r="B23" s="122"/>
      <c r="C23" s="122"/>
      <c r="D23" s="122"/>
      <c r="E23" s="122"/>
    </row>
    <row r="24" spans="1:5" ht="15.75">
      <c r="A24" s="39" t="str">
        <f>CONCATENATE("Final Assessed Valuation from the November 1, ",E1-2," Abstract")</f>
        <v>Final Assessed Valuation from the November 1, 2010 Abstract</v>
      </c>
      <c r="B24" s="195"/>
      <c r="C24" s="195"/>
      <c r="D24" s="195"/>
      <c r="E24" s="164">
        <v>15600153</v>
      </c>
    </row>
    <row r="25" spans="1:5" ht="15">
      <c r="A25" s="122"/>
      <c r="B25" s="122"/>
      <c r="C25" s="122"/>
      <c r="D25" s="122"/>
      <c r="E25" s="122"/>
    </row>
    <row r="26" spans="1:5" ht="15.75">
      <c r="A26" s="106" t="str">
        <f>CONCATENATE("From the County Treasurer's Budget Information - ",E1," Budget Year Estimates:")</f>
        <v>From the County Treasurer's Budget Information - 2012 Budget Year Estimates:</v>
      </c>
      <c r="B26" s="107"/>
      <c r="C26" s="107"/>
      <c r="D26" s="196"/>
      <c r="E26" s="63"/>
    </row>
    <row r="27" spans="1:5" ht="15.75">
      <c r="A27" s="192" t="s">
        <v>21</v>
      </c>
      <c r="B27" s="39"/>
      <c r="C27" s="39"/>
      <c r="D27" s="197"/>
      <c r="E27" s="15">
        <v>114</v>
      </c>
    </row>
    <row r="28" spans="1:5" ht="15.75">
      <c r="A28" s="193" t="s">
        <v>22</v>
      </c>
      <c r="B28" s="194"/>
      <c r="C28" s="194"/>
      <c r="D28" s="198"/>
      <c r="E28" s="15">
        <v>3</v>
      </c>
    </row>
    <row r="29" spans="1:5" ht="15.75">
      <c r="A29" s="193" t="s">
        <v>203</v>
      </c>
      <c r="B29" s="194"/>
      <c r="C29" s="194"/>
      <c r="D29" s="198"/>
      <c r="E29" s="15">
        <v>7</v>
      </c>
    </row>
    <row r="30" spans="1:5" ht="15.75">
      <c r="A30" s="193" t="s">
        <v>186</v>
      </c>
      <c r="B30" s="194"/>
      <c r="C30" s="194"/>
      <c r="D30" s="198"/>
      <c r="E30" s="15">
        <v>0</v>
      </c>
    </row>
    <row r="31" spans="1:5" ht="15.75">
      <c r="A31" s="193" t="s">
        <v>187</v>
      </c>
      <c r="B31" s="194"/>
      <c r="C31" s="194"/>
      <c r="D31" s="198"/>
      <c r="E31" s="15">
        <v>0</v>
      </c>
    </row>
    <row r="32" spans="1:5" ht="15.75">
      <c r="A32" s="192"/>
      <c r="B32" s="39"/>
      <c r="C32" s="39"/>
      <c r="D32" s="197"/>
      <c r="E32" s="15"/>
    </row>
    <row r="33" spans="1:5" ht="15.75">
      <c r="A33" s="32" t="s">
        <v>204</v>
      </c>
      <c r="B33" s="32"/>
      <c r="C33" s="32"/>
      <c r="D33" s="32"/>
      <c r="E33" s="32"/>
    </row>
    <row r="34" spans="1:5" ht="15.75">
      <c r="A34" s="199" t="s">
        <v>131</v>
      </c>
      <c r="B34" s="34"/>
      <c r="C34" s="34"/>
      <c r="D34" s="32"/>
      <c r="E34" s="32"/>
    </row>
    <row r="35" spans="1:5" ht="15.75">
      <c r="A35" s="98" t="str">
        <f>CONCATENATE("Actual Delinquency for ",E1-2," Tax (round to three decimal places)")</f>
        <v>Actual Delinquency for 2010 Tax (round to three decimal places)</v>
      </c>
      <c r="B35" s="55"/>
      <c r="C35" s="32"/>
      <c r="D35" s="32"/>
      <c r="E35" s="200">
        <v>0.629</v>
      </c>
    </row>
    <row r="36" spans="1:5" ht="15.75">
      <c r="A36" s="98" t="s">
        <v>240</v>
      </c>
      <c r="B36" s="98"/>
      <c r="C36" s="55"/>
      <c r="D36" s="55"/>
      <c r="E36" s="201">
        <v>0.015</v>
      </c>
    </row>
    <row r="37" spans="1:5" ht="15.75">
      <c r="A37" s="202" t="s">
        <v>205</v>
      </c>
      <c r="B37" s="202"/>
      <c r="C37" s="203"/>
      <c r="D37" s="203"/>
      <c r="E37" s="204"/>
    </row>
    <row r="38" spans="1:5" ht="15">
      <c r="A38" s="161"/>
      <c r="B38" s="161"/>
      <c r="C38" s="161"/>
      <c r="D38" s="161"/>
      <c r="E38" s="161"/>
    </row>
    <row r="39" spans="1:5" ht="15.75">
      <c r="A39" s="436" t="str">
        <f>CONCATENATE("From the ",E1-2," Budget Certificate Page")</f>
        <v>From the 2010 Budget Certificate Page</v>
      </c>
      <c r="B39" s="437"/>
      <c r="C39" s="161"/>
      <c r="D39" s="161"/>
      <c r="E39" s="161"/>
    </row>
    <row r="40" spans="1:5" ht="15.75">
      <c r="A40" s="320"/>
      <c r="B40" s="320" t="str">
        <f>CONCATENATE("",E1-2," Expenditure Amounts")</f>
        <v>2010 Expenditure Amounts</v>
      </c>
      <c r="C40" s="438" t="str">
        <f>CONCATENATE("Note: If the ",E1-2," budget was amended, then the")</f>
        <v>Note: If the 2010 budget was amended, then the</v>
      </c>
      <c r="D40" s="439"/>
      <c r="E40" s="439"/>
    </row>
    <row r="41" spans="1:5" ht="15.75">
      <c r="A41" s="321" t="s">
        <v>251</v>
      </c>
      <c r="B41" s="321" t="s">
        <v>252</v>
      </c>
      <c r="C41" s="322" t="s">
        <v>253</v>
      </c>
      <c r="D41" s="323"/>
      <c r="E41" s="323"/>
    </row>
    <row r="42" spans="1:5" ht="15.75">
      <c r="A42" s="324" t="str">
        <f>inputPrYr!B18</f>
        <v>General</v>
      </c>
      <c r="B42" s="164">
        <v>10280</v>
      </c>
      <c r="C42" s="322" t="s">
        <v>254</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3">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41" t="s">
        <v>98</v>
      </c>
      <c r="B2" s="441"/>
      <c r="C2" s="441"/>
      <c r="D2" s="441"/>
      <c r="E2" s="441"/>
      <c r="F2" s="441"/>
      <c r="G2" s="441"/>
    </row>
    <row r="3" spans="1:7" ht="15.75">
      <c r="A3" s="32"/>
      <c r="B3" s="32"/>
      <c r="C3" s="32"/>
      <c r="D3" s="32"/>
      <c r="E3" s="32"/>
      <c r="F3" s="32"/>
      <c r="G3" s="60">
        <f>inputPrYr!D6</f>
        <v>2012</v>
      </c>
    </row>
    <row r="4" spans="1:7" ht="15.75">
      <c r="A4" s="442" t="str">
        <f>CONCATENATE("To the Clerk of ",inputPrYr!D4,", State of Kansas")</f>
        <v>To the Clerk of Montgomery, State of Kansas</v>
      </c>
      <c r="B4" s="442"/>
      <c r="C4" s="442"/>
      <c r="D4" s="442"/>
      <c r="E4" s="442"/>
      <c r="F4" s="442"/>
      <c r="G4" s="442"/>
    </row>
    <row r="5" spans="1:7" ht="15.75">
      <c r="A5" s="33" t="s">
        <v>181</v>
      </c>
      <c r="B5" s="34"/>
      <c r="C5" s="34"/>
      <c r="D5" s="34"/>
      <c r="E5" s="34"/>
      <c r="F5" s="34"/>
      <c r="G5" s="34"/>
    </row>
    <row r="6" spans="1:7" ht="15.75">
      <c r="A6" s="443" t="str">
        <f>inputPrYr!D3</f>
        <v>Harrisonville Cemetery District No. 3</v>
      </c>
      <c r="B6" s="443"/>
      <c r="C6" s="443"/>
      <c r="D6" s="443"/>
      <c r="E6" s="443"/>
      <c r="F6" s="443"/>
      <c r="G6" s="443"/>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2012; and (3) the</v>
      </c>
      <c r="B10" s="34"/>
      <c r="C10" s="34"/>
      <c r="D10" s="34"/>
      <c r="E10" s="34"/>
      <c r="F10" s="34"/>
      <c r="G10" s="34"/>
    </row>
    <row r="11" spans="1:7" ht="15.75">
      <c r="A11" s="33" t="str">
        <f>CONCATENATE("Amount(s) of ",G3-1," Ad Valorem Tax are within statutory  limitations for the ",G3," Budget.")</f>
        <v>Amount(s) of 2011 Ad Valorem Tax are within statutory  limitations for the 2012 Budget.</v>
      </c>
      <c r="B11" s="34"/>
      <c r="C11" s="34"/>
      <c r="D11" s="34"/>
      <c r="E11" s="34"/>
      <c r="F11" s="34"/>
      <c r="G11" s="34"/>
    </row>
    <row r="12" spans="1:7" ht="15.75">
      <c r="A12" s="35"/>
      <c r="B12" s="32"/>
      <c r="C12" s="32"/>
      <c r="D12" s="36"/>
      <c r="E12" s="38"/>
      <c r="F12" s="38"/>
      <c r="G12" s="38"/>
    </row>
    <row r="13" spans="1:7" ht="15.75">
      <c r="A13" s="32"/>
      <c r="B13" s="32"/>
      <c r="C13" s="32"/>
      <c r="D13" s="32"/>
      <c r="E13" s="444" t="str">
        <f>CONCATENATE("",G3," Adopted Budget")</f>
        <v>2012 Adopted Budget</v>
      </c>
      <c r="F13" s="445"/>
      <c r="G13" s="446"/>
    </row>
    <row r="14" spans="1:8" ht="15.75">
      <c r="A14" s="35"/>
      <c r="B14" s="32"/>
      <c r="C14" s="32"/>
      <c r="D14" s="39"/>
      <c r="E14" s="40" t="s">
        <v>25</v>
      </c>
      <c r="F14" s="42"/>
      <c r="G14" s="41" t="s">
        <v>26</v>
      </c>
      <c r="H14" s="126"/>
    </row>
    <row r="15" spans="1:7" ht="15.75">
      <c r="A15" s="32"/>
      <c r="B15" s="32"/>
      <c r="C15" s="32"/>
      <c r="D15" s="42" t="s">
        <v>27</v>
      </c>
      <c r="E15" s="43"/>
      <c r="F15" s="447" t="str">
        <f>CONCATENATE("Amount of ",G3-1," Ad Valorem Tax")</f>
        <v>Amount of 2011 Ad Valorem Tax</v>
      </c>
      <c r="G15" s="41" t="s">
        <v>28</v>
      </c>
    </row>
    <row r="16" spans="1:7" ht="15.75">
      <c r="A16" s="35" t="s">
        <v>29</v>
      </c>
      <c r="B16" s="32"/>
      <c r="C16" s="32"/>
      <c r="D16" s="43" t="s">
        <v>30</v>
      </c>
      <c r="E16" s="43" t="s">
        <v>31</v>
      </c>
      <c r="F16" s="447"/>
      <c r="G16" s="41" t="s">
        <v>32</v>
      </c>
    </row>
    <row r="17" spans="1:7" ht="4.5" customHeight="1">
      <c r="A17" s="37"/>
      <c r="B17" s="37"/>
      <c r="C17" s="37"/>
      <c r="D17" s="44"/>
      <c r="E17" s="44"/>
      <c r="F17" s="168"/>
      <c r="G17" s="45"/>
    </row>
    <row r="18" spans="1:7" ht="15.75">
      <c r="A18" s="110" t="str">
        <f>CONCATENATE("Computation to Determine Limit for ",G3,"")</f>
        <v>Computation to Determine Limit for 2012</v>
      </c>
      <c r="B18" s="37"/>
      <c r="C18" s="37"/>
      <c r="D18" s="138">
        <v>2</v>
      </c>
      <c r="E18" s="38"/>
      <c r="F18" s="38"/>
      <c r="G18" s="152"/>
    </row>
    <row r="19" spans="1:7" ht="15.75">
      <c r="A19" s="148" t="s">
        <v>248</v>
      </c>
      <c r="B19" s="37"/>
      <c r="C19" s="37"/>
      <c r="D19" s="138">
        <v>3</v>
      </c>
      <c r="E19" s="38"/>
      <c r="F19" s="38"/>
      <c r="G19" s="152"/>
    </row>
    <row r="20" spans="1:7" ht="15.75">
      <c r="A20" s="148" t="s">
        <v>165</v>
      </c>
      <c r="B20" s="37"/>
      <c r="C20" s="37"/>
      <c r="D20" s="86">
        <v>4</v>
      </c>
      <c r="E20" s="38"/>
      <c r="F20" s="38"/>
      <c r="G20" s="152"/>
    </row>
    <row r="21" spans="1:7" ht="15.75">
      <c r="A21" s="110" t="s">
        <v>164</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10800</v>
      </c>
      <c r="F23" s="354">
        <f>IF(gen!$G$47&lt;&gt;0,gen!$G$47,"  ")</f>
        <v>2833.5999999999985</v>
      </c>
      <c r="G23" s="92" t="str">
        <f>IF(AND(gen!G47=0,$F$36&gt;=0)," ",IF(AND(F23&gt;0,$F$36=0)," ",IF(AND(F23&gt;0,$F$36&gt;0),ROUND(F23/$F$36*1000,3))))</f>
        <v> </v>
      </c>
    </row>
    <row r="24" spans="1:7" ht="15.75">
      <c r="A24" s="48" t="s">
        <v>352</v>
      </c>
      <c r="B24" s="46"/>
      <c r="C24" s="138" t="s">
        <v>183</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154</v>
      </c>
      <c r="B30" s="194"/>
      <c r="C30" s="46"/>
      <c r="D30" s="52" t="s">
        <v>35</v>
      </c>
      <c r="E30" s="264">
        <f>SUM(E23:E28)</f>
        <v>10800</v>
      </c>
      <c r="F30" s="266">
        <f>SUM(F23:F28)</f>
        <v>2833.5999999999985</v>
      </c>
      <c r="G30" s="267">
        <f>IF(SUM(G23:G28)=0,"",SUM(G23:G28))</f>
      </c>
    </row>
    <row r="31" spans="1:7" ht="16.5" thickTop="1">
      <c r="A31" s="48" t="s">
        <v>238</v>
      </c>
      <c r="B31" s="194"/>
      <c r="C31" s="46"/>
      <c r="D31" s="257">
        <f>summ!E45</f>
        <v>7</v>
      </c>
      <c r="E31" s="255"/>
      <c r="F31" s="32"/>
      <c r="G31" s="35" t="s">
        <v>36</v>
      </c>
    </row>
    <row r="32" spans="1:7" ht="15.75">
      <c r="A32" s="48" t="s">
        <v>265</v>
      </c>
      <c r="B32" s="347"/>
      <c r="C32" s="349"/>
      <c r="D32" s="257">
        <f>IF(Nhood!C29=0,"",Nhood!C29)</f>
      </c>
      <c r="E32" s="262" t="s">
        <v>233</v>
      </c>
      <c r="F32" s="261" t="str">
        <f>IF(F30&gt;computation!J34,"Yes","No")</f>
        <v>No</v>
      </c>
      <c r="G32" s="35"/>
    </row>
    <row r="33" spans="1:7" ht="15.75">
      <c r="A33" s="350" t="s">
        <v>231</v>
      </c>
      <c r="B33" s="194"/>
      <c r="C33" s="46"/>
      <c r="D33" s="257">
        <f>IF(Resolution!E45=0,"",Resolution!E45)</f>
      </c>
      <c r="E33" s="60"/>
      <c r="F33" s="258"/>
      <c r="G33" s="35"/>
    </row>
    <row r="34" spans="1:7" ht="15.75">
      <c r="A34" s="111"/>
      <c r="B34" s="55"/>
      <c r="C34" s="32"/>
      <c r="D34" s="149"/>
      <c r="E34" s="60"/>
      <c r="F34" s="258"/>
      <c r="G34" s="35"/>
    </row>
    <row r="35" spans="1:7" ht="15.75">
      <c r="A35" s="80" t="s">
        <v>38</v>
      </c>
      <c r="B35" s="153"/>
      <c r="C35" s="154"/>
      <c r="D35" s="154"/>
      <c r="E35" s="255"/>
      <c r="F35" s="125" t="s">
        <v>156</v>
      </c>
      <c r="G35" s="32"/>
    </row>
    <row r="36" spans="1:7" ht="15.75">
      <c r="A36" s="55"/>
      <c r="B36" s="269"/>
      <c r="C36" s="269"/>
      <c r="D36" s="269"/>
      <c r="E36" s="150"/>
      <c r="F36" s="124"/>
      <c r="G36" s="32"/>
    </row>
    <row r="37" spans="1:7" ht="15.75">
      <c r="A37" s="268" t="s">
        <v>171</v>
      </c>
      <c r="B37" s="151"/>
      <c r="C37" s="151"/>
      <c r="D37" s="19"/>
      <c r="E37" s="448"/>
      <c r="F37" s="450" t="s">
        <v>232</v>
      </c>
      <c r="G37" s="32"/>
    </row>
    <row r="38" spans="1:7" ht="15.75">
      <c r="A38" s="55"/>
      <c r="B38" s="151"/>
      <c r="C38" s="19"/>
      <c r="D38" s="19"/>
      <c r="E38" s="449"/>
      <c r="F38" s="451"/>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169</v>
      </c>
      <c r="B43" s="57"/>
      <c r="C43" s="55"/>
      <c r="D43" s="260"/>
      <c r="E43" s="260"/>
      <c r="F43" s="72"/>
      <c r="G43" s="72"/>
    </row>
    <row r="44" spans="1:7" ht="15.75">
      <c r="A44" s="56" t="s">
        <v>170</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229</v>
      </c>
      <c r="B48" s="55"/>
      <c r="C48" s="35">
        <f>G3-1</f>
        <v>2011</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40"/>
    </row>
    <row r="54" spans="1:7" ht="15.75">
      <c r="A54" s="13"/>
      <c r="B54" s="13"/>
      <c r="C54" s="13"/>
      <c r="D54" s="13"/>
      <c r="E54" s="13"/>
      <c r="F54" s="13"/>
      <c r="G54" s="440"/>
    </row>
    <row r="55" spans="1:7" ht="15.75">
      <c r="A55" s="13"/>
      <c r="B55" s="13"/>
      <c r="C55" s="13"/>
      <c r="D55" s="13"/>
      <c r="E55" s="13"/>
      <c r="F55" s="13"/>
      <c r="G55" s="440"/>
    </row>
    <row r="56" spans="1:7" ht="15.75">
      <c r="A56" s="13"/>
      <c r="B56" s="13"/>
      <c r="C56" s="13"/>
      <c r="D56" s="13"/>
      <c r="E56" s="13"/>
      <c r="F56" s="13"/>
      <c r="G56" s="440"/>
    </row>
    <row r="57" spans="1:7" ht="15.75">
      <c r="A57" s="13"/>
      <c r="B57" s="13"/>
      <c r="C57" s="13"/>
      <c r="D57" s="12"/>
      <c r="E57" s="13"/>
      <c r="F57" s="13"/>
      <c r="G57" s="440"/>
    </row>
    <row r="58" ht="15.75">
      <c r="G58" s="440"/>
    </row>
    <row r="59" ht="15.75">
      <c r="G59" s="440"/>
    </row>
    <row r="60" ht="15.75">
      <c r="G60" s="440"/>
    </row>
    <row r="61" ht="15.75">
      <c r="G61" s="440"/>
    </row>
    <row r="62" ht="15.75">
      <c r="G62" s="440"/>
    </row>
    <row r="63" ht="15.75">
      <c r="G63" s="440"/>
    </row>
    <row r="64" ht="15.75">
      <c r="G64" s="440"/>
    </row>
    <row r="65" ht="15.75">
      <c r="G65" s="440"/>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Harrisonville Cemetery District No. 3</v>
      </c>
      <c r="D1" s="32"/>
      <c r="E1" s="32"/>
      <c r="F1" s="32"/>
      <c r="G1" s="32"/>
      <c r="H1" s="32"/>
      <c r="I1" s="32"/>
      <c r="J1" s="32">
        <f>inputPrYr!D6</f>
        <v>2012</v>
      </c>
    </row>
    <row r="2" spans="1:10" ht="15.75" customHeight="1">
      <c r="A2" s="32"/>
      <c r="B2" s="32"/>
      <c r="C2" s="32" t="str">
        <f>inputPrYr!D4</f>
        <v>Montgomery</v>
      </c>
      <c r="D2" s="32"/>
      <c r="E2" s="32"/>
      <c r="F2" s="32"/>
      <c r="G2" s="32"/>
      <c r="H2" s="32"/>
      <c r="I2" s="32"/>
      <c r="J2" s="32"/>
    </row>
    <row r="3" spans="1:10" ht="15.75">
      <c r="A3" s="416" t="str">
        <f>CONCATENATE("Computation to Determine Limit for ",J1,"")</f>
        <v>Computation to Determine Limit for 2012</v>
      </c>
      <c r="B3" s="441"/>
      <c r="C3" s="441"/>
      <c r="D3" s="441"/>
      <c r="E3" s="441"/>
      <c r="F3" s="441"/>
      <c r="G3" s="441"/>
      <c r="H3" s="441"/>
      <c r="I3" s="441"/>
      <c r="J3" s="441"/>
    </row>
    <row r="4" spans="1:10" ht="15.75">
      <c r="A4" s="32"/>
      <c r="B4" s="32"/>
      <c r="C4" s="32"/>
      <c r="D4" s="32"/>
      <c r="E4" s="441"/>
      <c r="F4" s="441"/>
      <c r="G4" s="441"/>
      <c r="H4" s="141"/>
      <c r="I4" s="32"/>
      <c r="J4" s="217" t="s">
        <v>110</v>
      </c>
    </row>
    <row r="5" spans="1:10" ht="15.75">
      <c r="A5" s="218" t="s">
        <v>111</v>
      </c>
      <c r="B5" s="32" t="str">
        <f>CONCATENATE("Total Tax Levy Amount in ",J1-1," Budget")</f>
        <v>Total Tax Levy Amount in 2011 Budget</v>
      </c>
      <c r="C5" s="32"/>
      <c r="D5" s="32"/>
      <c r="E5" s="63"/>
      <c r="F5" s="63"/>
      <c r="G5" s="63"/>
      <c r="H5" s="219" t="s">
        <v>112</v>
      </c>
      <c r="I5" s="63" t="s">
        <v>113</v>
      </c>
      <c r="J5" s="357">
        <f>inputPrYr!E23</f>
        <v>5853</v>
      </c>
    </row>
    <row r="6" spans="1:10" ht="15.75">
      <c r="A6" s="218" t="s">
        <v>114</v>
      </c>
      <c r="B6" s="32" t="str">
        <f>CONCATENATE("Debt Service Levy in ",J1-1," Budget")</f>
        <v>Debt Service Levy in 2011 Budget</v>
      </c>
      <c r="C6" s="32"/>
      <c r="D6" s="32"/>
      <c r="E6" s="63"/>
      <c r="F6" s="63"/>
      <c r="G6" s="63"/>
      <c r="H6" s="219" t="s">
        <v>115</v>
      </c>
      <c r="I6" s="63" t="s">
        <v>113</v>
      </c>
      <c r="J6" s="358">
        <f>inputPrYr!E19</f>
        <v>0</v>
      </c>
    </row>
    <row r="7" spans="1:10" ht="15.75">
      <c r="A7" s="218" t="s">
        <v>139</v>
      </c>
      <c r="B7" s="74" t="s">
        <v>133</v>
      </c>
      <c r="C7" s="32"/>
      <c r="D7" s="32"/>
      <c r="E7" s="63"/>
      <c r="F7" s="63"/>
      <c r="G7" s="63"/>
      <c r="H7" s="63"/>
      <c r="I7" s="63" t="s">
        <v>113</v>
      </c>
      <c r="J7" s="62">
        <f>J5-J6</f>
        <v>5853</v>
      </c>
    </row>
    <row r="8" spans="1:10" ht="15.75">
      <c r="A8" s="32"/>
      <c r="B8" s="32"/>
      <c r="C8" s="32"/>
      <c r="D8" s="32"/>
      <c r="E8" s="63"/>
      <c r="F8" s="63"/>
      <c r="G8" s="63"/>
      <c r="H8" s="63"/>
      <c r="I8" s="63"/>
      <c r="J8" s="63"/>
    </row>
    <row r="9" spans="1:10" ht="15.75">
      <c r="A9" s="32"/>
      <c r="B9" s="74" t="str">
        <f>CONCATENATE("",J1-1," Valuation Information for Valuation Adjustments:")</f>
        <v>2011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116</v>
      </c>
      <c r="B11" s="74" t="str">
        <f>CONCATENATE("New Improvements for ",J1-1,":")</f>
        <v>New Improvements for 2011:</v>
      </c>
      <c r="C11" s="32"/>
      <c r="D11" s="32"/>
      <c r="E11" s="219"/>
      <c r="F11" s="219" t="s">
        <v>112</v>
      </c>
      <c r="G11" s="61">
        <f>inputOth!E8</f>
        <v>9186</v>
      </c>
      <c r="H11" s="220"/>
      <c r="I11" s="63"/>
      <c r="J11" s="63"/>
    </row>
    <row r="12" spans="1:10" ht="15.75">
      <c r="A12" s="218"/>
      <c r="B12" s="218"/>
      <c r="C12" s="32"/>
      <c r="D12" s="32"/>
      <c r="E12" s="219"/>
      <c r="F12" s="219"/>
      <c r="G12" s="220"/>
      <c r="H12" s="220"/>
      <c r="I12" s="63"/>
      <c r="J12" s="63"/>
    </row>
    <row r="13" spans="1:10" ht="15.75">
      <c r="A13" s="218" t="s">
        <v>117</v>
      </c>
      <c r="B13" s="74" t="str">
        <f>CONCATENATE("Increase in Personal Property for ",J1-1,":")</f>
        <v>Increase in Personal Property for 2011:</v>
      </c>
      <c r="C13" s="32"/>
      <c r="D13" s="32"/>
      <c r="E13" s="219"/>
      <c r="F13" s="219"/>
      <c r="G13" s="220"/>
      <c r="H13" s="220"/>
      <c r="I13" s="63"/>
      <c r="J13" s="63"/>
    </row>
    <row r="14" spans="1:10" ht="15.75">
      <c r="A14" s="32"/>
      <c r="B14" s="32" t="s">
        <v>118</v>
      </c>
      <c r="C14" s="32" t="str">
        <f>CONCATENATE("Personal Property ",J1-1,"")</f>
        <v>Personal Property 2011</v>
      </c>
      <c r="D14" s="218" t="s">
        <v>112</v>
      </c>
      <c r="E14" s="61">
        <f>inputOth!E9</f>
        <v>888921</v>
      </c>
      <c r="F14" s="219"/>
      <c r="G14" s="63"/>
      <c r="H14" s="63"/>
      <c r="I14" s="220"/>
      <c r="J14" s="63"/>
    </row>
    <row r="15" spans="1:10" ht="15.75">
      <c r="A15" s="218"/>
      <c r="B15" s="32" t="s">
        <v>119</v>
      </c>
      <c r="C15" s="32" t="str">
        <f>CONCATENATE("Personal Property ",J1-2,"")</f>
        <v>Personal Property 2010</v>
      </c>
      <c r="D15" s="218" t="s">
        <v>115</v>
      </c>
      <c r="E15" s="62">
        <f>inputOth!E11</f>
        <v>0</v>
      </c>
      <c r="F15" s="219"/>
      <c r="G15" s="220"/>
      <c r="H15" s="220"/>
      <c r="I15" s="63"/>
      <c r="J15" s="63"/>
    </row>
    <row r="16" spans="1:10" ht="15.75">
      <c r="A16" s="218"/>
      <c r="B16" s="32" t="s">
        <v>120</v>
      </c>
      <c r="C16" s="32" t="s">
        <v>134</v>
      </c>
      <c r="D16" s="32"/>
      <c r="E16" s="63"/>
      <c r="F16" s="63" t="s">
        <v>112</v>
      </c>
      <c r="G16" s="61">
        <f>IF(E14&gt;E15,E14-E15,0)</f>
        <v>888921</v>
      </c>
      <c r="H16" s="220"/>
      <c r="I16" s="63"/>
      <c r="J16" s="63"/>
    </row>
    <row r="17" spans="1:10" ht="15.75">
      <c r="A17" s="218"/>
      <c r="B17" s="218"/>
      <c r="C17" s="32"/>
      <c r="D17" s="32"/>
      <c r="E17" s="63"/>
      <c r="F17" s="63"/>
      <c r="G17" s="220" t="s">
        <v>128</v>
      </c>
      <c r="H17" s="220"/>
      <c r="I17" s="63"/>
      <c r="J17" s="63"/>
    </row>
    <row r="18" spans="1:10" ht="15.75">
      <c r="A18" s="218" t="s">
        <v>121</v>
      </c>
      <c r="B18" s="74" t="str">
        <f>CONCATENATE("Valuation of Property that has Changed in Use during ",J1-1,":")</f>
        <v>Valuation of Property that has Changed in Use during 2011:</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122</v>
      </c>
      <c r="B20" s="74" t="s">
        <v>135</v>
      </c>
      <c r="C20" s="32"/>
      <c r="D20" s="218"/>
      <c r="E20" s="63"/>
      <c r="F20" s="63"/>
      <c r="G20" s="61">
        <f>G11+G16+G18</f>
        <v>898107</v>
      </c>
      <c r="H20" s="220"/>
      <c r="I20" s="63"/>
      <c r="J20" s="63"/>
    </row>
    <row r="21" spans="1:10" ht="15.75">
      <c r="A21" s="218"/>
      <c r="B21" s="218"/>
      <c r="C21" s="74"/>
      <c r="D21" s="32"/>
      <c r="E21" s="63"/>
      <c r="F21" s="63"/>
      <c r="G21" s="220"/>
      <c r="H21" s="220"/>
      <c r="I21" s="63"/>
      <c r="J21" s="63"/>
    </row>
    <row r="22" spans="1:10" ht="15.75">
      <c r="A22" s="218" t="s">
        <v>123</v>
      </c>
      <c r="B22" s="32" t="str">
        <f>CONCATENATE("Total Estimated Valuation July, 1,",J1-1,"")</f>
        <v>Total Estimated Valuation July, 1,2011</v>
      </c>
      <c r="C22" s="32"/>
      <c r="D22" s="32"/>
      <c r="E22" s="61">
        <f>inputOth!E7</f>
        <v>15072093</v>
      </c>
      <c r="F22" s="63"/>
      <c r="G22" s="63"/>
      <c r="H22" s="63"/>
      <c r="I22" s="219"/>
      <c r="J22" s="63"/>
    </row>
    <row r="23" spans="1:10" ht="15.75">
      <c r="A23" s="218"/>
      <c r="B23" s="218"/>
      <c r="C23" s="32"/>
      <c r="D23" s="32"/>
      <c r="E23" s="220"/>
      <c r="F23" s="63"/>
      <c r="G23" s="63"/>
      <c r="H23" s="63"/>
      <c r="I23" s="219"/>
      <c r="J23" s="63"/>
    </row>
    <row r="24" spans="1:10" ht="15.75">
      <c r="A24" s="218" t="s">
        <v>124</v>
      </c>
      <c r="B24" s="74" t="s">
        <v>136</v>
      </c>
      <c r="C24" s="32"/>
      <c r="D24" s="32"/>
      <c r="E24" s="63"/>
      <c r="F24" s="63"/>
      <c r="G24" s="61">
        <f>E22-G20</f>
        <v>14173986</v>
      </c>
      <c r="H24" s="220"/>
      <c r="I24" s="219"/>
      <c r="J24" s="63"/>
    </row>
    <row r="25" spans="1:10" ht="15.75">
      <c r="A25" s="218"/>
      <c r="B25" s="218"/>
      <c r="C25" s="74"/>
      <c r="D25" s="32"/>
      <c r="E25" s="63"/>
      <c r="F25" s="63"/>
      <c r="G25" s="221"/>
      <c r="H25" s="220"/>
      <c r="I25" s="219"/>
      <c r="J25" s="63"/>
    </row>
    <row r="26" spans="1:10" ht="15.75">
      <c r="A26" s="218" t="s">
        <v>125</v>
      </c>
      <c r="B26" s="32" t="s">
        <v>137</v>
      </c>
      <c r="C26" s="32"/>
      <c r="D26" s="32"/>
      <c r="E26" s="32"/>
      <c r="F26" s="32"/>
      <c r="G26" s="222">
        <f>IF(G20&gt;0,G20/G24,0)</f>
        <v>0.06336305115582871</v>
      </c>
      <c r="H26" s="55"/>
      <c r="I26" s="32"/>
      <c r="J26" s="32"/>
    </row>
    <row r="27" spans="1:10" ht="15.75">
      <c r="A27" s="218"/>
      <c r="B27" s="218"/>
      <c r="C27" s="32"/>
      <c r="D27" s="32"/>
      <c r="E27" s="32"/>
      <c r="F27" s="32"/>
      <c r="G27" s="55"/>
      <c r="H27" s="55"/>
      <c r="I27" s="32"/>
      <c r="J27" s="32"/>
    </row>
    <row r="28" spans="1:10" ht="15.75">
      <c r="A28" s="218" t="s">
        <v>126</v>
      </c>
      <c r="B28" s="32" t="s">
        <v>138</v>
      </c>
      <c r="C28" s="32"/>
      <c r="D28" s="32"/>
      <c r="E28" s="32"/>
      <c r="F28" s="32"/>
      <c r="G28" s="55"/>
      <c r="H28" s="223" t="s">
        <v>112</v>
      </c>
      <c r="I28" s="32" t="s">
        <v>113</v>
      </c>
      <c r="J28" s="61">
        <f>ROUND(G26*J7,0)</f>
        <v>371</v>
      </c>
    </row>
    <row r="29" spans="1:10" ht="15.75">
      <c r="A29" s="218"/>
      <c r="B29" s="218"/>
      <c r="C29" s="32"/>
      <c r="D29" s="32"/>
      <c r="E29" s="32"/>
      <c r="F29" s="32"/>
      <c r="G29" s="55"/>
      <c r="H29" s="223"/>
      <c r="I29" s="32"/>
      <c r="J29" s="220"/>
    </row>
    <row r="30" spans="1:10" ht="16.5" thickBot="1">
      <c r="A30" s="218" t="s">
        <v>127</v>
      </c>
      <c r="B30" s="74" t="s">
        <v>143</v>
      </c>
      <c r="C30" s="32"/>
      <c r="D30" s="32"/>
      <c r="E30" s="32"/>
      <c r="F30" s="32"/>
      <c r="G30" s="32"/>
      <c r="H30" s="32"/>
      <c r="I30" s="32" t="s">
        <v>113</v>
      </c>
      <c r="J30" s="224">
        <f>J7+J28</f>
        <v>6224</v>
      </c>
    </row>
    <row r="31" spans="1:10" ht="16.5" thickTop="1">
      <c r="A31" s="218"/>
      <c r="B31" s="74"/>
      <c r="C31" s="32"/>
      <c r="D31" s="32"/>
      <c r="E31" s="32"/>
      <c r="F31" s="32"/>
      <c r="G31" s="32"/>
      <c r="H31" s="32"/>
      <c r="I31" s="32"/>
      <c r="J31" s="32"/>
    </row>
    <row r="32" spans="1:10" ht="15.75">
      <c r="A32" s="218" t="s">
        <v>141</v>
      </c>
      <c r="B32" s="74" t="str">
        <f>CONCATENATE("Debt Service Levy in this ",J1," Budget")</f>
        <v>Debt Service Levy in this 2012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142</v>
      </c>
      <c r="B34" s="74" t="s">
        <v>144</v>
      </c>
      <c r="C34" s="32"/>
      <c r="D34" s="32"/>
      <c r="E34" s="32"/>
      <c r="F34" s="32"/>
      <c r="G34" s="32"/>
      <c r="H34" s="32"/>
      <c r="I34" s="32"/>
      <c r="J34" s="224">
        <f>J30+J32</f>
        <v>6224</v>
      </c>
    </row>
    <row r="35" spans="1:10" ht="16.5" thickTop="1">
      <c r="A35" s="32"/>
      <c r="B35" s="32"/>
      <c r="C35" s="32"/>
      <c r="D35" s="32"/>
      <c r="E35" s="32"/>
      <c r="F35" s="32"/>
      <c r="G35" s="32"/>
      <c r="H35" s="32"/>
      <c r="I35" s="32"/>
      <c r="J35" s="32"/>
    </row>
    <row r="36" spans="1:10" ht="15.75">
      <c r="A36" s="452" t="str">
        <f>CONCATENATE("If the ",J1," budget includes tax levies exceeding the total on line 14, you must")</f>
        <v>If the 2012 budget includes tax levies exceeding the total on line 14, you must</v>
      </c>
      <c r="B36" s="452"/>
      <c r="C36" s="452"/>
      <c r="D36" s="452"/>
      <c r="E36" s="452"/>
      <c r="F36" s="452"/>
      <c r="G36" s="452"/>
      <c r="H36" s="452"/>
      <c r="I36" s="452"/>
      <c r="J36" s="452"/>
    </row>
    <row r="37" spans="1:10" ht="15.75">
      <c r="A37" s="452" t="s">
        <v>140</v>
      </c>
      <c r="B37" s="452"/>
      <c r="C37" s="452"/>
      <c r="D37" s="452"/>
      <c r="E37" s="452"/>
      <c r="F37" s="452"/>
      <c r="G37" s="452"/>
      <c r="H37" s="452"/>
      <c r="I37" s="452"/>
      <c r="J37" s="452"/>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Harrisonville Cemetery District No. 3</v>
      </c>
      <c r="C1" s="32"/>
      <c r="D1" s="32"/>
      <c r="E1" s="32"/>
      <c r="F1" s="32"/>
      <c r="G1" s="32"/>
      <c r="H1" s="32"/>
      <c r="I1" s="81"/>
      <c r="J1" s="32"/>
    </row>
    <row r="2" spans="1:10" ht="15.75">
      <c r="A2" s="32"/>
      <c r="B2" s="32" t="str">
        <f>inputPrYr!D4</f>
        <v>Montgomery</v>
      </c>
      <c r="C2" s="32"/>
      <c r="D2" s="32"/>
      <c r="E2" s="32"/>
      <c r="F2" s="32"/>
      <c r="G2" s="32"/>
      <c r="H2" s="32"/>
      <c r="I2" s="80"/>
      <c r="J2" s="32">
        <f>inputPrYr!D6</f>
        <v>2012</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17" t="s">
        <v>297</v>
      </c>
      <c r="C6" s="417"/>
      <c r="D6" s="417"/>
      <c r="E6" s="417"/>
      <c r="F6" s="417"/>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20" t="str">
        <f>CONCATENATE("",J2-1,"                    Budgeted Funds")</f>
        <v>2011                    Budgeted Funds</v>
      </c>
      <c r="C9" s="418" t="str">
        <f>CONCATENATE("Tax Levy Amount in ",J2-1," Budget")</f>
        <v>Tax Levy Amount in 2011 Budget</v>
      </c>
      <c r="D9" s="444" t="str">
        <f>CONCATENATE("Allocation for Year ",J2,"")</f>
        <v>Allocation for Year 2012</v>
      </c>
      <c r="E9" s="421"/>
      <c r="F9" s="421"/>
      <c r="G9" s="446"/>
      <c r="H9" s="32"/>
      <c r="I9" s="32"/>
      <c r="J9" s="32"/>
    </row>
    <row r="10" spans="1:10" ht="15.75">
      <c r="A10" s="32"/>
      <c r="B10" s="419"/>
      <c r="C10" s="419"/>
      <c r="D10" s="86" t="s">
        <v>57</v>
      </c>
      <c r="E10" s="86" t="s">
        <v>58</v>
      </c>
      <c r="F10" s="86" t="s">
        <v>107</v>
      </c>
      <c r="G10" s="138" t="s">
        <v>187</v>
      </c>
      <c r="H10" s="32"/>
      <c r="I10" s="32"/>
      <c r="J10" s="32"/>
    </row>
    <row r="11" spans="1:10" ht="15.75">
      <c r="A11" s="32"/>
      <c r="B11" s="47" t="str">
        <f>inputPrYr!B18</f>
        <v>General</v>
      </c>
      <c r="C11" s="51">
        <f>inputPrYr!D18</f>
        <v>10280</v>
      </c>
      <c r="D11" s="51">
        <f>IF(E17=0,0,E17-D12-D13-D14)</f>
        <v>114</v>
      </c>
      <c r="E11" s="51">
        <f>IF(E19=0,0,E19-E12-E13-E14)</f>
        <v>3</v>
      </c>
      <c r="F11" s="51">
        <f>IF(E21=0,0,E21-F12-F13-F14)</f>
        <v>7</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10280</v>
      </c>
      <c r="D15" s="266">
        <f>SUM(D11:D14)</f>
        <v>114</v>
      </c>
      <c r="E15" s="266">
        <f>SUM(E11:E14)</f>
        <v>3</v>
      </c>
      <c r="F15" s="266">
        <f>SUM(F11:F14)</f>
        <v>7</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114</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3</v>
      </c>
      <c r="F19" s="32"/>
      <c r="G19" s="32"/>
      <c r="H19" s="32"/>
      <c r="I19" s="32"/>
      <c r="J19" s="32"/>
    </row>
    <row r="20" spans="1:10" ht="15.75">
      <c r="A20" s="32"/>
      <c r="B20" s="32"/>
      <c r="C20" s="32"/>
      <c r="D20" s="32"/>
      <c r="E20" s="32"/>
      <c r="F20" s="32"/>
      <c r="G20" s="32"/>
      <c r="H20" s="32"/>
      <c r="I20" s="32"/>
      <c r="J20" s="32"/>
    </row>
    <row r="21" spans="1:10" ht="15.75">
      <c r="A21" s="32"/>
      <c r="B21" s="35" t="s">
        <v>108</v>
      </c>
      <c r="C21" s="32"/>
      <c r="D21" s="32"/>
      <c r="E21" s="87">
        <f>inputOth!E29</f>
        <v>7</v>
      </c>
      <c r="F21" s="32"/>
      <c r="G21" s="32"/>
      <c r="H21" s="32"/>
      <c r="I21" s="32"/>
      <c r="J21" s="32"/>
    </row>
    <row r="22" spans="1:10" ht="15.75">
      <c r="A22" s="32"/>
      <c r="B22" s="32"/>
      <c r="C22" s="32"/>
      <c r="D22" s="32"/>
      <c r="E22" s="32"/>
      <c r="F22" s="32"/>
      <c r="G22" s="32"/>
      <c r="H22" s="32"/>
      <c r="I22" s="32"/>
      <c r="J22" s="32"/>
    </row>
    <row r="23" spans="1:10" ht="15.75">
      <c r="A23" s="32"/>
      <c r="B23" s="32" t="s">
        <v>249</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0.011089494163424125</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0.00029182879377431906</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109</v>
      </c>
      <c r="E29" s="301">
        <f>IF(C15=0,0,E21/C15)</f>
        <v>0.0006809338521400778</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250</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2012</v>
      </c>
    </row>
    <row r="2" spans="1:6" ht="15.75">
      <c r="A2" s="142" t="str">
        <f>inputPrYr!D3</f>
        <v>Harrisonville Cemetery District No. 3</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41" t="s">
        <v>165</v>
      </c>
      <c r="B5" s="441"/>
      <c r="C5" s="441"/>
      <c r="D5" s="441"/>
      <c r="E5" s="441"/>
      <c r="F5" s="441"/>
    </row>
    <row r="6" spans="1:6" ht="14.25" customHeight="1">
      <c r="A6" s="141"/>
      <c r="B6" s="143"/>
      <c r="C6" s="143"/>
      <c r="D6" s="143"/>
      <c r="E6" s="143"/>
      <c r="F6" s="143"/>
    </row>
    <row r="7" spans="1:6" ht="17.25" customHeight="1">
      <c r="A7" s="144" t="s">
        <v>166</v>
      </c>
      <c r="B7" s="144" t="s">
        <v>166</v>
      </c>
      <c r="C7" s="144" t="s">
        <v>66</v>
      </c>
      <c r="D7" s="144" t="s">
        <v>167</v>
      </c>
      <c r="E7" s="144" t="s">
        <v>168</v>
      </c>
      <c r="F7" s="144" t="s">
        <v>188</v>
      </c>
    </row>
    <row r="8" spans="1:6" ht="17.25" customHeight="1">
      <c r="A8" s="182" t="s">
        <v>189</v>
      </c>
      <c r="B8" s="182" t="s">
        <v>190</v>
      </c>
      <c r="C8" s="182" t="s">
        <v>191</v>
      </c>
      <c r="D8" s="182" t="s">
        <v>191</v>
      </c>
      <c r="E8" s="182" t="s">
        <v>191</v>
      </c>
      <c r="F8" s="182" t="s">
        <v>192</v>
      </c>
    </row>
    <row r="9" spans="1:6" s="145" customFormat="1" ht="18" customHeight="1">
      <c r="A9" s="183" t="s">
        <v>193</v>
      </c>
      <c r="B9" s="183" t="s">
        <v>194</v>
      </c>
      <c r="C9" s="172">
        <f>F1-2</f>
        <v>2010</v>
      </c>
      <c r="D9" s="172">
        <f>F1-1</f>
        <v>2011</v>
      </c>
      <c r="E9" s="172">
        <f>F1</f>
        <v>2012</v>
      </c>
      <c r="F9" s="183" t="s">
        <v>195</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154</v>
      </c>
      <c r="C24" s="271">
        <f>SUM(C10:C23)</f>
        <v>0</v>
      </c>
      <c r="D24" s="271">
        <f>SUM(D10:D23)</f>
        <v>0</v>
      </c>
      <c r="E24" s="271">
        <f>SUM(E10:E23)</f>
        <v>0</v>
      </c>
      <c r="F24" s="157"/>
      <c r="G24"/>
    </row>
    <row r="25" spans="1:7" ht="15.75">
      <c r="A25" s="96"/>
      <c r="B25" s="185" t="s">
        <v>196</v>
      </c>
      <c r="C25" s="209"/>
      <c r="D25" s="210"/>
      <c r="E25" s="210"/>
      <c r="F25" s="157"/>
      <c r="G25"/>
    </row>
    <row r="26" spans="1:7" ht="15.75">
      <c r="A26" s="96"/>
      <c r="B26" s="184" t="s">
        <v>197</v>
      </c>
      <c r="C26" s="271">
        <f>C24</f>
        <v>0</v>
      </c>
      <c r="D26" s="271">
        <f>SUM(D24-D25)</f>
        <v>0</v>
      </c>
      <c r="E26" s="271">
        <f>SUM(E24-E25)</f>
        <v>0</v>
      </c>
      <c r="F26" s="157"/>
      <c r="G26"/>
    </row>
    <row r="27" spans="1:7" ht="15.75">
      <c r="A27" s="32"/>
      <c r="B27" s="32"/>
      <c r="C27" s="32"/>
      <c r="D27" s="64"/>
      <c r="E27" s="64"/>
      <c r="F27" s="64"/>
      <c r="G27"/>
    </row>
    <row r="28" spans="1:7" ht="15.75">
      <c r="A28" s="345" t="s">
        <v>198</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Harrisonville Cemetery District No. 3</v>
      </c>
      <c r="B1" s="32"/>
      <c r="C1" s="32"/>
      <c r="D1" s="32"/>
      <c r="E1" s="32"/>
      <c r="F1" s="32"/>
      <c r="G1" s="32"/>
      <c r="H1" s="32"/>
      <c r="I1" s="32"/>
      <c r="J1" s="32"/>
      <c r="K1" s="140">
        <f>inputPrYr!D6</f>
        <v>2012</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105</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77</v>
      </c>
      <c r="C6" s="42" t="s">
        <v>86</v>
      </c>
      <c r="D6" s="42"/>
      <c r="E6" s="42" t="s">
        <v>42</v>
      </c>
      <c r="F6" s="242"/>
      <c r="G6" s="243"/>
      <c r="H6" s="242" t="s">
        <v>78</v>
      </c>
      <c r="I6" s="243"/>
      <c r="J6" s="242" t="s">
        <v>78</v>
      </c>
      <c r="K6" s="243"/>
    </row>
    <row r="7" spans="1:11" s="28" customFormat="1" ht="15.75">
      <c r="A7" s="32"/>
      <c r="B7" s="43" t="s">
        <v>79</v>
      </c>
      <c r="C7" s="43" t="s">
        <v>80</v>
      </c>
      <c r="D7" s="43" t="s">
        <v>42</v>
      </c>
      <c r="E7" s="43" t="s">
        <v>152</v>
      </c>
      <c r="F7" s="244" t="s">
        <v>81</v>
      </c>
      <c r="G7" s="245"/>
      <c r="H7" s="244">
        <f>K1-1</f>
        <v>2011</v>
      </c>
      <c r="I7" s="245"/>
      <c r="J7" s="244">
        <f>K1</f>
        <v>2012</v>
      </c>
      <c r="K7" s="245"/>
    </row>
    <row r="8" spans="1:11" s="28" customFormat="1" ht="15.75">
      <c r="A8" s="246" t="s">
        <v>82</v>
      </c>
      <c r="B8" s="86" t="s">
        <v>83</v>
      </c>
      <c r="C8" s="86" t="s">
        <v>55</v>
      </c>
      <c r="D8" s="86" t="s">
        <v>84</v>
      </c>
      <c r="E8" s="240" t="str">
        <f>CONCATENATE("Jan 1,",K1-1,"")</f>
        <v>Jan 1,2011</v>
      </c>
      <c r="F8" s="138" t="s">
        <v>86</v>
      </c>
      <c r="G8" s="138" t="s">
        <v>87</v>
      </c>
      <c r="H8" s="138" t="s">
        <v>86</v>
      </c>
      <c r="I8" s="138" t="s">
        <v>87</v>
      </c>
      <c r="J8" s="138" t="s">
        <v>86</v>
      </c>
      <c r="K8" s="138" t="s">
        <v>87</v>
      </c>
    </row>
    <row r="9" spans="1:11" s="28" customFormat="1" ht="15.75">
      <c r="A9" s="75" t="s">
        <v>212</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213</v>
      </c>
      <c r="B12" s="213"/>
      <c r="C12" s="214"/>
      <c r="D12" s="189"/>
      <c r="E12" s="272">
        <f>SUM(E10:E11)</f>
        <v>0</v>
      </c>
      <c r="F12" s="229"/>
      <c r="G12" s="229"/>
      <c r="H12" s="273">
        <f>SUM(H10:H11)</f>
        <v>0</v>
      </c>
      <c r="I12" s="273">
        <f>SUM(I10:I11)</f>
        <v>0</v>
      </c>
      <c r="J12" s="273">
        <f>SUM(J10:J11)</f>
        <v>0</v>
      </c>
      <c r="K12" s="273">
        <f>SUM(K10:K11)</f>
        <v>0</v>
      </c>
    </row>
    <row r="13" spans="1:11" s="28" customFormat="1" ht="15.75">
      <c r="A13" s="93" t="s">
        <v>214</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215</v>
      </c>
      <c r="B16" s="213"/>
      <c r="C16" s="214"/>
      <c r="D16" s="189"/>
      <c r="E16" s="228">
        <f>SUM(E14:E15)</f>
        <v>0</v>
      </c>
      <c r="F16" s="229"/>
      <c r="G16" s="229"/>
      <c r="H16" s="273">
        <f>SUM(H14:H15)</f>
        <v>0</v>
      </c>
      <c r="I16" s="273">
        <f>SUM(I14:I15)</f>
        <v>0</v>
      </c>
      <c r="J16" s="273">
        <f>SUM(J14:J15)</f>
        <v>0</v>
      </c>
      <c r="K16" s="273">
        <f>SUM(K14:K15)</f>
        <v>0</v>
      </c>
    </row>
    <row r="17" spans="1:11" s="28" customFormat="1" ht="15.75">
      <c r="A17" s="93" t="s">
        <v>216</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217</v>
      </c>
      <c r="B20" s="226"/>
      <c r="C20" s="227"/>
      <c r="D20" s="49"/>
      <c r="E20" s="272">
        <f>SUM(E18:E19)</f>
        <v>0</v>
      </c>
      <c r="F20" s="229"/>
      <c r="G20" s="229"/>
      <c r="H20" s="273">
        <f>SUM(H18:H19)</f>
        <v>0</v>
      </c>
      <c r="I20" s="273">
        <f>SUM(I18:I19)</f>
        <v>0</v>
      </c>
      <c r="J20" s="273">
        <f>SUM(J18:J19)</f>
        <v>0</v>
      </c>
      <c r="K20" s="273">
        <f>SUM(K18:K19)</f>
        <v>0</v>
      </c>
    </row>
    <row r="21" spans="1:11" s="28" customFormat="1" ht="15.75">
      <c r="A21" s="230" t="s">
        <v>106</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99</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85</v>
      </c>
      <c r="D25" s="236"/>
      <c r="E25" s="42" t="s">
        <v>20</v>
      </c>
      <c r="F25" s="236"/>
      <c r="G25" s="236"/>
      <c r="H25" s="236"/>
      <c r="I25" s="119"/>
      <c r="J25" s="120"/>
      <c r="K25" s="118"/>
    </row>
    <row r="26" spans="1:11" s="29" customFormat="1" ht="15.75">
      <c r="A26" s="237"/>
      <c r="B26" s="43"/>
      <c r="C26" s="43" t="s">
        <v>79</v>
      </c>
      <c r="D26" s="43" t="s">
        <v>86</v>
      </c>
      <c r="E26" s="43" t="s">
        <v>42</v>
      </c>
      <c r="F26" s="43" t="s">
        <v>87</v>
      </c>
      <c r="G26" s="43" t="s">
        <v>88</v>
      </c>
      <c r="H26" s="43" t="s">
        <v>88</v>
      </c>
      <c r="I26" s="118"/>
      <c r="J26" s="118"/>
      <c r="K26" s="118"/>
    </row>
    <row r="27" spans="1:11" s="29" customFormat="1" ht="15.75">
      <c r="A27" s="237"/>
      <c r="B27" s="43" t="s">
        <v>89</v>
      </c>
      <c r="C27" s="43" t="s">
        <v>90</v>
      </c>
      <c r="D27" s="43" t="s">
        <v>80</v>
      </c>
      <c r="E27" s="43" t="s">
        <v>91</v>
      </c>
      <c r="F27" s="43" t="s">
        <v>132</v>
      </c>
      <c r="G27" s="43" t="s">
        <v>92</v>
      </c>
      <c r="H27" s="43" t="s">
        <v>92</v>
      </c>
      <c r="I27" s="118"/>
      <c r="J27" s="118"/>
      <c r="K27" s="118"/>
    </row>
    <row r="28" spans="1:11" s="29" customFormat="1" ht="15.75">
      <c r="A28" s="238" t="s">
        <v>93</v>
      </c>
      <c r="B28" s="86" t="s">
        <v>77</v>
      </c>
      <c r="C28" s="239" t="s">
        <v>94</v>
      </c>
      <c r="D28" s="86" t="s">
        <v>55</v>
      </c>
      <c r="E28" s="239" t="s">
        <v>153</v>
      </c>
      <c r="F28" s="240" t="str">
        <f>E8</f>
        <v>Jan 1,2011</v>
      </c>
      <c r="G28" s="86">
        <f>K1-1</f>
        <v>2011</v>
      </c>
      <c r="H28" s="86">
        <f>K1</f>
        <v>2012</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106</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299</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2011-06-29T21:15:00Z</cp:lastPrinted>
  <dcterms:created xsi:type="dcterms:W3CDTF">1999-08-06T13:59:57Z</dcterms:created>
  <dcterms:modified xsi:type="dcterms:W3CDTF">2011-11-10T16:43:59Z</dcterms:modified>
  <cp:category/>
  <cp:version/>
  <cp:contentType/>
  <cp:contentStatus/>
</cp:coreProperties>
</file>