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<sst xmlns="http://schemas.openxmlformats.org/spreadsheetml/2006/main" count="1114" uniqueCount="752">
  <si>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</si>
  <si>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</si>
  <si>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</si>
  <si>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</si>
  <si>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</si>
  <si>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</si>
  <si>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</si>
  <si>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</si>
  <si>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</si>
  <si>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</si>
  <si>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</si>
  <si>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</si>
  <si>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</si>
  <si>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</si>
  <si>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</si>
  <si>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</si>
  <si>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</si>
  <si>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</si>
  <si>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</si>
  <si>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</si>
  <si>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</si>
  <si>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</si>
  <si>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</si>
  <si>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</si>
  <si>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</si>
  <si>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</si>
  <si>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</si>
  <si>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</si>
  <si>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</si>
  <si>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</si>
  <si>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</si>
  <si>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</si>
  <si>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</si>
  <si>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</si>
  <si>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</si>
  <si>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</si>
  <si>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</si>
  <si>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</si>
  <si>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</si>
  <si>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</si>
  <si>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</si>
  <si>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</si>
  <si>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</si>
  <si>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</si>
  <si>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</si>
  <si>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</si>
  <si>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</si>
  <si>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</si>
  <si>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</si>
  <si>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</si>
  <si>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</si>
  <si>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</si>
  <si>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</si>
  <si>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</si>
  <si>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</si>
  <si>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</si>
  <si>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</si>
  <si>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</si>
  <si>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</si>
  <si>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</si>
  <si>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</si>
  <si>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</si>
  <si>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</si>
  <si>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</si>
  <si>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</si>
  <si>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</si>
  <si>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</si>
  <si>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</si>
  <si>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</si>
  <si>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</si>
  <si>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</si>
  <si>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</si>
  <si>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</si>
  <si>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</si>
  <si>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</si>
  <si>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</si>
  <si>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</si>
  <si>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</si>
  <si>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</si>
  <si>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</si>
  <si>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</si>
  <si>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</si>
  <si>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</si>
  <si>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</si>
  <si>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</si>
  <si>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</si>
  <si>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</si>
  <si>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</si>
  <si>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</si>
  <si>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</si>
  <si>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</si>
  <si>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</si>
  <si>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</si>
  <si>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</si>
  <si>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</si>
  <si>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</si>
  <si>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</si>
  <si>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</si>
  <si>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</si>
  <si>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</si>
  <si>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</si>
  <si>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</si>
  <si>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</si>
  <si>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</si>
  <si>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</si>
  <si>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</si>
  <si>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</si>
  <si>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</si>
  <si>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</si>
  <si>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</si>
  <si>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</si>
  <si>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</si>
  <si>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</si>
  <si>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</si>
  <si>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</si>
  <si>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</si>
  <si>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</si>
  <si>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</si>
  <si>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</si>
  <si>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</si>
  <si>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</si>
  <si>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</si>
  <si>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</si>
  <si>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</si>
  <si>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</si>
  <si>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</si>
  <si>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</si>
  <si>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</si>
  <si>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</si>
  <si>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</si>
  <si>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</si>
  <si>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</si>
  <si>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</si>
  <si>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</si>
  <si>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</si>
  <si>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</si>
  <si>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</si>
  <si>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</si>
  <si>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</si>
  <si>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</si>
  <si>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</si>
  <si>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</si>
  <si>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</si>
  <si>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</si>
  <si>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</si>
  <si>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</si>
  <si>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</si>
  <si>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</si>
  <si>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</si>
  <si>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</si>
  <si>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</si>
  <si>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</si>
  <si>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</si>
  <si>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</si>
  <si>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</si>
  <si>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</si>
  <si>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</si>
  <si>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</si>
  <si>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</si>
  <si>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</si>
  <si>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</si>
  <si>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</si>
  <si>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</si>
  <si>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</si>
  <si>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</si>
  <si>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</si>
  <si>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</si>
  <si>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</si>
  <si>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</si>
  <si>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</si>
  <si>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</si>
  <si>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</si>
  <si>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</si>
  <si>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</si>
  <si>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</si>
  <si>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</si>
  <si>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</si>
  <si>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</si>
  <si>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</si>
  <si>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</si>
  <si>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</si>
  <si>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</si>
  <si>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</si>
  <si>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</si>
  <si>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</si>
  <si>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</si>
  <si>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</si>
  <si>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</si>
  <si>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</si>
  <si>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</si>
  <si>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</si>
  <si>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</si>
  <si>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</si>
  <si>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</si>
  <si>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</si>
  <si>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</si>
  <si>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</si>
  <si>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</si>
  <si>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</si>
  <si>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</si>
  <si>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</si>
  <si>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</si>
  <si>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</si>
  <si>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</si>
  <si>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</si>
  <si>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</si>
  <si>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</si>
  <si>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</si>
  <si>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</si>
  <si>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</si>
  <si>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</si>
  <si>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</si>
  <si>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</si>
  <si>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</si>
  <si>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</si>
  <si>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</si>
  <si>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</si>
  <si>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</si>
  <si>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</si>
  <si>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</si>
  <si>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</si>
  <si>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</si>
  <si>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</si>
  <si>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</si>
  <si>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</si>
  <si>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</si>
  <si>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</si>
  <si>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</si>
  <si>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</si>
  <si>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</si>
  <si>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</si>
  <si>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</si>
  <si>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</si>
  <si>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</si>
  <si>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</si>
  <si>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</si>
  <si>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</si>
  <si>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</si>
  <si>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</si>
  <si>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</si>
  <si>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</si>
  <si>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</si>
  <si>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</si>
  <si>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</si>
  <si>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</si>
  <si>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</si>
  <si>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</si>
  <si>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</si>
  <si>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</si>
  <si>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</si>
  <si>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</si>
  <si>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</si>
  <si>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</si>
  <si>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</si>
  <si>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</si>
  <si>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</si>
  <si>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</si>
  <si>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</si>
  <si>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</si>
  <si>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</si>
  <si>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</si>
  <si>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</si>
  <si>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</si>
  <si>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</si>
  <si>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</si>
  <si>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</si>
  <si>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</si>
  <si>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</si>
  <si>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</si>
  <si>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</si>
  <si>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</si>
  <si>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</si>
  <si>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</si>
  <si>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</si>
  <si>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</si>
  <si>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</si>
  <si>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</si>
  <si>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</si>
  <si>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</si>
  <si>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</si>
  <si>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</si>
  <si>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</si>
  <si>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</si>
  <si>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</si>
  <si>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</si>
  <si>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</si>
  <si>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</si>
  <si>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</si>
  <si>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</si>
  <si>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</si>
  <si>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</si>
  <si>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</si>
  <si>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</si>
  <si>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</si>
  <si>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</si>
  <si>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</si>
  <si>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</si>
  <si>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</si>
  <si>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</si>
  <si>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</si>
  <si>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</si>
  <si>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</si>
  <si>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</si>
  <si>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</si>
  <si>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</si>
  <si>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</si>
  <si>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</si>
  <si>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</si>
  <si>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</si>
  <si>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</si>
  <si>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</si>
  <si>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</si>
  <si>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</si>
  <si>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</si>
  <si>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</si>
  <si>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</si>
  <si>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</si>
  <si>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</si>
  <si>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</si>
  <si>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</si>
  <si>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</si>
  <si>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</si>
  <si>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</si>
  <si>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</si>
  <si>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</si>
  <si>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</si>
  <si>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</si>
  <si>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</si>
  <si>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</si>
  <si>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</si>
  <si>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</si>
  <si>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</si>
  <si>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</si>
  <si>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</si>
  <si>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</si>
  <si>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</si>
  <si>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</si>
  <si>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</si>
  <si>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</si>
  <si>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</si>
  <si>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</si>
  <si>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</si>
  <si>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</si>
  <si>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</si>
  <si>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</si>
  <si>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</si>
  <si>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</si>
  <si>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</si>
  <si>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</si>
  <si>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</si>
  <si>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</si>
  <si>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</si>
  <si>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</si>
  <si>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</si>
  <si>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</si>
  <si>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</si>
  <si>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</si>
  <si>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</si>
  <si>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</si>
  <si>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</si>
  <si>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</si>
  <si>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</si>
  <si>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</si>
  <si>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</si>
  <si>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</si>
  <si>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</si>
  <si>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</si>
  <si>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</si>
  <si>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</si>
  <si>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</si>
  <si>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</si>
  <si>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</si>
  <si>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</si>
  <si>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</si>
  <si>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</si>
  <si>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</si>
  <si>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</si>
  <si>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</si>
  <si>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</si>
  <si>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</si>
  <si>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</si>
  <si>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</si>
  <si>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</si>
  <si>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</si>
  <si>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</si>
  <si>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</si>
  <si>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</si>
  <si>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</si>
  <si>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</si>
  <si>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</si>
  <si>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</si>
  <si>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</si>
  <si>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</si>
  <si>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</si>
  <si>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</si>
  <si>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</si>
  <si>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</si>
  <si>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</si>
  <si>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</si>
  <si>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</si>
  <si>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</si>
  <si>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</si>
  <si>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</si>
  <si>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</si>
  <si>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</si>
  <si>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</si>
  <si>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</si>
  <si>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</si>
  <si>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</si>
  <si>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</si>
  <si>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</si>
  <si>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</si>
  <si>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</si>
  <si>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</si>
  <si>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</si>
  <si>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</si>
  <si>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</si>
  <si>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</si>
  <si>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</si>
  <si>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</si>
  <si>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</si>
  <si>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</si>
  <si>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</si>
  <si>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</si>
  <si>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</si>
  <si>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</si>
  <si>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</si>
  <si>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</si>
  <si>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</si>
  <si>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</si>
  <si>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</si>
  <si>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</si>
  <si>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</si>
  <si>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</si>
  <si>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</si>
  <si>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</si>
  <si>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</si>
  <si>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</si>
  <si>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</si>
  <si>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</si>
  <si>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</si>
  <si>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</si>
  <si>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</si>
  <si>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</si>
  <si>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</si>
  <si>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</si>
  <si>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</si>
  <si>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</si>
  <si>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</si>
  <si>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</si>
  <si>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</si>
  <si>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</si>
  <si>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</si>
  <si>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</si>
  <si>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</si>
  <si>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</si>
  <si>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</si>
  <si>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</si>
  <si>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</si>
  <si>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</si>
  <si>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</si>
  <si>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</si>
  <si>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</si>
  <si>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</si>
  <si>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</si>
  <si>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</si>
  <si>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</si>
  <si>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</si>
  <si>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</si>
  <si>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</si>
  <si>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</si>
  <si>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</si>
  <si>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</si>
  <si>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</si>
  <si>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</si>
  <si>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</si>
  <si>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</si>
  <si>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</si>
  <si>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</si>
  <si>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</si>
  <si>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</si>
  <si>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</si>
  <si>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</si>
  <si>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</si>
  <si>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</si>
  <si>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</si>
  <si>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</si>
  <si>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</si>
  <si>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</si>
  <si>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</si>
  <si>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</si>
  <si>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</si>
  <si>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</si>
  <si>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</si>
  <si>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</si>
  <si>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</si>
  <si>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</si>
  <si>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</si>
  <si>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</si>
  <si>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</si>
  <si>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</si>
  <si>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</si>
  <si>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</si>
  <si>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</si>
  <si>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</si>
  <si>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</si>
  <si>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</si>
  <si>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</si>
  <si>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</si>
  <si>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</si>
  <si>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</si>
  <si>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</si>
  <si>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</si>
  <si>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</si>
  <si>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</si>
  <si>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</si>
  <si>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</si>
  <si>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</si>
  <si>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</si>
  <si>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</si>
  <si>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</si>
  <si>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</si>
  <si>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</si>
  <si>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</si>
  <si>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</si>
  <si>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</si>
  <si>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</si>
  <si>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</si>
  <si>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</si>
  <si>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</si>
  <si>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</si>
  <si>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</si>
  <si>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</si>
  <si>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</si>
  <si>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</si>
  <si>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</si>
  <si>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</si>
  <si>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</si>
  <si>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</si>
  <si>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</si>
  <si>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</si>
  <si>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</si>
  <si>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</si>
  <si>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</si>
  <si>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</si>
  <si>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</si>
  <si>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</si>
  <si>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</si>
  <si>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</si>
  <si>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</si>
  <si>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</si>
  <si>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</si>
  <si>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</si>
  <si>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</si>
  <si>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</si>
  <si>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</si>
  <si>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</si>
  <si>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</si>
  <si>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</si>
  <si>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</si>
  <si>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</si>
  <si>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</si>
  <si>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</si>
  <si>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</si>
  <si>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</si>
  <si>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</si>
  <si>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</si>
  <si>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</si>
  <si>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</si>
  <si>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</si>
  <si>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</si>
  <si>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</si>
  <si>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</si>
  <si>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</si>
  <si>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</si>
  <si>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</si>
  <si>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</si>
  <si>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</si>
  <si>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</si>
  <si>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</si>
  <si>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</si>
  <si>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</si>
  <si>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</si>
  <si>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</si>
  <si>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</si>
  <si>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</si>
  <si>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</si>
  <si>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</si>
  <si>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</si>
  <si>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</si>
  <si>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</si>
  <si>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</si>
  <si>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</si>
  <si>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</si>
  <si>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</si>
  <si>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</si>
  <si>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</si>
  <si>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</si>
  <si>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</si>
  <si>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</si>
  <si>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</si>
  <si>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</si>
  <si>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</si>
  <si>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</si>
  <si>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</si>
  <si>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</si>
  <si>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</si>
  <si>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</si>
  <si>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</si>
  <si>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</si>
  <si>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</si>
  <si>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</si>
  <si>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</si>
  <si>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</si>
  <si>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</si>
  <si>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</si>
  <si>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</si>
  <si>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</si>
  <si>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</si>
  <si>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</si>
  <si>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</si>
  <si>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</si>
  <si>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</si>
  <si>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</si>
  <si>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</si>
  <si>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</si>
  <si>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</si>
  <si>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</si>
  <si>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</si>
  <si>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</si>
  <si>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</si>
  <si>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</si>
  <si>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</si>
  <si>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</si>
  <si>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</si>
  <si>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</si>
  <si>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</si>
  <si>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</si>
  <si>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</si>
  <si>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</si>
  <si>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</si>
  <si>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</si>
  <si>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</si>
  <si>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</si>
  <si>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</si>
  <si>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</si>
  <si>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</si>
  <si>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</si>
  <si>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</si>
  <si>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</si>
  <si>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</si>
  <si>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</si>
  <si>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</si>
  <si>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</si>
  <si>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</si>
  <si>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</si>
  <si>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</si>
  <si>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</si>
  <si>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</si>
  <si>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</si>
  <si>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</si>
  <si>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</si>
  <si>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</si>
  <si>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</si>
  <si>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</si>
  <si>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</si>
  <si>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</si>
  <si>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</si>
  <si>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</si>
  <si>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</si>
  <si>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</si>
  <si>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</si>
  <si>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</si>
  <si>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</si>
  <si>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</si>
  <si>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</si>
  <si>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</si>
  <si>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</si>
  <si>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</si>
  <si>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</si>
  <si>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</si>
  <si>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</si>
  <si>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</si>
  <si>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</si>
  <si>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</si>
  <si>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</si>
  <si>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</si>
  <si>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</si>
  <si>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</si>
  <si>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</si>
  <si>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</si>
  <si>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</si>
  <si>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</si>
  <si>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</si>
  <si>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</si>
  <si>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</si>
  <si>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</si>
  <si>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</si>
  <si>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</si>
  <si>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</si>
  <si>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</si>
  <si>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</si>
  <si>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</si>
  <si>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</si>
  <si>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</si>
  <si>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</si>
  <si>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</si>
  <si>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</si>
  <si>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</si>
  <si>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</si>
  <si>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</si>
  <si>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</si>
  <si>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</si>
  <si>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</si>
  <si>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</si>
  <si>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</si>
  <si>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</si>
  <si>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</si>
  <si>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</si>
  <si>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</si>
  <si>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</si>
  <si>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</si>
  <si>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</si>
  <si>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</si>
  <si>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</si>
  <si>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</si>
  <si>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</si>
  <si>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</si>
  <si>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</si>
  <si>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</si>
  <si>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</si>
  <si>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</si>
  <si>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</si>
  <si>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</si>
  <si>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</si>
  <si>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</si>
  <si>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</si>
  <si>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</si>
  <si>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</si>
  <si>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</si>
  <si>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</si>
  <si>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</si>
  <si>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</si>
  <si>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Pleasant Hill Cemetery</t>
  </si>
  <si>
    <t xml:space="preserve">Marshall County </t>
  </si>
  <si>
    <t>15-1015</t>
  </si>
  <si>
    <t>Operating Cost</t>
  </si>
  <si>
    <t>September 7,2011</t>
  </si>
  <si>
    <t>7:00 p.m.</t>
  </si>
  <si>
    <t xml:space="preserve">315 E. Railroad, Waterville, KS </t>
  </si>
  <si>
    <t>Joyce Stryker</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</si>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</sst>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Pleasant Hill Cemetery</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2">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Hill Cemetery</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253.18</v>
      </c>
      <c r="D7" s="404">
        <f>C51</f>
        <v>544.2699999999999</v>
      </c>
      <c r="E7" s="47">
        <f>D51</f>
        <v>417.27</v>
      </c>
    </row>
    <row r="8" spans="2:5" ht="15.75">
      <c r="B8" s="246" t="s">
        <v>129</v>
      </c>
      <c r="C8" s="247"/>
      <c r="D8" s="247"/>
      <c r="E8" s="128"/>
    </row>
    <row r="9" spans="2:5" ht="15.75">
      <c r="B9" s="122" t="s">
        <v>33</v>
      </c>
      <c r="C9" s="397">
        <v>731.77</v>
      </c>
      <c r="D9" s="404">
        <f>inputPrYr!E19</f>
        <v>789</v>
      </c>
      <c r="E9" s="135" t="s">
        <v>28</v>
      </c>
    </row>
    <row r="10" spans="2:5" ht="15.75">
      <c r="B10" s="122" t="s">
        <v>34</v>
      </c>
      <c r="C10" s="397"/>
      <c r="D10" s="397"/>
      <c r="E10" s="209"/>
    </row>
    <row r="11" spans="2:5" ht="15.75">
      <c r="B11" s="122" t="s">
        <v>35</v>
      </c>
      <c r="C11" s="397">
        <v>62.54</v>
      </c>
      <c r="D11" s="397">
        <v>79</v>
      </c>
      <c r="E11" s="47">
        <f>mvalloc!D11</f>
        <v>71.06</v>
      </c>
    </row>
    <row r="12" spans="2:5" ht="15.75">
      <c r="B12" s="122" t="s">
        <v>36</v>
      </c>
      <c r="C12" s="397">
        <v>0.05</v>
      </c>
      <c r="D12" s="397">
        <v>1</v>
      </c>
      <c r="E12" s="47">
        <f>mvalloc!E11</f>
        <v>0.56</v>
      </c>
    </row>
    <row r="13" spans="2:5" ht="15.75">
      <c r="B13" s="247" t="s">
        <v>111</v>
      </c>
      <c r="C13" s="397">
        <v>17.86</v>
      </c>
      <c r="D13" s="397">
        <v>34</v>
      </c>
      <c r="E13" s="47">
        <f>mvalloc!F11</f>
        <v>36.81</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812.2199999999999</v>
      </c>
      <c r="D28" s="399">
        <f>SUM(D9:D26)</f>
        <v>903</v>
      </c>
      <c r="E28" s="254">
        <f>SUM(E9:E26)</f>
        <v>108.43</v>
      </c>
    </row>
    <row r="29" spans="2:5" ht="15.75">
      <c r="B29" s="253" t="s">
        <v>40</v>
      </c>
      <c r="C29" s="399">
        <f>C7+C28</f>
        <v>1065.3999999999999</v>
      </c>
      <c r="D29" s="399">
        <f>D7+D28</f>
        <v>1447.27</v>
      </c>
      <c r="E29" s="254">
        <f>E7+E28</f>
        <v>525.7</v>
      </c>
    </row>
    <row r="30" spans="2:5" ht="15.75">
      <c r="B30" s="122" t="s">
        <v>41</v>
      </c>
      <c r="C30" s="126"/>
      <c r="D30" s="126"/>
      <c r="E30" s="38"/>
    </row>
    <row r="31" spans="2:5" ht="15.75">
      <c r="B31" s="248" t="s">
        <v>746</v>
      </c>
      <c r="C31" s="397">
        <v>521.13</v>
      </c>
      <c r="D31" s="397">
        <v>1030</v>
      </c>
      <c r="E31" s="209">
        <v>1320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417.27</v>
      </c>
      <c r="H45" s="553" t="str">
        <f>CONCATENATE("",F3-1," Ending Cash Balance (est.)")</f>
        <v>2011 Ending Cash Balance (est.)</v>
      </c>
      <c r="I45" s="543"/>
      <c r="J45" s="544"/>
    </row>
    <row r="46" spans="2:10" ht="15.75">
      <c r="B46" s="248"/>
      <c r="C46" s="397"/>
      <c r="D46" s="397"/>
      <c r="E46" s="209"/>
      <c r="G46" s="554">
        <f>E28</f>
        <v>108.43</v>
      </c>
      <c r="H46" s="543" t="str">
        <f>CONCATENATE("",F3," Non-AV Receipts (est.)")</f>
        <v>2012 Non-AV Receipts (est.)</v>
      </c>
      <c r="I46" s="543"/>
      <c r="J46" s="544"/>
    </row>
    <row r="47" spans="2:10" ht="15.75">
      <c r="B47" s="126" t="s">
        <v>228</v>
      </c>
      <c r="C47" s="397"/>
      <c r="D47" s="397"/>
      <c r="E47" s="214">
        <f>Nhood!E7</f>
      </c>
      <c r="G47" s="542">
        <f>E57</f>
        <v>794.3</v>
      </c>
      <c r="H47" s="543" t="str">
        <f>CONCATENATE("",F3," Ad Valorem Tax (est.)")</f>
        <v>2012 Ad Valorem Tax (est.)</v>
      </c>
      <c r="I47" s="543"/>
      <c r="J47" s="544"/>
    </row>
    <row r="48" spans="2:10" ht="15.75">
      <c r="B48" s="126" t="s">
        <v>227</v>
      </c>
      <c r="C48" s="397"/>
      <c r="D48" s="397"/>
      <c r="E48" s="37"/>
      <c r="G48" s="554">
        <f>SUM(G45:G47)</f>
        <v>1320</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521.13</v>
      </c>
      <c r="D50" s="399">
        <f>SUM(D31:D48)</f>
        <v>1030</v>
      </c>
      <c r="E50" s="254">
        <f>SUM(E31:E48)</f>
        <v>1320</v>
      </c>
      <c r="G50" s="542">
        <f>C50*0.05+C50</f>
        <v>547.1865</v>
      </c>
      <c r="H50" s="543" t="str">
        <f>CONCATENATE("Less ",F3-2," Expenditures + 5%")</f>
        <v>Less 2010 Expenditures + 5%</v>
      </c>
      <c r="I50" s="543"/>
      <c r="J50" s="544"/>
    </row>
    <row r="51" spans="2:10" ht="15.75">
      <c r="B51" s="122" t="s">
        <v>128</v>
      </c>
      <c r="C51" s="400">
        <f>C29-C50</f>
        <v>544.2699999999999</v>
      </c>
      <c r="D51" s="400">
        <f>D29-D50</f>
        <v>417.27</v>
      </c>
      <c r="E51" s="135" t="s">
        <v>28</v>
      </c>
      <c r="G51" s="540">
        <f>G48-G50</f>
        <v>772.8135</v>
      </c>
      <c r="H51" s="539" t="str">
        <f>CONCATENATE("Projected ",F3+1," Carryover (est.)")</f>
        <v>Projected 2013 Carryover (est.)</v>
      </c>
      <c r="I51" s="525"/>
      <c r="J51" s="538"/>
    </row>
    <row r="52" spans="2:10" ht="15.75">
      <c r="B52" s="145" t="str">
        <f>CONCATENATE("",F3-2,"/",F3-1," Budget Authority Amount:")</f>
        <v>2010/2011 Budget Authority Amount:</v>
      </c>
      <c r="C52" s="123">
        <f>inputOth!B42</f>
        <v>975</v>
      </c>
      <c r="D52" s="425">
        <f>inputPrYr!D19</f>
        <v>1030</v>
      </c>
      <c r="E52" s="135" t="s">
        <v>28</v>
      </c>
      <c r="F52" s="255"/>
      <c r="G52" s="16"/>
      <c r="H52" s="16"/>
      <c r="I52" s="16"/>
      <c r="J52" s="16"/>
    </row>
    <row r="53" spans="2:10" ht="15.75">
      <c r="B53" s="145"/>
      <c r="C53" s="637" t="s">
        <v>683</v>
      </c>
      <c r="D53" s="638"/>
      <c r="E53" s="37"/>
      <c r="F53" s="255">
        <f>IF(E50/0.95-E50&lt;E53,"Exceeds 5%","")</f>
      </c>
      <c r="G53" s="537">
        <f>IF(inputOth!E7=0,"",ROUND(gen!E57/inputOth!E7*1000,3))</f>
        <v>0.623</v>
      </c>
      <c r="H53" s="536" t="str">
        <f>CONCATENATE("Projected ",F3-1," Mill Rate (est.)")</f>
        <v>Projected 2011 Mill Rate (est.)</v>
      </c>
      <c r="I53" s="535"/>
      <c r="J53" s="534"/>
    </row>
    <row r="54" spans="2:10" ht="15.75">
      <c r="B54" s="423" t="str">
        <f>CONCATENATE(C70,"     ",D70)</f>
        <v>     </v>
      </c>
      <c r="C54" s="639" t="s">
        <v>684</v>
      </c>
      <c r="D54" s="640"/>
      <c r="E54" s="47">
        <f>E50+E53</f>
        <v>1320</v>
      </c>
      <c r="G54" s="533"/>
      <c r="H54" s="533"/>
      <c r="I54" s="533"/>
      <c r="J54" s="533"/>
    </row>
    <row r="55" spans="2:10" ht="15.75">
      <c r="B55" s="423" t="str">
        <f>CONCATENATE(C71,"     ",D71)</f>
        <v>     </v>
      </c>
      <c r="C55" s="559"/>
      <c r="D55" s="558" t="s">
        <v>685</v>
      </c>
      <c r="E55" s="44">
        <f>IF(E54-E29&gt;0,E54-E29,0)</f>
        <v>794.3</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794.3</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Pleasant Hill Cemetery</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Pleasant Hill Cemetery</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Pleasant Hill Cemetery</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Pleasant Hill Cemetery</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129</v>
      </c>
      <c r="B8" s="293"/>
      <c r="C8" s="292" t="s">
        <v>129</v>
      </c>
      <c r="D8" s="294"/>
      <c r="E8" s="292" t="s">
        <v>129</v>
      </c>
      <c r="F8" s="277"/>
      <c r="G8" s="292" t="s">
        <v>129</v>
      </c>
      <c r="H8" s="62"/>
      <c r="I8" s="292" t="s">
        <v>129</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0"/>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Pleasant Hill Cemetery</v>
      </c>
      <c r="B4" s="598"/>
      <c r="C4" s="598"/>
      <c r="D4" s="598"/>
      <c r="E4" s="598"/>
      <c r="F4" s="598"/>
      <c r="G4" s="598"/>
      <c r="H4" s="598"/>
    </row>
    <row r="5" spans="1:8" ht="15.75">
      <c r="A5" s="653" t="str">
        <f>inputPrYr!D4</f>
        <v>Marshall County </v>
      </c>
      <c r="B5" s="653"/>
      <c r="C5" s="653"/>
      <c r="D5" s="653"/>
      <c r="E5" s="653"/>
      <c r="F5" s="653"/>
      <c r="G5" s="653"/>
      <c r="H5" s="653"/>
    </row>
    <row r="6" spans="1:8" ht="15.75">
      <c r="A6" s="654" t="str">
        <f>CONCATENATE("will meet on ",inputBudSum!B5," at ",inputBudSum!B7," at ",inputBudSum!B9," for the purpose of hearing and")</f>
        <v>will meet on September 7,2011 at 7:00 p.m. at 315 E. Railroad, Waterville, KS  for the purpose of hearing and</v>
      </c>
      <c r="B6" s="654"/>
      <c r="C6" s="654"/>
      <c r="D6" s="654"/>
      <c r="E6" s="654"/>
      <c r="F6" s="654"/>
      <c r="G6" s="654"/>
      <c r="H6" s="654"/>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315 E. Railroad, Waterville,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1" t="str">
        <f>CONCATENATE("Amount of ",I3-1," Ad Valorem Tax")</f>
        <v>Amount of 2011 Ad Valorem Tax</v>
      </c>
      <c r="H14" s="316" t="s">
        <v>584</v>
      </c>
      <c r="J14" s="570" t="s">
        <v>691</v>
      </c>
      <c r="K14" s="571"/>
      <c r="L14" s="571"/>
      <c r="M14" s="572">
        <f>ROUND(F27/1000,0)</f>
        <v>1275</v>
      </c>
    </row>
    <row r="15" spans="1:13" ht="15.75">
      <c r="A15" s="179" t="s">
        <v>52</v>
      </c>
      <c r="B15" s="117" t="s">
        <v>53</v>
      </c>
      <c r="C15" s="317" t="s">
        <v>202</v>
      </c>
      <c r="D15" s="117" t="s">
        <v>53</v>
      </c>
      <c r="E15" s="317" t="s">
        <v>202</v>
      </c>
      <c r="F15" s="117" t="s">
        <v>579</v>
      </c>
      <c r="G15" s="652"/>
      <c r="H15" s="317" t="s">
        <v>202</v>
      </c>
      <c r="J15" s="16"/>
      <c r="K15" s="16"/>
      <c r="L15" s="16"/>
      <c r="M15" s="16"/>
    </row>
    <row r="16" spans="1:13" ht="15.75">
      <c r="A16" s="38" t="str">
        <f>inputPrYr!B19</f>
        <v>General</v>
      </c>
      <c r="B16" s="128">
        <f>IF(gen!$C$50&lt;&gt;0,gen!$C$50,"  ")</f>
        <v>521.13</v>
      </c>
      <c r="C16" s="125">
        <f>IF(inputPrYr!D38&gt;0,inputPrYr!D38,"  ")</f>
        <v>0.603</v>
      </c>
      <c r="D16" s="128">
        <f>IF(gen!$D$50&lt;&gt;0,gen!$D$50,"  ")</f>
        <v>1030</v>
      </c>
      <c r="E16" s="125">
        <f>IF(inputOth!D16&gt;0,inputOth!D16,"  ")</f>
        <v>0.631</v>
      </c>
      <c r="F16" s="128">
        <f>IF(gen!$E$50&lt;&gt;0,gen!$E$50,"  ")</f>
        <v>1320</v>
      </c>
      <c r="G16" s="128">
        <f>IF(gen!$E$57&lt;&gt;0,gen!$E$57,"  ")</f>
        <v>794.3</v>
      </c>
      <c r="H16" s="125">
        <f>IF(gen!E57&gt;0,ROUND(G16/$F$27*1000,3)," ")</f>
        <v>0.623</v>
      </c>
      <c r="J16" s="655" t="str">
        <f>CONCATENATE("Want The Mill Rate The Same As For ",I3-1,"?")</f>
        <v>Want The Mill Rate The Same As For 2011?</v>
      </c>
      <c r="K16" s="658"/>
      <c r="L16" s="658"/>
      <c r="M16" s="659"/>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0.631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9.700000000000045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136</v>
      </c>
      <c r="B23" s="321">
        <f>SUM(B16:B22)</f>
        <v>521.13</v>
      </c>
      <c r="C23" s="549">
        <f aca="true" t="shared" si="0" ref="C23:H23">SUM(C16:C21)</f>
        <v>0.603</v>
      </c>
      <c r="D23" s="321">
        <f t="shared" si="0"/>
        <v>1030</v>
      </c>
      <c r="E23" s="549">
        <f t="shared" si="0"/>
        <v>0.631</v>
      </c>
      <c r="F23" s="321">
        <f t="shared" si="0"/>
        <v>1320</v>
      </c>
      <c r="G23" s="321">
        <f t="shared" si="0"/>
        <v>794.3</v>
      </c>
      <c r="H23" s="549">
        <f t="shared" si="0"/>
        <v>0.623</v>
      </c>
      <c r="J23" s="655" t="str">
        <f>CONCATENATE("Impact On Keeping The Same Mill Rate As For ",I3-1,"")</f>
        <v>Impact On Keeping The Same Mill Rate As For 2011</v>
      </c>
      <c r="K23" s="660"/>
      <c r="L23" s="660"/>
      <c r="M23" s="661"/>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521.13</v>
      </c>
      <c r="C25" s="320"/>
      <c r="D25" s="136">
        <f>SUM(D23-D24)</f>
        <v>1030</v>
      </c>
      <c r="E25" s="320"/>
      <c r="F25" s="546">
        <f>SUM(F23-F24)</f>
        <v>1320</v>
      </c>
      <c r="G25" s="260"/>
      <c r="H25" s="319"/>
      <c r="J25" s="573" t="str">
        <f>CONCATENATE("",I3," Ad Valorem Tax Revenue:")</f>
        <v>2012 Ad Valorem Tax Revenue:</v>
      </c>
      <c r="K25" s="568"/>
      <c r="L25" s="568"/>
      <c r="M25" s="569">
        <f>G23</f>
        <v>794.3</v>
      </c>
    </row>
    <row r="26" spans="1:13" ht="16.5" thickTop="1">
      <c r="A26" s="35" t="s">
        <v>54</v>
      </c>
      <c r="B26" s="321">
        <f>inputPrYr!E44</f>
        <v>752</v>
      </c>
      <c r="C26" s="230"/>
      <c r="D26" s="321">
        <f>inputPrYr!E24</f>
        <v>789</v>
      </c>
      <c r="E26" s="230"/>
      <c r="F26" s="322" t="s">
        <v>178</v>
      </c>
      <c r="G26" s="18"/>
      <c r="H26" s="18"/>
      <c r="J26" s="573" t="str">
        <f>CONCATENATE("",I3-1," Ad Valorem Tax Revenue:")</f>
        <v>2011 Ad Valorem Tax Revenue:</v>
      </c>
      <c r="K26" s="568"/>
      <c r="L26" s="568"/>
      <c r="M26" s="582">
        <f>ROUND(F27*M18/1000,0)</f>
        <v>804</v>
      </c>
    </row>
    <row r="27" spans="1:13" ht="15.75">
      <c r="A27" s="35" t="s">
        <v>174</v>
      </c>
      <c r="B27" s="214">
        <f>inputPrYr!E45</f>
        <v>1247608</v>
      </c>
      <c r="C27" s="230"/>
      <c r="D27" s="214">
        <f>inputOth!E24</f>
        <v>1250882</v>
      </c>
      <c r="E27" s="230"/>
      <c r="F27" s="214">
        <f>inputOth!E7</f>
        <v>1274654</v>
      </c>
      <c r="G27" s="18"/>
      <c r="H27" s="18"/>
      <c r="J27" s="583" t="s">
        <v>692</v>
      </c>
      <c r="K27" s="584"/>
      <c r="L27" s="584"/>
      <c r="M27" s="572">
        <f>M25-M26</f>
        <v>-9.700000000000045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693</v>
      </c>
      <c r="K29" s="658"/>
      <c r="L29" s="658"/>
      <c r="M29" s="659"/>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0.623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750</v>
      </c>
      <c r="B40" s="624"/>
      <c r="C40" s="102"/>
      <c r="D40" s="18"/>
      <c r="E40" s="18"/>
      <c r="F40" s="18"/>
      <c r="G40" s="18"/>
      <c r="H40" s="54"/>
    </row>
    <row r="41" spans="1:8" ht="15.75">
      <c r="A41" s="311" t="s">
        <v>751</v>
      </c>
      <c r="B41" s="26"/>
      <c r="C41" s="18"/>
      <c r="D41" s="145" t="s">
        <v>44</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Pleasant Hill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1274654</v>
      </c>
      <c r="E16" s="18"/>
      <c r="F16" s="54"/>
    </row>
    <row r="17" spans="1:6" ht="15.75">
      <c r="A17" s="18"/>
      <c r="B17" s="18"/>
      <c r="C17" s="18"/>
      <c r="D17" s="18"/>
      <c r="E17" s="18"/>
      <c r="F17" s="54"/>
    </row>
    <row r="18" spans="1:6" ht="15.75">
      <c r="A18" s="18"/>
      <c r="B18" s="665" t="s">
        <v>328</v>
      </c>
      <c r="C18" s="665"/>
      <c r="D18" s="335">
        <f>IF(D16&gt;0,(D16*0.001),"")</f>
        <v>1274.654</v>
      </c>
      <c r="E18" s="18"/>
      <c r="F18" s="54"/>
    </row>
    <row r="19" spans="1:6" ht="15.75">
      <c r="A19" s="18"/>
      <c r="B19" s="145"/>
      <c r="C19" s="145"/>
      <c r="D19" s="336"/>
      <c r="E19" s="18"/>
      <c r="F19" s="54"/>
    </row>
    <row r="20" spans="1:6" ht="15.75">
      <c r="A20" s="662" t="s">
        <v>326</v>
      </c>
      <c r="B20" s="650"/>
      <c r="C20" s="650"/>
      <c r="D20" s="337">
        <f>inputOth!E12</f>
        <v>0</v>
      </c>
      <c r="E20" s="64"/>
      <c r="F20" s="64"/>
    </row>
    <row r="21" spans="1:6" ht="15">
      <c r="A21" s="64"/>
      <c r="B21" s="64"/>
      <c r="C21" s="64"/>
      <c r="D21" s="338"/>
      <c r="E21" s="64"/>
      <c r="F21" s="64"/>
    </row>
    <row r="22" spans="1:6" ht="15.7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142</v>
      </c>
      <c r="C1" s="674"/>
      <c r="D1" s="674"/>
      <c r="E1" s="674"/>
      <c r="F1" s="674"/>
      <c r="G1" s="674"/>
      <c r="H1" s="674"/>
    </row>
    <row r="2" spans="2:8" ht="15.75">
      <c r="B2" s="6"/>
      <c r="C2"/>
      <c r="D2"/>
      <c r="E2"/>
      <c r="F2"/>
      <c r="G2"/>
      <c r="H2"/>
    </row>
    <row r="3" spans="2:8" ht="15.75">
      <c r="B3" s="675" t="s">
        <v>139</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Hill Cemetery District with respect to financing the 2012 annual budget for Pleasant Hill Cemetery , Marshall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Pleasant Hill Cemetery district budget exceed the amount levied to finance the</v>
      </c>
      <c r="C9"/>
      <c r="D9"/>
      <c r="E9"/>
      <c r="F9"/>
      <c r="G9"/>
      <c r="H9"/>
    </row>
    <row r="10" spans="2:8" ht="15.75">
      <c r="B10" s="12" t="str">
        <f>CONCATENATE("",inputPrYr!D6-1," ",inputPrYr!D3," except with regard to revenue produced and attributable to the")</f>
        <v>2011 Pleasant Hill Cemetery except with regard to revenue produced and attributable to the</v>
      </c>
      <c r="C10"/>
      <c r="D10"/>
      <c r="E10"/>
      <c r="F10"/>
      <c r="G10"/>
      <c r="H10"/>
    </row>
    <row r="11" spans="2:8" ht="15.75">
      <c r="B11" s="671" t="s">
        <v>180</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151</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Pleasant Hill Cemetery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Hill Cemetery that is our desire to notify the public of the possibility of increased property taxes to finance the 2012 Pleasant Hill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Pleasant Hill Cemetery District Board, Marshall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Pleasant Hill Cemetery District Board</v>
      </c>
      <c r="C31"/>
      <c r="D31"/>
      <c r="E31"/>
      <c r="F31"/>
      <c r="G31"/>
      <c r="H31"/>
    </row>
    <row r="32" spans="2:8" ht="15.75">
      <c r="B32" s="8"/>
      <c r="C32"/>
      <c r="D32"/>
      <c r="E32"/>
      <c r="F32"/>
      <c r="G32"/>
      <c r="H32"/>
    </row>
    <row r="33" spans="2:8" ht="15.75">
      <c r="B33"/>
      <c r="C33"/>
      <c r="D33"/>
      <c r="E33" s="673" t="s">
        <v>140</v>
      </c>
      <c r="F33" s="673"/>
      <c r="G33" s="673"/>
      <c r="H33" s="673"/>
    </row>
    <row r="34" spans="2:8" ht="15.75">
      <c r="B34"/>
      <c r="C34"/>
      <c r="D34"/>
      <c r="E34" s="673" t="s">
        <v>143</v>
      </c>
      <c r="F34" s="673"/>
      <c r="G34" s="673"/>
      <c r="H34" s="673"/>
    </row>
    <row r="35" spans="2:8" ht="15.75">
      <c r="B35" s="8"/>
      <c r="C35"/>
      <c r="D35"/>
      <c r="E35" s="673"/>
      <c r="F35" s="673"/>
      <c r="G35" s="673"/>
      <c r="H35" s="673"/>
    </row>
    <row r="36" spans="2:8" ht="15.75">
      <c r="B36"/>
      <c r="C36"/>
      <c r="D36"/>
      <c r="E36" s="673" t="s">
        <v>140</v>
      </c>
      <c r="F36" s="673"/>
      <c r="G36" s="673"/>
      <c r="H36" s="673"/>
    </row>
    <row r="37" spans="2:8" ht="15.75">
      <c r="B37"/>
      <c r="C37"/>
      <c r="D37"/>
      <c r="E37" s="673" t="s">
        <v>144</v>
      </c>
      <c r="F37" s="673"/>
      <c r="G37" s="673"/>
      <c r="H37" s="673"/>
    </row>
    <row r="38" spans="2:8" ht="15.75">
      <c r="B38" s="8"/>
      <c r="C38"/>
      <c r="D38"/>
      <c r="E38" s="673"/>
      <c r="F38" s="673"/>
      <c r="G38" s="673"/>
      <c r="H38" s="673"/>
    </row>
    <row r="39" spans="2:8" ht="15.75">
      <c r="B39"/>
      <c r="C39"/>
      <c r="D39"/>
      <c r="E39" s="673" t="s">
        <v>140</v>
      </c>
      <c r="F39" s="673"/>
      <c r="G39" s="673"/>
      <c r="H39" s="673"/>
    </row>
    <row r="40" spans="2:8" ht="15.75">
      <c r="B40"/>
      <c r="C40"/>
      <c r="D40"/>
      <c r="E40" s="673" t="s">
        <v>145</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141</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1030</v>
      </c>
      <c r="E19" s="37">
        <v>789</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789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1030</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0.603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0.603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752</v>
      </c>
    </row>
    <row r="45" spans="1:5" ht="15.75">
      <c r="A45" s="51" t="str">
        <f>CONCATENATE("Assessed Valuation (",D6-2," budget column)")</f>
        <v>Assessed Valuation (2010 budget column)</v>
      </c>
      <c r="B45" s="29"/>
      <c r="C45" s="18"/>
      <c r="D45" s="18"/>
      <c r="E45" s="53">
        <v>1247608</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585</v>
      </c>
      <c r="C6" s="678"/>
      <c r="D6" s="678"/>
      <c r="E6" s="678"/>
      <c r="F6" s="678"/>
      <c r="G6" s="678"/>
      <c r="H6" s="678"/>
      <c r="I6" s="678"/>
      <c r="J6" s="678"/>
      <c r="K6" s="678"/>
      <c r="L6" s="440"/>
    </row>
    <row r="7" spans="1:12" ht="40.5" customHeight="1">
      <c r="A7" s="437"/>
      <c r="B7" s="679" t="s">
        <v>586</v>
      </c>
      <c r="C7" s="680"/>
      <c r="D7" s="680"/>
      <c r="E7" s="680"/>
      <c r="F7" s="680"/>
      <c r="G7" s="680"/>
      <c r="H7" s="680"/>
      <c r="I7" s="680"/>
      <c r="J7" s="680"/>
      <c r="K7" s="680"/>
      <c r="L7" s="437"/>
    </row>
    <row r="8" spans="1:12" ht="14.25">
      <c r="A8" s="437"/>
      <c r="B8" s="681" t="s">
        <v>587</v>
      </c>
      <c r="C8" s="681"/>
      <c r="D8" s="681"/>
      <c r="E8" s="681"/>
      <c r="F8" s="681"/>
      <c r="G8" s="681"/>
      <c r="H8" s="681"/>
      <c r="I8" s="681"/>
      <c r="J8" s="681"/>
      <c r="K8" s="681"/>
      <c r="L8" s="437"/>
    </row>
    <row r="9" spans="1:12" ht="14.25">
      <c r="A9" s="437"/>
      <c r="L9" s="437"/>
    </row>
    <row r="10" spans="1:12" ht="14.25">
      <c r="A10" s="437"/>
      <c r="B10" s="681" t="s">
        <v>588</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589</v>
      </c>
      <c r="C12" s="682"/>
      <c r="D12" s="682"/>
      <c r="E12" s="682"/>
      <c r="F12" s="682"/>
      <c r="G12" s="682"/>
      <c r="H12" s="682"/>
      <c r="I12" s="682"/>
      <c r="J12" s="682"/>
      <c r="K12" s="682"/>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3">
        <v>133685008</v>
      </c>
      <c r="G23" s="683"/>
      <c r="L23" s="437"/>
    </row>
    <row r="24" spans="1:12" ht="14.25">
      <c r="A24" s="437"/>
      <c r="L24" s="437"/>
    </row>
    <row r="25" spans="1:12" ht="14.25">
      <c r="A25" s="437"/>
      <c r="C25" s="684">
        <f>F23</f>
        <v>133685008</v>
      </c>
      <c r="D25" s="68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586</v>
      </c>
      <c r="C30" s="685"/>
      <c r="D30" s="685"/>
      <c r="E30" s="685"/>
      <c r="F30" s="685"/>
      <c r="G30" s="685"/>
      <c r="H30" s="685"/>
      <c r="I30" s="685"/>
      <c r="J30" s="685"/>
      <c r="K30" s="685"/>
      <c r="L30" s="437"/>
    </row>
    <row r="31" spans="1:12" ht="14.25">
      <c r="A31" s="437"/>
      <c r="B31" s="681" t="s">
        <v>600</v>
      </c>
      <c r="C31" s="681"/>
      <c r="D31" s="681"/>
      <c r="E31" s="681"/>
      <c r="F31" s="681"/>
      <c r="G31" s="681"/>
      <c r="H31" s="681"/>
      <c r="I31" s="681"/>
      <c r="J31" s="681"/>
      <c r="K31" s="681"/>
      <c r="L31" s="437"/>
    </row>
    <row r="32" spans="1:12" ht="14.25">
      <c r="A32" s="437"/>
      <c r="L32" s="437"/>
    </row>
    <row r="33" spans="1:12" ht="14.25">
      <c r="A33" s="437"/>
      <c r="B33" s="681" t="s">
        <v>601</v>
      </c>
      <c r="C33" s="681"/>
      <c r="D33" s="681"/>
      <c r="E33" s="681"/>
      <c r="F33" s="681"/>
      <c r="G33" s="681"/>
      <c r="H33" s="681"/>
      <c r="I33" s="681"/>
      <c r="J33" s="681"/>
      <c r="K33" s="681"/>
      <c r="L33" s="437"/>
    </row>
    <row r="34" spans="1:12" ht="14.25">
      <c r="A34" s="437"/>
      <c r="L34" s="437"/>
    </row>
    <row r="35" spans="1:12" ht="89.25" customHeight="1">
      <c r="A35" s="437"/>
      <c r="B35" s="682" t="s">
        <v>602</v>
      </c>
      <c r="C35" s="686"/>
      <c r="D35" s="686"/>
      <c r="E35" s="686"/>
      <c r="F35" s="686"/>
      <c r="G35" s="686"/>
      <c r="H35" s="686"/>
      <c r="I35" s="686"/>
      <c r="J35" s="686"/>
      <c r="K35" s="686"/>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87">
        <v>3120000</v>
      </c>
      <c r="D41" s="687"/>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3">
        <v>133685008</v>
      </c>
      <c r="C48" s="683"/>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88" t="s">
        <v>610</v>
      </c>
      <c r="H50" s="689"/>
      <c r="I50" s="450" t="s">
        <v>596</v>
      </c>
      <c r="J50" s="460">
        <f>B50/F50</f>
        <v>52.8690023342034</v>
      </c>
      <c r="K50" s="452"/>
      <c r="L50" s="437"/>
    </row>
    <row r="51" spans="1:15" ht="15" thickBot="1">
      <c r="A51" s="437"/>
      <c r="B51" s="453"/>
      <c r="C51" s="454"/>
      <c r="D51" s="454"/>
      <c r="E51" s="454"/>
      <c r="F51" s="454"/>
      <c r="G51" s="454"/>
      <c r="H51" s="454"/>
      <c r="I51" s="690" t="s">
        <v>611</v>
      </c>
      <c r="J51" s="690"/>
      <c r="K51" s="691"/>
      <c r="L51" s="437"/>
      <c r="O51" s="461"/>
    </row>
    <row r="52" spans="1:12" ht="40.5" customHeight="1">
      <c r="A52" s="437"/>
      <c r="B52" s="685" t="s">
        <v>586</v>
      </c>
      <c r="C52" s="685"/>
      <c r="D52" s="685"/>
      <c r="E52" s="685"/>
      <c r="F52" s="685"/>
      <c r="G52" s="685"/>
      <c r="H52" s="685"/>
      <c r="I52" s="685"/>
      <c r="J52" s="685"/>
      <c r="K52" s="685"/>
      <c r="L52" s="437"/>
    </row>
    <row r="53" spans="1:12" ht="14.25">
      <c r="A53" s="437"/>
      <c r="B53" s="681" t="s">
        <v>612</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613</v>
      </c>
      <c r="C55" s="677"/>
      <c r="D55" s="677"/>
      <c r="E55" s="677"/>
      <c r="F55" s="677"/>
      <c r="G55" s="677"/>
      <c r="H55" s="677"/>
      <c r="I55" s="677"/>
      <c r="J55" s="677"/>
      <c r="K55" s="677"/>
      <c r="L55" s="437"/>
    </row>
    <row r="56" spans="1:12" ht="15" customHeight="1">
      <c r="A56" s="437"/>
      <c r="L56" s="437"/>
    </row>
    <row r="57" spans="1:24" ht="74.25" customHeight="1">
      <c r="A57" s="437"/>
      <c r="B57" s="682" t="s">
        <v>614</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3">
        <v>133685008</v>
      </c>
      <c r="D74" s="683"/>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3">
        <v>5000</v>
      </c>
      <c r="D77" s="683"/>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3">
        <v>100000</v>
      </c>
      <c r="D80" s="683"/>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2">
        <f>H80</f>
        <v>11500</v>
      </c>
      <c r="D83" s="692"/>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586</v>
      </c>
      <c r="C85" s="685"/>
      <c r="D85" s="685"/>
      <c r="E85" s="685"/>
      <c r="F85" s="685"/>
      <c r="G85" s="685"/>
      <c r="H85" s="685"/>
      <c r="I85" s="685"/>
      <c r="J85" s="685"/>
      <c r="K85" s="685"/>
      <c r="L85" s="437"/>
    </row>
    <row r="86" spans="1:12" ht="14.25">
      <c r="A86" s="437"/>
      <c r="B86" s="677" t="s">
        <v>634</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635</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636</v>
      </c>
      <c r="C90" s="682"/>
      <c r="D90" s="682"/>
      <c r="E90" s="682"/>
      <c r="F90" s="682"/>
      <c r="G90" s="682"/>
      <c r="H90" s="682"/>
      <c r="I90" s="682"/>
      <c r="J90" s="682"/>
      <c r="K90" s="682"/>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3">
        <v>133685008</v>
      </c>
      <c r="D94" s="683"/>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3">
        <v>50000</v>
      </c>
      <c r="D97" s="683"/>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3">
        <v>2500000</v>
      </c>
      <c r="D100" s="683"/>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2">
        <f>H100</f>
        <v>750000</v>
      </c>
      <c r="D103" s="692"/>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586</v>
      </c>
      <c r="C105" s="693"/>
      <c r="D105" s="693"/>
      <c r="E105" s="693"/>
      <c r="F105" s="693"/>
      <c r="G105" s="693"/>
      <c r="H105" s="693"/>
      <c r="I105" s="693"/>
      <c r="J105" s="693"/>
      <c r="K105" s="693"/>
      <c r="L105" s="437"/>
    </row>
    <row r="106" spans="1:12" ht="15" customHeight="1">
      <c r="A106" s="437"/>
      <c r="B106" s="694" t="s">
        <v>638</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3">
        <v>133685008</v>
      </c>
      <c r="D114" s="683"/>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3">
        <v>50000</v>
      </c>
      <c r="D117" s="683"/>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3">
        <v>2500000</v>
      </c>
      <c r="D120" s="683"/>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2">
        <f>H120</f>
        <v>625000</v>
      </c>
      <c r="D123" s="692"/>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586</v>
      </c>
      <c r="C125" s="685"/>
      <c r="D125" s="685"/>
      <c r="E125" s="685"/>
      <c r="F125" s="685"/>
      <c r="G125" s="685"/>
      <c r="H125" s="685"/>
      <c r="I125" s="685"/>
      <c r="J125" s="685"/>
      <c r="K125" s="685"/>
      <c r="L125" s="492"/>
    </row>
    <row r="126" spans="1:12" ht="14.25">
      <c r="A126" s="437"/>
      <c r="B126" s="677" t="s">
        <v>641</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642</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643</v>
      </c>
      <c r="C130" s="682"/>
      <c r="D130" s="682"/>
      <c r="E130" s="682"/>
      <c r="F130" s="682"/>
      <c r="G130" s="682"/>
      <c r="H130" s="682"/>
      <c r="I130" s="682"/>
      <c r="J130" s="682"/>
      <c r="K130" s="682"/>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97" t="s">
        <v>644</v>
      </c>
      <c r="D133" s="697"/>
      <c r="E133" s="449"/>
      <c r="F133" s="450" t="s">
        <v>645</v>
      </c>
      <c r="G133" s="449"/>
      <c r="H133" s="697" t="s">
        <v>630</v>
      </c>
      <c r="I133" s="697"/>
      <c r="J133" s="449"/>
      <c r="K133" s="452"/>
      <c r="L133" s="437"/>
    </row>
    <row r="134" spans="1:12" ht="14.25">
      <c r="A134" s="437"/>
      <c r="B134" s="458" t="s">
        <v>623</v>
      </c>
      <c r="C134" s="683">
        <v>100000</v>
      </c>
      <c r="D134" s="683"/>
      <c r="E134" s="450" t="s">
        <v>28</v>
      </c>
      <c r="F134" s="450">
        <v>0.115</v>
      </c>
      <c r="G134" s="450" t="s">
        <v>596</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630</v>
      </c>
      <c r="D136" s="699"/>
      <c r="E136" s="469"/>
      <c r="F136" s="470" t="s">
        <v>646</v>
      </c>
      <c r="G136" s="470"/>
      <c r="H136" s="469"/>
      <c r="I136" s="469"/>
      <c r="J136" s="469" t="s">
        <v>647</v>
      </c>
      <c r="K136" s="471"/>
      <c r="L136" s="437"/>
    </row>
    <row r="137" spans="1:12" ht="14.25">
      <c r="A137" s="437"/>
      <c r="B137" s="458" t="s">
        <v>626</v>
      </c>
      <c r="C137" s="698">
        <f>H134</f>
        <v>11500</v>
      </c>
      <c r="D137" s="69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650</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98" t="s">
        <v>651</v>
      </c>
      <c r="D147" s="698"/>
      <c r="E147" s="450"/>
      <c r="F147" s="510" t="s">
        <v>652</v>
      </c>
      <c r="G147" s="450"/>
      <c r="H147" s="450"/>
      <c r="I147" s="450"/>
      <c r="J147" s="703" t="s">
        <v>653</v>
      </c>
      <c r="K147" s="704"/>
      <c r="L147" s="437"/>
    </row>
    <row r="148" spans="1:12" ht="14.25">
      <c r="A148" s="437"/>
      <c r="B148" s="458"/>
      <c r="C148" s="705">
        <v>52.869</v>
      </c>
      <c r="D148" s="705"/>
      <c r="E148" s="450" t="s">
        <v>28</v>
      </c>
      <c r="F148" s="515">
        <v>133685008</v>
      </c>
      <c r="G148" s="516" t="s">
        <v>597</v>
      </c>
      <c r="H148" s="450">
        <v>1000</v>
      </c>
      <c r="I148" s="450" t="s">
        <v>596</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4">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Pleasant Hill Cemetery</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1274654</v>
      </c>
    </row>
    <row r="8" spans="1:5" ht="15.75">
      <c r="A8" s="68" t="str">
        <f>CONCATENATE("New Improvements for ",inputPrYr!D6-1,"")</f>
        <v>New Improvements for 2011</v>
      </c>
      <c r="B8" s="69"/>
      <c r="C8" s="69"/>
      <c r="D8" s="69"/>
      <c r="E8" s="70">
        <v>6196</v>
      </c>
    </row>
    <row r="9" spans="1:5" ht="15.75">
      <c r="A9" s="68" t="str">
        <f>CONCATENATE("Personal Property excluding oil, gas, and mobile homes- ",inputPrYr!D6-1,"")</f>
        <v>Personal Property excluding oil, gas, and mobile homes- 2011</v>
      </c>
      <c r="B9" s="69"/>
      <c r="C9" s="69"/>
      <c r="D9" s="69"/>
      <c r="E9" s="70">
        <v>36621</v>
      </c>
    </row>
    <row r="10" spans="1:5" ht="15.75">
      <c r="A10" s="68" t="str">
        <f>CONCATENATE("Property that has changed in use for ",inputPrYr!D6-1,"")</f>
        <v>Property that has changed in use for 2011</v>
      </c>
      <c r="B10" s="69"/>
      <c r="C10" s="69"/>
      <c r="D10" s="69"/>
      <c r="E10" s="70">
        <v>1571</v>
      </c>
    </row>
    <row r="11" spans="1:5" ht="15.75">
      <c r="A11" s="67" t="str">
        <f>CONCATENATE("Personal Property excluding oil, gas, and mobile homes- ",inputPrYr!D6-2,"")</f>
        <v>Personal Property excluding oil, gas, and mobile homes- 2010</v>
      </c>
      <c r="B11" s="42"/>
      <c r="C11" s="42"/>
      <c r="D11" s="42"/>
      <c r="E11" s="70">
        <v>33632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0.631</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0.631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1250882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71.06</v>
      </c>
    </row>
    <row r="28" spans="1:5" ht="15.75">
      <c r="A28" s="68" t="s">
        <v>15</v>
      </c>
      <c r="B28" s="69"/>
      <c r="C28" s="69"/>
      <c r="D28" s="86"/>
      <c r="E28" s="37">
        <v>0.56</v>
      </c>
    </row>
    <row r="29" spans="1:5" ht="15.75">
      <c r="A29" s="68" t="s">
        <v>175</v>
      </c>
      <c r="B29" s="69"/>
      <c r="C29" s="69"/>
      <c r="D29" s="86"/>
      <c r="E29" s="37">
        <v>36.81</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975</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J28" sqref="J28"/>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747</v>
      </c>
      <c r="C5" s="370"/>
      <c r="D5" s="368" t="s">
        <v>739</v>
      </c>
      <c r="E5" s="366"/>
      <c r="F5" s="366"/>
    </row>
    <row r="6" spans="1:6" ht="15.75">
      <c r="A6" s="368"/>
      <c r="B6" s="371"/>
      <c r="C6" s="372"/>
      <c r="D6" s="368" t="s">
        <v>738</v>
      </c>
      <c r="E6" s="366"/>
      <c r="F6" s="366"/>
    </row>
    <row r="7" spans="1:6" ht="15.75">
      <c r="A7" s="368" t="s">
        <v>331</v>
      </c>
      <c r="B7" s="369" t="s">
        <v>748</v>
      </c>
      <c r="C7" s="373"/>
      <c r="D7" s="368"/>
      <c r="E7" s="366"/>
      <c r="F7" s="366"/>
    </row>
    <row r="8" spans="1:6" ht="15.75">
      <c r="A8" s="368"/>
      <c r="B8" s="368"/>
      <c r="C8" s="368"/>
      <c r="D8" s="368"/>
      <c r="E8" s="366"/>
      <c r="F8" s="366"/>
    </row>
    <row r="9" spans="1:6" ht="15.75">
      <c r="A9" s="368" t="s">
        <v>332</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749</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81</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Marshall County , State of Kansas</v>
      </c>
      <c r="B4" s="616"/>
      <c r="C4" s="616"/>
      <c r="D4" s="616"/>
      <c r="E4" s="616"/>
      <c r="F4" s="616"/>
      <c r="G4" s="616"/>
    </row>
    <row r="5" spans="1:7" ht="15.75">
      <c r="A5" s="100" t="s">
        <v>158</v>
      </c>
      <c r="B5" s="26"/>
      <c r="C5" s="26"/>
      <c r="D5" s="26"/>
      <c r="E5" s="26"/>
      <c r="F5" s="26"/>
      <c r="G5" s="26"/>
    </row>
    <row r="6" spans="1:7" ht="15.75">
      <c r="A6" s="598" t="str">
        <f>inputPrYr!D3</f>
        <v>Pleasant Hill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221</v>
      </c>
      <c r="F15" s="620" t="str">
        <f>CONCATENATE("Amount of ",G3-1," Ad Valorem Tax")</f>
        <v>Amount of 2011 Ad Valorem Tax</v>
      </c>
      <c r="G15" s="106" t="s">
        <v>21</v>
      </c>
    </row>
    <row r="16" spans="1:7" ht="15.75">
      <c r="A16" s="17" t="s">
        <v>22</v>
      </c>
      <c r="B16" s="18"/>
      <c r="C16" s="18"/>
      <c r="D16" s="108" t="s">
        <v>23</v>
      </c>
      <c r="E16" s="108" t="s">
        <v>579</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1320</v>
      </c>
      <c r="F23" s="124">
        <f>IF(gen!$E$57&lt;&gt;0,gen!$E$57,"  ")</f>
        <v>794.3</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136</v>
      </c>
      <c r="B30" s="69"/>
      <c r="C30" s="119"/>
      <c r="D30" s="135" t="s">
        <v>28</v>
      </c>
      <c r="E30" s="414">
        <f>SUM(E23:E28)</f>
        <v>1320</v>
      </c>
      <c r="F30" s="415">
        <f>SUM(F23:F28)</f>
        <v>794.3</v>
      </c>
      <c r="G30" s="419">
        <f>IF(SUM(G23:G28)=0,"",SUM(G23:G28))</f>
      </c>
    </row>
    <row r="31" spans="1:7" ht="15.75">
      <c r="A31" s="122" t="s">
        <v>209</v>
      </c>
      <c r="B31" s="69"/>
      <c r="C31" s="119"/>
      <c r="D31" s="138">
        <f>summ!E41</f>
        <v>7</v>
      </c>
      <c r="E31" s="142" t="s">
        <v>204</v>
      </c>
      <c r="F31" s="418" t="str">
        <f>IF(F30&gt;computation!J34,"Yes","No")</f>
        <v>No</v>
      </c>
      <c r="G31" s="420" t="s">
        <v>138</v>
      </c>
    </row>
    <row r="32" spans="1:7" ht="15.75">
      <c r="A32" s="122" t="s">
        <v>228</v>
      </c>
      <c r="B32" s="140"/>
      <c r="C32" s="141"/>
      <c r="D32" s="138">
        <f>IF(Nhood!C35=0,"",Nhood!C35)</f>
      </c>
      <c r="E32" s="416"/>
      <c r="F32" s="71"/>
      <c r="G32" s="147"/>
    </row>
    <row r="33" spans="1:7" ht="15.75">
      <c r="A33" s="143" t="s">
        <v>203</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Pleasant Hill Cemetery</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789</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789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6196</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36621</v>
      </c>
      <c r="F14" s="156"/>
      <c r="G14" s="39"/>
      <c r="H14" s="39"/>
      <c r="I14" s="159"/>
      <c r="J14" s="39"/>
    </row>
    <row r="15" spans="1:10" ht="15.75">
      <c r="A15" s="155"/>
      <c r="B15" s="18" t="s">
        <v>101</v>
      </c>
      <c r="C15" s="18" t="str">
        <f>CONCATENATE("Personal Property ",J1-2,"")</f>
        <v>Personal Property 2010</v>
      </c>
      <c r="D15" s="155" t="s">
        <v>97</v>
      </c>
      <c r="E15" s="43">
        <f>inputOth!E11</f>
        <v>33632</v>
      </c>
      <c r="F15" s="156"/>
      <c r="G15" s="159"/>
      <c r="H15" s="159"/>
      <c r="I15" s="39"/>
      <c r="J15" s="39"/>
    </row>
    <row r="16" spans="1:10" ht="15.75">
      <c r="A16" s="155"/>
      <c r="B16" s="18" t="s">
        <v>102</v>
      </c>
      <c r="C16" s="18" t="s">
        <v>116</v>
      </c>
      <c r="D16" s="18"/>
      <c r="E16" s="39"/>
      <c r="F16" s="39" t="s">
        <v>94</v>
      </c>
      <c r="G16" s="158">
        <f>IF(E14&gt;E15,E14-E15,0)</f>
        <v>2989</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1571</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10756</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1274654</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1263898</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0.008510180410128033</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7</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796</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796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Hill Cemetery</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789</v>
      </c>
      <c r="D11" s="128">
        <f>IF(E17=0,0,E17-D12-D13-D14)</f>
        <v>71.06</v>
      </c>
      <c r="E11" s="128">
        <f>IF(E19=0,0,E19-E12-E13-E14)</f>
        <v>0.56</v>
      </c>
      <c r="F11" s="128">
        <f>IF(E21=0,0,E21-F12-F13-F14)</f>
        <v>36.81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789</v>
      </c>
      <c r="D15" s="137">
        <f>SUM(D11:D14)</f>
        <v>71.06</v>
      </c>
      <c r="E15" s="137">
        <f>SUM(E11:E14)</f>
        <v>0.56</v>
      </c>
      <c r="F15" s="137">
        <f>SUM(F11:F14)</f>
        <v>36.81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71.06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0.56</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36.81</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0.09006337135614702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0.0007097591888466414</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0.046653992395437265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Pleasant Hill Cemetery</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5" t="s">
        <v>147</v>
      </c>
      <c r="B5" s="615"/>
      <c r="C5" s="615"/>
      <c r="D5" s="615"/>
      <c r="E5" s="615"/>
      <c r="F5" s="615"/>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2011-07-20T19:01:22Z</cp:lastPrinted>
  <dcterms:created xsi:type="dcterms:W3CDTF">1999-08-06T13:59:57Z</dcterms:created>
  <dcterms:modified xsi:type="dcterms:W3CDTF">2011-08-16T16:47:27Z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