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<sst xmlns="http://schemas.openxmlformats.org/spreadsheetml/2006/main" count="1119" uniqueCount="757">
  <si>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</si>
  <si>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</si>
  <si>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</si>
  <si>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</si>
  <si>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</si>
  <si>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</si>
  <si>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</si>
  <si>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</si>
  <si>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</si>
  <si>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</si>
  <si>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</si>
  <si>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</si>
  <si>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</si>
  <si>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</si>
  <si>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</si>
  <si>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</si>
  <si>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</si>
  <si>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</si>
  <si>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</si>
  <si>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</si>
  <si>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</si>
  <si>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</si>
  <si>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</si>
  <si>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</si>
  <si>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</si>
  <si>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</si>
  <si>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</si>
  <si>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</si>
  <si>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</si>
  <si>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</si>
  <si>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</si>
  <si>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</si>
  <si>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</si>
  <si>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</si>
  <si>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</si>
  <si>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</si>
  <si>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</si>
  <si>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</si>
  <si>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</si>
  <si>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</si>
  <si>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</si>
  <si>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</si>
  <si>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</si>
  <si>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</si>
  <si>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</si>
  <si>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</si>
  <si>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</si>
  <si>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</si>
  <si>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</si>
  <si>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</si>
  <si>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</si>
  <si>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</si>
  <si>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</si>
  <si>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</si>
  <si>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</si>
  <si>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</si>
  <si>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</si>
  <si>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</si>
  <si>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</si>
  <si>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</si>
  <si>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</si>
  <si>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</si>
  <si>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</si>
  <si>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</si>
  <si>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</si>
  <si>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</si>
  <si>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</si>
  <si>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</si>
  <si>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</si>
  <si>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</si>
  <si>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</si>
  <si>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</si>
  <si>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</si>
  <si>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</si>
  <si>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</si>
  <si>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</si>
  <si>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</si>
  <si>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</si>
  <si>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</si>
  <si>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</si>
  <si>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</si>
  <si>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</si>
  <si>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</si>
  <si>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</si>
  <si>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</si>
  <si>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</si>
  <si>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</si>
  <si>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</si>
  <si>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</si>
  <si>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</si>
  <si>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</si>
  <si>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</si>
  <si>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</si>
  <si>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</si>
  <si>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</si>
  <si>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</si>
  <si>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</si>
  <si>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</si>
  <si>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</si>
  <si>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</si>
  <si>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</si>
  <si>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</si>
  <si>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</si>
  <si>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</si>
  <si>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</si>
  <si>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</si>
  <si>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</si>
  <si>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</si>
  <si>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</si>
  <si>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</si>
  <si>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</si>
  <si>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</si>
  <si>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</si>
  <si>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</si>
  <si>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</si>
  <si>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</si>
  <si>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</si>
  <si>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</si>
  <si>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</si>
  <si>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</si>
  <si>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</si>
  <si>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</si>
  <si>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</si>
  <si>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</si>
  <si>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</si>
  <si>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</si>
  <si>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</si>
  <si>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</si>
  <si>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</si>
  <si>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</si>
  <si>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</si>
  <si>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</si>
  <si>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</si>
  <si>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</si>
  <si>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</si>
  <si>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</si>
  <si>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</si>
  <si>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</si>
  <si>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</si>
  <si>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</si>
  <si>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</si>
  <si>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</si>
  <si>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</si>
  <si>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</si>
  <si>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</si>
  <si>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</si>
  <si>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</si>
  <si>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</si>
  <si>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</si>
  <si>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</si>
  <si>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</si>
  <si>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</si>
  <si>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</si>
  <si>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</si>
  <si>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</si>
  <si>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</si>
  <si>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</si>
  <si>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</si>
  <si>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</si>
  <si>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</si>
  <si>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</si>
  <si>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</si>
  <si>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</si>
  <si>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</si>
  <si>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</si>
  <si>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</si>
  <si>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</si>
  <si>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</si>
  <si>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</si>
  <si>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</si>
  <si>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</si>
  <si>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</si>
  <si>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</si>
  <si>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</si>
  <si>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</si>
  <si>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</si>
  <si>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</si>
  <si>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</si>
  <si>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</si>
  <si>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</si>
  <si>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</si>
  <si>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</si>
  <si>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</si>
  <si>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</si>
  <si>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</si>
  <si>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</si>
  <si>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</si>
  <si>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</si>
  <si>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</si>
  <si>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</si>
  <si>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</si>
  <si>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</si>
  <si>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</si>
  <si>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</si>
  <si>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</si>
  <si>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</si>
  <si>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</si>
  <si>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</si>
  <si>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</si>
  <si>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</si>
  <si>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</si>
  <si>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</si>
  <si>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</si>
  <si>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</si>
  <si>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</si>
  <si>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</si>
  <si>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</si>
  <si>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</si>
  <si>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</si>
  <si>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</si>
  <si>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</si>
  <si>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</si>
  <si>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</si>
  <si>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</si>
  <si>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</si>
  <si>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</si>
  <si>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</si>
  <si>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</si>
  <si>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</si>
  <si>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</si>
  <si>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</si>
  <si>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</si>
  <si>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</si>
  <si>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</si>
  <si>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</si>
  <si>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</si>
  <si>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</si>
  <si>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</si>
  <si>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</si>
  <si>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</si>
  <si>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</si>
  <si>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</si>
  <si>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</si>
  <si>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</si>
  <si>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</si>
  <si>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</si>
  <si>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</si>
  <si>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</si>
  <si>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</si>
  <si>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</si>
  <si>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</si>
  <si>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</si>
  <si>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</si>
  <si>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</si>
  <si>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</si>
  <si>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</si>
  <si>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</si>
  <si>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</si>
  <si>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</si>
  <si>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</si>
  <si>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</si>
  <si>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</si>
  <si>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</si>
  <si>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</si>
  <si>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</si>
  <si>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</si>
  <si>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</si>
  <si>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</si>
  <si>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</si>
  <si>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</si>
  <si>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</si>
  <si>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</si>
  <si>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</si>
  <si>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</si>
  <si>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</si>
  <si>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</si>
  <si>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</si>
  <si>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</si>
  <si>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</si>
  <si>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</si>
  <si>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</si>
  <si>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</si>
  <si>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</si>
  <si>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</si>
  <si>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</si>
  <si>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</si>
  <si>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</si>
  <si>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</si>
  <si>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</si>
  <si>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</si>
  <si>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</si>
  <si>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</si>
  <si>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</si>
  <si>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</si>
  <si>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</si>
  <si>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</si>
  <si>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</si>
  <si>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</si>
  <si>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</si>
  <si>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</si>
  <si>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</si>
  <si>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</si>
  <si>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</si>
  <si>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</si>
  <si>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</si>
  <si>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</si>
  <si>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</si>
  <si>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</si>
  <si>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</si>
  <si>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</si>
  <si>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</si>
  <si>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</si>
  <si>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</si>
  <si>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</si>
  <si>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</si>
  <si>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</si>
  <si>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</si>
  <si>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</si>
  <si>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</si>
  <si>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</si>
  <si>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</si>
  <si>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</si>
  <si>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</si>
  <si>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</si>
  <si>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</si>
  <si>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</si>
  <si>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</si>
  <si>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</si>
  <si>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</si>
  <si>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</si>
  <si>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</si>
  <si>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</si>
  <si>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</si>
  <si>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</si>
  <si>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</si>
  <si>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</si>
  <si>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</si>
  <si>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</si>
  <si>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</si>
  <si>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</si>
  <si>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</si>
  <si>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</si>
  <si>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</si>
  <si>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</si>
  <si>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</si>
  <si>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</si>
  <si>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</si>
  <si>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</si>
  <si>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</si>
  <si>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</si>
  <si>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</si>
  <si>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</si>
  <si>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</si>
  <si>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</si>
  <si>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</si>
  <si>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</si>
  <si>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</si>
  <si>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</si>
  <si>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</si>
  <si>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</si>
  <si>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</si>
  <si>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</si>
  <si>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</si>
  <si>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</si>
  <si>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</si>
  <si>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</si>
  <si>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</si>
  <si>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</si>
  <si>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</si>
  <si>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</si>
  <si>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</si>
  <si>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</si>
  <si>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</si>
  <si>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</si>
  <si>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</si>
  <si>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</si>
  <si>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</si>
  <si>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</si>
  <si>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</si>
  <si>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</si>
  <si>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</si>
  <si>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</si>
  <si>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</si>
  <si>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</si>
  <si>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</si>
  <si>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</si>
  <si>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</si>
  <si>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</si>
  <si>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</si>
  <si>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</si>
  <si>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</si>
  <si>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</si>
  <si>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</si>
  <si>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</si>
  <si>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</si>
  <si>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</si>
  <si>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</si>
  <si>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</si>
  <si>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</si>
  <si>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</si>
  <si>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</si>
  <si>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</si>
  <si>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</si>
  <si>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</si>
  <si>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</si>
  <si>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</si>
  <si>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</si>
  <si>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</si>
  <si>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</si>
  <si>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</si>
  <si>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</si>
  <si>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</si>
  <si>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</si>
  <si>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</si>
  <si>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</si>
  <si>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</si>
  <si>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</si>
  <si>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</si>
  <si>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</si>
  <si>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</si>
  <si>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</si>
  <si>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</si>
  <si>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</si>
  <si>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</si>
  <si>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</si>
  <si>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</si>
  <si>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</si>
  <si>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</si>
  <si>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</si>
  <si>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</si>
  <si>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</si>
  <si>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</si>
  <si>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</si>
  <si>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</si>
  <si>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</si>
  <si>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</si>
  <si>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</si>
  <si>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</si>
  <si>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</si>
  <si>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</si>
  <si>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</si>
  <si>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</si>
  <si>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</si>
  <si>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</si>
  <si>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</si>
  <si>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</si>
  <si>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</si>
  <si>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</si>
  <si>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</si>
  <si>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</si>
  <si>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</si>
  <si>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</si>
  <si>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</si>
  <si>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</si>
  <si>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</si>
  <si>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</si>
  <si>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</si>
  <si>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</si>
  <si>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</si>
  <si>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</si>
  <si>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</si>
  <si>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</si>
  <si>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</si>
  <si>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</si>
  <si>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</si>
  <si>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</si>
  <si>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</si>
  <si>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</si>
  <si>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</si>
  <si>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</si>
  <si>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</si>
  <si>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</si>
  <si>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</si>
  <si>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</si>
  <si>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</si>
  <si>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</si>
  <si>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</si>
  <si>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</si>
  <si>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</si>
  <si>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</si>
  <si>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</si>
  <si>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</si>
  <si>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</si>
  <si>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</si>
  <si>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</si>
  <si>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</si>
  <si>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</si>
  <si>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</si>
  <si>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</si>
  <si>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</si>
  <si>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</si>
  <si>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</si>
  <si>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</si>
  <si>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</si>
  <si>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</si>
  <si>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</si>
  <si>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</si>
  <si>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</si>
  <si>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</si>
  <si>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</si>
  <si>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</si>
  <si>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</si>
  <si>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</si>
  <si>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</si>
  <si>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</si>
  <si>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</si>
  <si>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</si>
  <si>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</si>
  <si>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</si>
  <si>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</si>
  <si>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</si>
  <si>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</si>
  <si>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</si>
  <si>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</si>
  <si>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</si>
  <si>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</si>
  <si>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</si>
  <si>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</si>
  <si>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</si>
  <si>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</si>
  <si>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</si>
  <si>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</si>
  <si>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</si>
  <si>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</si>
  <si>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</si>
  <si>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</si>
  <si>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</si>
  <si>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</si>
  <si>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</si>
  <si>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</si>
  <si>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</si>
  <si>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</si>
  <si>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</si>
  <si>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</si>
  <si>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</si>
  <si>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</si>
  <si>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</si>
  <si>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</si>
  <si>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</si>
  <si>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</si>
  <si>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</si>
  <si>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</si>
  <si>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</si>
  <si>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</si>
  <si>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</si>
  <si>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</si>
  <si>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</si>
  <si>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</si>
  <si>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</si>
  <si>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</si>
  <si>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</si>
  <si>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</si>
  <si>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</si>
  <si>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</si>
  <si>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</si>
  <si>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</si>
  <si>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</si>
  <si>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</si>
  <si>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</si>
  <si>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</si>
  <si>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</si>
  <si>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</si>
  <si>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</si>
  <si>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</si>
  <si>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</si>
  <si>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</si>
  <si>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</si>
  <si>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</si>
  <si>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</si>
  <si>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</si>
  <si>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</si>
  <si>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</si>
  <si>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</si>
  <si>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</si>
  <si>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</si>
  <si>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</si>
  <si>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</si>
  <si>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</si>
  <si>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</si>
  <si>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</si>
  <si>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</si>
  <si>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</si>
  <si>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</si>
  <si>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</si>
  <si>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</si>
  <si>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</si>
  <si>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</si>
  <si>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</si>
  <si>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</si>
  <si>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</si>
  <si>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</si>
  <si>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</si>
  <si>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</si>
  <si>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</si>
  <si>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</si>
  <si>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</si>
  <si>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</si>
  <si>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</si>
  <si>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</si>
  <si>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</si>
  <si>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</si>
  <si>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</si>
  <si>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</si>
  <si>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</si>
  <si>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</si>
  <si>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</si>
  <si>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</si>
  <si>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</si>
  <si>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</si>
  <si>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</si>
  <si>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</si>
  <si>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</si>
  <si>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</si>
  <si>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</si>
  <si>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</si>
  <si>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</si>
  <si>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</si>
  <si>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</si>
  <si>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</si>
  <si>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</si>
  <si>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</si>
  <si>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</si>
  <si>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</si>
  <si>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</si>
  <si>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</si>
  <si>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</si>
  <si>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</si>
  <si>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</si>
  <si>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</si>
  <si>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</si>
  <si>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</si>
  <si>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</si>
  <si>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</si>
  <si>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</si>
  <si>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</si>
  <si>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</si>
  <si>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</si>
  <si>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</si>
  <si>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</si>
  <si>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</si>
  <si>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</si>
  <si>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</si>
  <si>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</si>
  <si>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</si>
  <si>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</si>
  <si>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</si>
  <si>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</si>
  <si>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</si>
  <si>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</si>
  <si>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</si>
  <si>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</si>
  <si>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</si>
  <si>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</si>
  <si>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</si>
  <si>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</si>
  <si>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</si>
  <si>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</si>
  <si>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</si>
  <si>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</si>
  <si>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</si>
  <si>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</si>
  <si>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</si>
  <si>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</si>
  <si>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</si>
  <si>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</si>
  <si>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</si>
  <si>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</si>
  <si>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</si>
  <si>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</si>
  <si>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</si>
  <si>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</si>
  <si>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</si>
  <si>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</si>
  <si>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</si>
  <si>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</si>
  <si>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</si>
  <si>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</si>
  <si>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</si>
  <si>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</si>
  <si>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</si>
  <si>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</si>
  <si>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</si>
  <si>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</si>
  <si>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</si>
  <si>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</si>
  <si>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</si>
  <si>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</si>
  <si>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</si>
  <si>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</si>
  <si>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</si>
  <si>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</si>
  <si>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</si>
  <si>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</si>
  <si>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</si>
  <si>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</si>
  <si>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</si>
  <si>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</si>
  <si>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</si>
  <si>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</si>
  <si>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</si>
  <si>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</si>
  <si>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</si>
  <si>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</si>
  <si>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</si>
  <si>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</si>
  <si>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</si>
  <si>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</si>
  <si>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</si>
  <si>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</si>
  <si>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</si>
  <si>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</si>
  <si>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</si>
  <si>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</si>
  <si>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</si>
  <si>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</si>
  <si>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</si>
  <si>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</si>
  <si>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</si>
  <si>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</si>
  <si>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</si>
  <si>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</si>
  <si>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</si>
  <si>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</si>
  <si>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</si>
  <si>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</si>
  <si>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</si>
  <si>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</si>
  <si>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</si>
  <si>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</si>
  <si>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</si>
  <si>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</si>
  <si>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</si>
  <si>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</si>
  <si>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</si>
  <si>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</si>
  <si>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</si>
  <si>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</si>
  <si>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</si>
  <si>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</si>
  <si>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</si>
  <si>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</si>
  <si>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</si>
  <si>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</si>
  <si>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</si>
  <si>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</si>
  <si>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</si>
  <si>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</si>
  <si>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</si>
  <si>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</si>
  <si>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</si>
  <si>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</si>
  <si>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</si>
  <si>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</si>
  <si>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Afton Cemetery</t>
  </si>
  <si>
    <t xml:space="preserve">Marshall County </t>
  </si>
  <si>
    <t>10-1015</t>
  </si>
  <si>
    <t>Perpetual Care</t>
  </si>
  <si>
    <t>Operating Cost</t>
  </si>
  <si>
    <t>Transfer to Perpetual Care</t>
  </si>
  <si>
    <t xml:space="preserve">General </t>
  </si>
  <si>
    <t>Transfer from Gen</t>
  </si>
  <si>
    <t>August 31, 2011</t>
  </si>
  <si>
    <t>8:00 p.m.</t>
  </si>
  <si>
    <t xml:space="preserve">134 Pheasant Rd., Waterville, KS </t>
  </si>
  <si>
    <t>Don Frohberg</t>
  </si>
  <si>
    <t>Treasurer</t>
  </si>
  <si>
    <t>Afton Parish Hall</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</si>
</sst>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79</v>
      </c>
      <c r="B1" s="348"/>
    </row>
    <row r="2" spans="1:2" ht="15.75">
      <c r="A2" s="347"/>
      <c r="B2" s="348"/>
    </row>
    <row r="3" ht="35.25" customHeight="1">
      <c r="A3" s="349" t="s">
        <v>182</v>
      </c>
    </row>
    <row r="4" ht="15.75">
      <c r="A4" s="350"/>
    </row>
    <row r="5" ht="15.75">
      <c r="A5" s="350" t="s">
        <v>237</v>
      </c>
    </row>
    <row r="6" ht="15.75">
      <c r="A6" s="350"/>
    </row>
    <row r="7" ht="57.75" customHeight="1">
      <c r="A7" s="351" t="s">
        <v>276</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277</v>
      </c>
    </row>
    <row r="16" ht="15.75">
      <c r="A16" s="352" t="s">
        <v>5</v>
      </c>
    </row>
    <row r="17" ht="15.75">
      <c r="A17" s="153"/>
    </row>
    <row r="18" ht="15.7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75">
      <c r="A25" s="153"/>
    </row>
    <row r="26" ht="15.7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Afton Cemetery</v>
      </c>
      <c r="B1" s="18"/>
      <c r="C1" s="18"/>
      <c r="D1" s="18"/>
      <c r="E1" s="18"/>
      <c r="F1" s="18"/>
      <c r="G1" s="18"/>
      <c r="H1" s="18"/>
      <c r="I1" s="18"/>
      <c r="J1" s="18"/>
      <c r="K1" s="192">
        <f>inputPrYr!D6</f>
        <v>2012</v>
      </c>
    </row>
    <row r="2" spans="1:11" ht="15.75">
      <c r="A2" s="18" t="str">
        <f>inputPrYr!$D$4</f>
        <v>Marshall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60</v>
      </c>
      <c r="C6" s="105" t="s">
        <v>69</v>
      </c>
      <c r="D6" s="105"/>
      <c r="E6" s="105" t="s">
        <v>31</v>
      </c>
      <c r="F6" s="197"/>
      <c r="G6" s="198"/>
      <c r="H6" s="197" t="s">
        <v>61</v>
      </c>
      <c r="I6" s="198"/>
      <c r="J6" s="197" t="s">
        <v>61</v>
      </c>
      <c r="K6" s="198"/>
    </row>
    <row r="7" spans="1:11" s="195" customFormat="1" ht="15.75">
      <c r="A7" s="18"/>
      <c r="B7" s="108" t="s">
        <v>62</v>
      </c>
      <c r="C7" s="108" t="s">
        <v>63</v>
      </c>
      <c r="D7" s="108" t="s">
        <v>31</v>
      </c>
      <c r="E7" s="108" t="s">
        <v>134</v>
      </c>
      <c r="F7" s="199" t="s">
        <v>64</v>
      </c>
      <c r="G7" s="200"/>
      <c r="H7" s="199">
        <f>K1-1</f>
        <v>2011</v>
      </c>
      <c r="I7" s="200"/>
      <c r="J7" s="199">
        <f>K1</f>
        <v>2012</v>
      </c>
      <c r="K7" s="200"/>
    </row>
    <row r="8" spans="1:11" s="195" customFormat="1" ht="15.75">
      <c r="A8" s="201" t="s">
        <v>65</v>
      </c>
      <c r="B8" s="117" t="s">
        <v>66</v>
      </c>
      <c r="C8" s="117" t="s">
        <v>43</v>
      </c>
      <c r="D8" s="117" t="s">
        <v>67</v>
      </c>
      <c r="E8" s="202" t="str">
        <f>CONCATENATE("Jan 1,",K1-1,"")</f>
        <v>Jan 1,2011</v>
      </c>
      <c r="F8" s="114" t="s">
        <v>69</v>
      </c>
      <c r="G8" s="114" t="s">
        <v>70</v>
      </c>
      <c r="H8" s="114" t="s">
        <v>69</v>
      </c>
      <c r="I8" s="114" t="s">
        <v>70</v>
      </c>
      <c r="J8" s="114" t="s">
        <v>69</v>
      </c>
      <c r="K8" s="114" t="s">
        <v>70</v>
      </c>
    </row>
    <row r="9" spans="1:11" s="195" customFormat="1" ht="15.75">
      <c r="A9" s="35" t="s">
        <v>184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68</v>
      </c>
      <c r="D25" s="227"/>
      <c r="E25" s="105" t="s">
        <v>13</v>
      </c>
      <c r="F25" s="227"/>
      <c r="G25" s="227"/>
      <c r="H25" s="227"/>
      <c r="I25" s="228"/>
      <c r="J25" s="229"/>
      <c r="K25" s="225"/>
    </row>
    <row r="26" spans="1:11" s="226" customFormat="1" ht="15.75">
      <c r="A26" s="230"/>
      <c r="B26" s="108"/>
      <c r="C26" s="108" t="s">
        <v>62</v>
      </c>
      <c r="D26" s="108" t="s">
        <v>69</v>
      </c>
      <c r="E26" s="108" t="s">
        <v>31</v>
      </c>
      <c r="F26" s="108" t="s">
        <v>70</v>
      </c>
      <c r="G26" s="108" t="s">
        <v>71</v>
      </c>
      <c r="H26" s="108" t="s">
        <v>71</v>
      </c>
      <c r="I26" s="225"/>
      <c r="J26" s="225"/>
      <c r="K26" s="225"/>
    </row>
    <row r="27" spans="1:11" s="226" customFormat="1" ht="15.75">
      <c r="A27" s="230"/>
      <c r="B27" s="108" t="s">
        <v>72</v>
      </c>
      <c r="C27" s="108" t="s">
        <v>73</v>
      </c>
      <c r="D27" s="108" t="s">
        <v>63</v>
      </c>
      <c r="E27" s="108" t="s">
        <v>74</v>
      </c>
      <c r="F27" s="108" t="s">
        <v>114</v>
      </c>
      <c r="G27" s="108" t="s">
        <v>75</v>
      </c>
      <c r="H27" s="108" t="s">
        <v>75</v>
      </c>
      <c r="I27" s="225"/>
      <c r="J27" s="225"/>
      <c r="K27" s="225"/>
    </row>
    <row r="28" spans="1:11" s="226" customFormat="1" ht="15.75">
      <c r="A28" s="231" t="s">
        <v>76</v>
      </c>
      <c r="B28" s="117" t="s">
        <v>60</v>
      </c>
      <c r="C28" s="232" t="s">
        <v>77</v>
      </c>
      <c r="D28" s="117" t="s">
        <v>43</v>
      </c>
      <c r="E28" s="232" t="s">
        <v>135</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88</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7">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Afton Cemetery</v>
      </c>
      <c r="C1" s="241"/>
      <c r="D1" s="18"/>
      <c r="E1" s="192"/>
    </row>
    <row r="2" spans="2:5" ht="15.75">
      <c r="B2" s="18" t="str">
        <f>inputPrYr!D4</f>
        <v>Marshall County </v>
      </c>
      <c r="C2" s="241"/>
      <c r="D2" s="18"/>
      <c r="E2" s="145"/>
    </row>
    <row r="3" spans="2:6" ht="15.75">
      <c r="B3" s="555" t="s">
        <v>83</v>
      </c>
      <c r="C3" s="241"/>
      <c r="D3" s="18"/>
      <c r="E3" s="242"/>
      <c r="F3" s="192">
        <f>inputPrYr!$D$6</f>
        <v>2012</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127</v>
      </c>
      <c r="C7" s="397">
        <v>59.23</v>
      </c>
      <c r="D7" s="404">
        <f>C51</f>
        <v>36.92000000000007</v>
      </c>
      <c r="E7" s="47">
        <f>D51</f>
        <v>1.9200000000000728</v>
      </c>
    </row>
    <row r="8" spans="2:5" ht="15.75">
      <c r="B8" s="246" t="s">
        <v>129</v>
      </c>
      <c r="C8" s="247"/>
      <c r="D8" s="247"/>
      <c r="E8" s="128"/>
    </row>
    <row r="9" spans="2:5" ht="15.75">
      <c r="B9" s="122" t="s">
        <v>33</v>
      </c>
      <c r="C9" s="397">
        <v>810.73</v>
      </c>
      <c r="D9" s="404">
        <f>inputPrYr!E19</f>
        <v>840</v>
      </c>
      <c r="E9" s="135" t="s">
        <v>28</v>
      </c>
    </row>
    <row r="10" spans="2:5" ht="15.75">
      <c r="B10" s="122" t="s">
        <v>34</v>
      </c>
      <c r="C10" s="397">
        <v>0.15</v>
      </c>
      <c r="D10" s="397"/>
      <c r="E10" s="209"/>
    </row>
    <row r="11" spans="2:5" ht="15.75">
      <c r="B11" s="122" t="s">
        <v>35</v>
      </c>
      <c r="C11" s="397">
        <v>65.57</v>
      </c>
      <c r="D11" s="397">
        <v>70</v>
      </c>
      <c r="E11" s="47">
        <f>mvalloc!D11</f>
        <v>64.96</v>
      </c>
    </row>
    <row r="12" spans="2:5" ht="15.75">
      <c r="B12" s="122" t="s">
        <v>36</v>
      </c>
      <c r="C12" s="397">
        <v>2.1</v>
      </c>
      <c r="D12" s="397">
        <v>3</v>
      </c>
      <c r="E12" s="47">
        <f>mvalloc!E11</f>
        <v>1.84</v>
      </c>
    </row>
    <row r="13" spans="2:5" ht="15.75">
      <c r="B13" s="247" t="s">
        <v>111</v>
      </c>
      <c r="C13" s="397">
        <v>30.14</v>
      </c>
      <c r="D13" s="397">
        <v>32</v>
      </c>
      <c r="E13" s="47">
        <f>mvalloc!F11</f>
        <v>32.09</v>
      </c>
    </row>
    <row r="14" spans="2:5" ht="15.75">
      <c r="B14" s="247" t="s">
        <v>162</v>
      </c>
      <c r="C14" s="397"/>
      <c r="D14" s="397"/>
      <c r="E14" s="47">
        <f>inputOth!E30</f>
        <v>0</v>
      </c>
    </row>
    <row r="15" spans="2:5" ht="15.75">
      <c r="B15" s="247" t="s">
        <v>163</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227</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908.69</v>
      </c>
      <c r="D28" s="399">
        <f>SUM(D9:D26)</f>
        <v>945</v>
      </c>
      <c r="E28" s="254">
        <f>SUM(E9:E26)</f>
        <v>98.89</v>
      </c>
    </row>
    <row r="29" spans="2:5" ht="15.75">
      <c r="B29" s="253" t="s">
        <v>40</v>
      </c>
      <c r="C29" s="399">
        <f>C7+C28</f>
        <v>967.9200000000001</v>
      </c>
      <c r="D29" s="399">
        <f>D7+D28</f>
        <v>981.9200000000001</v>
      </c>
      <c r="E29" s="254">
        <f>E7+E28</f>
        <v>100.81000000000007</v>
      </c>
    </row>
    <row r="30" spans="2:5" ht="15.75">
      <c r="B30" s="122" t="s">
        <v>41</v>
      </c>
      <c r="C30" s="126"/>
      <c r="D30" s="126"/>
      <c r="E30" s="38"/>
    </row>
    <row r="31" spans="2:5" ht="15.75">
      <c r="B31" s="248" t="s">
        <v>747</v>
      </c>
      <c r="C31" s="397">
        <v>881</v>
      </c>
      <c r="D31" s="397">
        <v>980</v>
      </c>
      <c r="E31" s="209">
        <v>963</v>
      </c>
    </row>
    <row r="32" spans="2:5" ht="15.75">
      <c r="B32" s="248" t="s">
        <v>748</v>
      </c>
      <c r="C32" s="397">
        <v>50</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1.9200000000000728</v>
      </c>
      <c r="H45" s="553" t="str">
        <f>CONCATENATE("",F3-1," Ending Cash Balance (est.)")</f>
        <v>2011 Ending Cash Balance (est.)</v>
      </c>
      <c r="I45" s="543"/>
      <c r="J45" s="544"/>
    </row>
    <row r="46" spans="2:10" ht="15.75">
      <c r="B46" s="248"/>
      <c r="C46" s="397"/>
      <c r="D46" s="397"/>
      <c r="E46" s="209"/>
      <c r="G46" s="554">
        <f>E28</f>
        <v>98.89</v>
      </c>
      <c r="H46" s="543" t="str">
        <f>CONCATENATE("",F3," Non-AV Receipts (est.)")</f>
        <v>2012 Non-AV Receipts (est.)</v>
      </c>
      <c r="I46" s="543"/>
      <c r="J46" s="544"/>
    </row>
    <row r="47" spans="2:10" ht="15.75">
      <c r="B47" s="126" t="s">
        <v>228</v>
      </c>
      <c r="C47" s="397"/>
      <c r="D47" s="397"/>
      <c r="E47" s="214">
        <f>Nhood!E7</f>
      </c>
      <c r="G47" s="542">
        <f>E57</f>
        <v>862.1899999999999</v>
      </c>
      <c r="H47" s="543" t="str">
        <f>CONCATENATE("",F3," Ad Valorem Tax (est.)")</f>
        <v>2012 Ad Valorem Tax (est.)</v>
      </c>
      <c r="I47" s="543"/>
      <c r="J47" s="544"/>
    </row>
    <row r="48" spans="2:10" ht="15.75">
      <c r="B48" s="126" t="s">
        <v>227</v>
      </c>
      <c r="C48" s="397"/>
      <c r="D48" s="397"/>
      <c r="E48" s="37"/>
      <c r="G48" s="554">
        <f>SUM(G45:G47)</f>
        <v>963</v>
      </c>
      <c r="H48" s="543" t="str">
        <f>CONCATENATE("Total ",E4," Resources Available")</f>
        <v>Total  Resources Available</v>
      </c>
      <c r="I48" s="543"/>
      <c r="J48" s="544"/>
    </row>
    <row r="49" spans="2:10" ht="15.75">
      <c r="B49" s="126" t="s">
        <v>580</v>
      </c>
      <c r="C49" s="398">
        <f>IF(C50*0.1&lt;C48,"Exceed 10% Rule","")</f>
      </c>
      <c r="D49" s="398">
        <f>IF(D50*0.1&lt;D48,"Exceed 10% Rule","")</f>
      </c>
      <c r="E49" s="424">
        <f>IF(E50*0.1&lt;E48,"Exceed 10% Rule","")</f>
      </c>
      <c r="G49" s="541"/>
      <c r="H49" s="543"/>
      <c r="I49" s="543"/>
      <c r="J49" s="544"/>
    </row>
    <row r="50" spans="2:10" ht="15.75">
      <c r="B50" s="253" t="s">
        <v>42</v>
      </c>
      <c r="C50" s="399">
        <f>SUM(C31:C48)</f>
        <v>931</v>
      </c>
      <c r="D50" s="399">
        <f>SUM(D31:D48)</f>
        <v>980</v>
      </c>
      <c r="E50" s="254">
        <f>SUM(E31:E48)</f>
        <v>963</v>
      </c>
      <c r="G50" s="542">
        <f>C50*0.05+C50</f>
        <v>977.55</v>
      </c>
      <c r="H50" s="543" t="str">
        <f>CONCATENATE("Less ",F3-2," Expenditures + 5%")</f>
        <v>Less 2010 Expenditures + 5%</v>
      </c>
      <c r="I50" s="543"/>
      <c r="J50" s="544"/>
    </row>
    <row r="51" spans="2:10" ht="15.75">
      <c r="B51" s="122" t="s">
        <v>128</v>
      </c>
      <c r="C51" s="400">
        <f>C29-C50</f>
        <v>36.92000000000007</v>
      </c>
      <c r="D51" s="400">
        <f>D29-D50</f>
        <v>1.9200000000000728</v>
      </c>
      <c r="E51" s="135" t="s">
        <v>28</v>
      </c>
      <c r="G51" s="540">
        <f>G48-G50</f>
        <v>-14.549999999999955</v>
      </c>
      <c r="H51" s="539" t="str">
        <f>CONCATENATE("Projected ",F3+1," Carryover (est.)")</f>
        <v>Projected 2013 Carryover (est.)</v>
      </c>
      <c r="I51" s="525"/>
      <c r="J51" s="538"/>
    </row>
    <row r="52" spans="2:10" ht="15.75">
      <c r="B52" s="145" t="str">
        <f>CONCATENATE("",F3-2,"/",F3-1," Budget Authority Amount:")</f>
        <v>2010/2011 Budget Authority Amount:</v>
      </c>
      <c r="C52" s="123">
        <f>inputOth!B42</f>
        <v>935</v>
      </c>
      <c r="D52" s="425">
        <f>inputPrYr!D19</f>
        <v>983</v>
      </c>
      <c r="E52" s="135" t="s">
        <v>28</v>
      </c>
      <c r="F52" s="255"/>
      <c r="G52" s="16"/>
      <c r="H52" s="16"/>
      <c r="I52" s="16"/>
      <c r="J52" s="16"/>
    </row>
    <row r="53" spans="2:10" ht="15.75">
      <c r="B53" s="145"/>
      <c r="C53" s="637" t="s">
        <v>683</v>
      </c>
      <c r="D53" s="638"/>
      <c r="E53" s="37"/>
      <c r="F53" s="255">
        <f>IF(E50/0.95-E50&lt;E53,"Exceeds 5%","")</f>
      </c>
      <c r="G53" s="537">
        <f>IF(inputOth!E7=0,"",ROUND(gen!E57/inputOth!E7*1000,3))</f>
        <v>0.526</v>
      </c>
      <c r="H53" s="536" t="str">
        <f>CONCATENATE("Projected ",F3-1," Mill Rate (est.)")</f>
        <v>Projected 2011 Mill Rate (est.)</v>
      </c>
      <c r="I53" s="535"/>
      <c r="J53" s="534"/>
    </row>
    <row r="54" spans="2:10" ht="15.75">
      <c r="B54" s="423" t="str">
        <f>CONCATENATE(C70,"     ",D70)</f>
        <v>     </v>
      </c>
      <c r="C54" s="639" t="s">
        <v>684</v>
      </c>
      <c r="D54" s="640"/>
      <c r="E54" s="47">
        <f>E50+E53</f>
        <v>963</v>
      </c>
      <c r="G54" s="533"/>
      <c r="H54" s="533"/>
      <c r="I54" s="533"/>
      <c r="J54" s="533"/>
    </row>
    <row r="55" spans="2:10" ht="15.75">
      <c r="B55" s="423" t="str">
        <f>CONCATENATE(C71,"     ",D71)</f>
        <v>     </v>
      </c>
      <c r="C55" s="559"/>
      <c r="D55" s="558" t="s">
        <v>685</v>
      </c>
      <c r="E55" s="44">
        <f>IF(E54-E29&gt;0,E54-E29,0)</f>
        <v>862.1899999999999</v>
      </c>
      <c r="G55" s="641" t="str">
        <f>CONCATENATE("Desired Carryover Into ",F3+1,"")</f>
        <v>Desired Carryover Into 2013</v>
      </c>
      <c r="H55" s="644"/>
      <c r="I55" s="644"/>
      <c r="J55" s="643"/>
    </row>
    <row r="56" spans="2:10" ht="15.75">
      <c r="B56" s="165"/>
      <c r="C56" s="556" t="s">
        <v>686</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862.1899999999999</v>
      </c>
      <c r="G57" s="530" t="s">
        <v>689</v>
      </c>
      <c r="H57" s="543"/>
      <c r="I57" s="543"/>
      <c r="J57" s="529"/>
    </row>
    <row r="58" spans="2:10" ht="15.75">
      <c r="B58" s="18"/>
      <c r="C58" s="18"/>
      <c r="D58" s="18"/>
      <c r="E58" s="18"/>
      <c r="G58" s="532" t="s">
        <v>690</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236</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Afton Cemetery</v>
      </c>
      <c r="C1" s="18"/>
      <c r="D1" s="18"/>
      <c r="E1" s="257">
        <f>inputPrYr!$D$6</f>
        <v>2012</v>
      </c>
    </row>
    <row r="2" spans="2:5" ht="15.75">
      <c r="B2" s="18"/>
      <c r="C2" s="18"/>
      <c r="D2" s="18"/>
      <c r="E2" s="165"/>
    </row>
    <row r="3" spans="2:5" ht="15.75">
      <c r="B3" s="555" t="s">
        <v>83</v>
      </c>
      <c r="C3" s="241"/>
      <c r="D3" s="241"/>
      <c r="E3" s="258"/>
    </row>
    <row r="4" spans="2:5" ht="15.75">
      <c r="B4" s="18"/>
      <c r="C4" s="259"/>
      <c r="D4" s="259"/>
      <c r="E4" s="259"/>
    </row>
    <row r="5" spans="2:5" ht="15.75">
      <c r="B5" s="45" t="s">
        <v>32</v>
      </c>
      <c r="C5" s="401" t="s">
        <v>160</v>
      </c>
      <c r="D5" s="402" t="s">
        <v>257</v>
      </c>
      <c r="E5" s="243" t="s">
        <v>254</v>
      </c>
    </row>
    <row r="6" spans="2:5" ht="15.75">
      <c r="B6" s="427" t="s">
        <v>281</v>
      </c>
      <c r="C6" s="409">
        <f>E1-2</f>
        <v>2010</v>
      </c>
      <c r="D6" s="409" t="str">
        <f>CONCATENATE("Estimate ",E1-1,"")</f>
        <v>Estimate 2011</v>
      </c>
      <c r="E6" s="180" t="str">
        <f>CONCATENATE("Year ",E1,"")</f>
        <v>Year 2012</v>
      </c>
    </row>
    <row r="7" spans="2:5" ht="15.75">
      <c r="B7" s="116" t="s">
        <v>127</v>
      </c>
      <c r="C7" s="406"/>
      <c r="D7" s="410">
        <f>C55</f>
        <v>0</v>
      </c>
      <c r="E7" s="261">
        <f>D55</f>
        <v>0</v>
      </c>
    </row>
    <row r="8" spans="2:5" ht="15.75">
      <c r="B8" s="262" t="s">
        <v>129</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111</v>
      </c>
      <c r="C13" s="397"/>
      <c r="D13" s="397"/>
      <c r="E13" s="265">
        <f>mvalloc!F12</f>
        <v>0</v>
      </c>
    </row>
    <row r="14" spans="2:5" ht="15.75">
      <c r="B14" s="266" t="s">
        <v>163</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161</v>
      </c>
      <c r="C26" s="397"/>
      <c r="D26" s="397"/>
      <c r="E26" s="264"/>
    </row>
    <row r="27" spans="2:5" ht="15.75">
      <c r="B27" s="269" t="s">
        <v>38</v>
      </c>
      <c r="C27" s="397"/>
      <c r="D27" s="397"/>
      <c r="E27" s="264"/>
    </row>
    <row r="28" spans="2:5" ht="15.75">
      <c r="B28" s="250" t="s">
        <v>227</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228</v>
      </c>
      <c r="C51" s="406"/>
      <c r="D51" s="406"/>
      <c r="E51" s="186">
        <f>Nhood!E8</f>
      </c>
    </row>
    <row r="52" spans="2:9" ht="15.75">
      <c r="B52" s="126" t="s">
        <v>227</v>
      </c>
      <c r="C52" s="406"/>
      <c r="D52" s="406"/>
      <c r="E52" s="264"/>
      <c r="G52" s="645" t="str">
        <f>CONCATENATE("Projected Carryover Into ",E1+1,"")</f>
        <v>Projected Carryover Into 2013</v>
      </c>
      <c r="H52" s="646"/>
      <c r="I52" s="647"/>
    </row>
    <row r="53" spans="2:9" ht="15.75">
      <c r="B53" s="126" t="s">
        <v>580</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128</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683</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684</v>
      </c>
      <c r="D58" s="640"/>
      <c r="E58" s="47">
        <f>E54+E57</f>
        <v>0</v>
      </c>
      <c r="G58" s="541"/>
      <c r="H58" s="565"/>
      <c r="I58" s="544"/>
    </row>
    <row r="59" spans="2:9" ht="15.75">
      <c r="B59" s="423" t="str">
        <f>CONCATENATE(C70,"     ",D70)</f>
        <v>     </v>
      </c>
      <c r="C59" s="561"/>
      <c r="D59" s="558" t="s">
        <v>685</v>
      </c>
      <c r="E59" s="44">
        <f>IF(E58-E31&gt;0,E58-E31,0)</f>
        <v>0</v>
      </c>
      <c r="G59" s="542">
        <f>C54</f>
        <v>0</v>
      </c>
      <c r="H59" s="565" t="str">
        <f>CONCATENATE("Less ",E1-2," Expenditures")</f>
        <v>Less 2010 Expenditures</v>
      </c>
      <c r="I59" s="544"/>
    </row>
    <row r="60" spans="2:9" ht="15.75">
      <c r="B60" s="165"/>
      <c r="C60" s="556" t="s">
        <v>686</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Afton Cemetery</v>
      </c>
      <c r="C1" s="18"/>
      <c r="D1" s="18"/>
      <c r="E1" s="192"/>
    </row>
    <row r="2" spans="2:5" ht="15.75">
      <c r="B2" s="18" t="str">
        <f>inputPrYr!D4</f>
        <v>Marshall County </v>
      </c>
      <c r="C2" s="18"/>
      <c r="D2" s="18"/>
      <c r="E2" s="145"/>
    </row>
    <row r="3" spans="2:6" ht="15.75">
      <c r="B3" s="27" t="s">
        <v>83</v>
      </c>
      <c r="C3" s="241"/>
      <c r="D3" s="241"/>
      <c r="E3" s="242"/>
      <c r="F3" s="98">
        <f>inputPrYr!D6</f>
        <v>2012</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2010</v>
      </c>
      <c r="D6" s="403" t="str">
        <f>CONCATENATE("Estimate ",F3-1,"")</f>
        <v>Estimate 2011</v>
      </c>
      <c r="E6" s="244" t="str">
        <f>CONCATENATE("Year ",F3,"")</f>
        <v>Year 2012</v>
      </c>
    </row>
    <row r="7" spans="2:5" ht="15.75">
      <c r="B7" s="122" t="s">
        <v>127</v>
      </c>
      <c r="C7" s="397"/>
      <c r="D7" s="404">
        <f>C34</f>
        <v>0</v>
      </c>
      <c r="E7" s="47">
        <f>D34</f>
        <v>0</v>
      </c>
    </row>
    <row r="8" spans="2:5" ht="15.75">
      <c r="B8" s="246" t="s">
        <v>129</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111</v>
      </c>
      <c r="C13" s="397"/>
      <c r="D13" s="397"/>
      <c r="E13" s="47">
        <f>mvalloc!F13</f>
        <v>0</v>
      </c>
    </row>
    <row r="14" spans="2:5" ht="15.75">
      <c r="B14" s="247" t="s">
        <v>163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227</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228</v>
      </c>
      <c r="C30" s="397"/>
      <c r="D30" s="397"/>
      <c r="E30" s="214">
        <f>Nhood!E9</f>
      </c>
    </row>
    <row r="31" spans="2:5" ht="15.75">
      <c r="B31" s="126" t="s">
        <v>227</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128</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683</v>
      </c>
      <c r="D36" s="638"/>
      <c r="E36" s="37"/>
      <c r="F36" s="255">
        <f>IF(E33/0.95-E33&lt;E36,"Exceeds 5%","")</f>
      </c>
    </row>
    <row r="37" spans="2:5" ht="15.75">
      <c r="B37" s="423" t="str">
        <f>CONCATENATE(C87,"     ",D87)</f>
        <v>     </v>
      </c>
      <c r="C37" s="639" t="s">
        <v>684</v>
      </c>
      <c r="D37" s="640"/>
      <c r="E37" s="47">
        <f>E33+E36</f>
        <v>0</v>
      </c>
    </row>
    <row r="38" spans="2:5" ht="15.75">
      <c r="B38" s="423" t="str">
        <f>CONCATENATE(C88,"     ",D88)</f>
        <v>     </v>
      </c>
      <c r="C38" s="563"/>
      <c r="D38" s="558" t="s">
        <v>685</v>
      </c>
      <c r="E38" s="44">
        <f>IF(E37-E22&gt;0,E37-E22,0)</f>
        <v>0</v>
      </c>
    </row>
    <row r="39" spans="2:5" ht="15.75">
      <c r="B39" s="165"/>
      <c r="C39" s="556" t="s">
        <v>686</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2010</v>
      </c>
      <c r="D44" s="403" t="str">
        <f>D6</f>
        <v>Estimate 2011</v>
      </c>
      <c r="E44" s="244" t="str">
        <f>E6</f>
        <v>Year 2012</v>
      </c>
    </row>
    <row r="45" spans="2:5" ht="15.75">
      <c r="B45" s="122" t="s">
        <v>127</v>
      </c>
      <c r="C45" s="397"/>
      <c r="D45" s="404">
        <f>C72</f>
        <v>0</v>
      </c>
      <c r="E45" s="47">
        <f>D72</f>
        <v>0</v>
      </c>
    </row>
    <row r="46" spans="2:5" ht="15.75">
      <c r="B46" s="246" t="s">
        <v>129</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111</v>
      </c>
      <c r="C51" s="397"/>
      <c r="D51" s="397"/>
      <c r="E51" s="47">
        <f>mvalloc!F14</f>
        <v>0</v>
      </c>
    </row>
    <row r="52" spans="2:5" ht="15.75">
      <c r="B52" s="247" t="s">
        <v>163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227</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228</v>
      </c>
      <c r="C68" s="397"/>
      <c r="D68" s="397"/>
      <c r="E68" s="214">
        <f>Nhood!E10</f>
      </c>
    </row>
    <row r="69" spans="2:5" ht="15.75">
      <c r="B69" s="126" t="s">
        <v>227</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128</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683</v>
      </c>
      <c r="D74" s="638"/>
      <c r="E74" s="37"/>
      <c r="F74" s="255">
        <f>IF(E71/0.95-E71&lt;E74,"Exceeds 5%","")</f>
      </c>
    </row>
    <row r="75" spans="2:5" ht="15.75">
      <c r="B75" s="423" t="str">
        <f>CONCATENATE(C89,"     ",D89)</f>
        <v>     </v>
      </c>
      <c r="C75" s="639" t="s">
        <v>684</v>
      </c>
      <c r="D75" s="640"/>
      <c r="E75" s="47">
        <f>E71+E74</f>
        <v>0</v>
      </c>
    </row>
    <row r="76" spans="2:5" ht="15.75">
      <c r="B76" s="423" t="str">
        <f>CONCATENATE(C90,"     ",D90)</f>
        <v>     </v>
      </c>
      <c r="C76" s="562"/>
      <c r="D76" s="558" t="s">
        <v>685</v>
      </c>
      <c r="E76" s="44">
        <f>IF(E75-E60&gt;0,E75-E60,0)</f>
        <v>0</v>
      </c>
    </row>
    <row r="77" spans="2:5" ht="15.75">
      <c r="B77" s="165"/>
      <c r="C77" s="556" t="s">
        <v>686</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Afton Cemetery</v>
      </c>
      <c r="C1" s="241"/>
      <c r="D1" s="18"/>
      <c r="E1" s="192"/>
    </row>
    <row r="2" spans="2:5" ht="15.75">
      <c r="B2" s="18" t="str">
        <f>inputPrYr!D4</f>
        <v>Marshall County </v>
      </c>
      <c r="C2" s="241"/>
      <c r="D2" s="18"/>
      <c r="E2" s="145"/>
    </row>
    <row r="3" spans="2:6" ht="15.75">
      <c r="B3" s="27" t="s">
        <v>84</v>
      </c>
      <c r="C3" s="241"/>
      <c r="D3" s="241"/>
      <c r="E3" s="242"/>
      <c r="F3" s="98">
        <f>inputPrYr!$D$6</f>
        <v>2012</v>
      </c>
    </row>
    <row r="4" spans="2:5" ht="15.75">
      <c r="B4" s="18"/>
      <c r="C4" s="109"/>
      <c r="D4" s="109"/>
      <c r="E4" s="109"/>
    </row>
    <row r="5" spans="2:5" ht="15.75">
      <c r="B5" s="17" t="s">
        <v>32</v>
      </c>
      <c r="C5" s="276" t="s">
        <v>256</v>
      </c>
      <c r="D5" s="243" t="s">
        <v>257</v>
      </c>
      <c r="E5" s="243" t="s">
        <v>254</v>
      </c>
    </row>
    <row r="6" spans="2:5" ht="15.75">
      <c r="B6" s="426">
        <f>inputPrYr!B26</f>
        <v>0</v>
      </c>
      <c r="C6" s="244" t="str">
        <f>CONCATENATE("Actual ",F3-2,"")</f>
        <v>Actual 2010</v>
      </c>
      <c r="D6" s="244" t="str">
        <f>CONCATENATE("Estimate ",F3-1,"")</f>
        <v>Estimate 2011</v>
      </c>
      <c r="E6" s="244" t="str">
        <f>CONCATENATE("Year ",F3,"")</f>
        <v>Year 2012</v>
      </c>
    </row>
    <row r="7" spans="2:5" ht="15.75">
      <c r="B7" s="122" t="s">
        <v>127</v>
      </c>
      <c r="C7" s="37"/>
      <c r="D7" s="47">
        <f>C32</f>
        <v>0</v>
      </c>
      <c r="E7" s="47">
        <f>D32</f>
        <v>0</v>
      </c>
    </row>
    <row r="8" spans="2:5" ht="15.75">
      <c r="B8" s="246" t="s">
        <v>129</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227</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128</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2010</v>
      </c>
      <c r="D39" s="244" t="str">
        <f>D6</f>
        <v>Estimate 2011</v>
      </c>
      <c r="E39" s="244" t="str">
        <f>E6</f>
        <v>Year 2012</v>
      </c>
    </row>
    <row r="40" spans="2:5" ht="15.75">
      <c r="B40" s="122" t="s">
        <v>127</v>
      </c>
      <c r="C40" s="37"/>
      <c r="D40" s="47">
        <f>C65</f>
        <v>0</v>
      </c>
      <c r="E40" s="47">
        <f>D65</f>
        <v>0</v>
      </c>
    </row>
    <row r="41" spans="2:5" ht="15.75">
      <c r="B41" s="246" t="s">
        <v>129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227</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R30" sqref="R30"/>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Afton Cemetery</v>
      </c>
      <c r="B1" s="277"/>
      <c r="C1" s="62"/>
      <c r="D1" s="62"/>
      <c r="E1" s="62"/>
      <c r="F1" s="278" t="s">
        <v>241</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48" t="str">
        <f>inputPrYr!B30</f>
        <v>Perpetual Care</v>
      </c>
      <c r="B5" s="649"/>
      <c r="C5" s="648">
        <f>inputPrYr!B31</f>
        <v>0</v>
      </c>
      <c r="D5" s="649"/>
      <c r="E5" s="648">
        <f>inputPrYr!B32</f>
        <v>0</v>
      </c>
      <c r="F5" s="649"/>
      <c r="G5" s="648">
        <f>inputPrYr!B33</f>
        <v>0</v>
      </c>
      <c r="H5" s="649"/>
      <c r="I5" s="648">
        <f>inputPrYr!B34</f>
        <v>0</v>
      </c>
      <c r="J5" s="649"/>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v>250</v>
      </c>
      <c r="C7" s="290" t="s">
        <v>249</v>
      </c>
      <c r="D7" s="289"/>
      <c r="E7" s="290" t="s">
        <v>249</v>
      </c>
      <c r="F7" s="289"/>
      <c r="G7" s="290" t="s">
        <v>249</v>
      </c>
      <c r="H7" s="289"/>
      <c r="I7" s="290" t="s">
        <v>249</v>
      </c>
      <c r="J7" s="289"/>
      <c r="K7" s="291">
        <f>SUM(B7+D7+F7+H7+J7)</f>
        <v>250</v>
      </c>
    </row>
    <row r="8" spans="1:11" ht="15.75">
      <c r="A8" s="292" t="s">
        <v>129</v>
      </c>
      <c r="B8" s="293"/>
      <c r="C8" s="292" t="s">
        <v>129</v>
      </c>
      <c r="D8" s="294"/>
      <c r="E8" s="292" t="s">
        <v>129</v>
      </c>
      <c r="F8" s="277"/>
      <c r="G8" s="292" t="s">
        <v>129</v>
      </c>
      <c r="H8" s="62"/>
      <c r="I8" s="292" t="s">
        <v>129</v>
      </c>
      <c r="J8" s="62"/>
      <c r="K8" s="277"/>
    </row>
    <row r="9" spans="1:11" ht="15.75">
      <c r="A9" s="295" t="s">
        <v>750</v>
      </c>
      <c r="B9" s="289">
        <v>50</v>
      </c>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50</v>
      </c>
      <c r="C17" s="292" t="s">
        <v>39</v>
      </c>
      <c r="D17" s="291">
        <f>SUM(D9:D16)</f>
        <v>0</v>
      </c>
      <c r="E17" s="292" t="s">
        <v>39</v>
      </c>
      <c r="F17" s="305">
        <f>SUM(F9:F16)</f>
        <v>0</v>
      </c>
      <c r="G17" s="292" t="s">
        <v>39</v>
      </c>
      <c r="H17" s="291">
        <f>SUM(H9:H16)</f>
        <v>0</v>
      </c>
      <c r="I17" s="292" t="s">
        <v>39</v>
      </c>
      <c r="J17" s="291">
        <f>SUM(J9:J16)</f>
        <v>0</v>
      </c>
      <c r="K17" s="291">
        <f>SUM(B17+D17+F17+H17+J17)</f>
        <v>50</v>
      </c>
    </row>
    <row r="18" spans="1:11" ht="15.75">
      <c r="A18" s="292" t="s">
        <v>40</v>
      </c>
      <c r="B18" s="291">
        <f>SUM(B7+B17)</f>
        <v>300</v>
      </c>
      <c r="C18" s="292" t="s">
        <v>40</v>
      </c>
      <c r="D18" s="291">
        <f>SUM(D7+D17)</f>
        <v>0</v>
      </c>
      <c r="E18" s="292" t="s">
        <v>40</v>
      </c>
      <c r="F18" s="291">
        <f>SUM(F7+F17)</f>
        <v>0</v>
      </c>
      <c r="G18" s="292" t="s">
        <v>40</v>
      </c>
      <c r="H18" s="291">
        <f>SUM(H7+H17)</f>
        <v>0</v>
      </c>
      <c r="I18" s="292" t="s">
        <v>40</v>
      </c>
      <c r="J18" s="291">
        <f>SUM(J7+J17)</f>
        <v>0</v>
      </c>
      <c r="K18" s="291">
        <f>SUM(B18+D18+F18+H18+J18)</f>
        <v>300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250</v>
      </c>
      <c r="B29" s="291">
        <f>SUM(B18-B28)</f>
        <v>300</v>
      </c>
      <c r="C29" s="292" t="s">
        <v>250</v>
      </c>
      <c r="D29" s="291">
        <f>SUM(D18-D28)</f>
        <v>0</v>
      </c>
      <c r="E29" s="292" t="s">
        <v>250</v>
      </c>
      <c r="F29" s="291">
        <f>SUM(F18-F28)</f>
        <v>0</v>
      </c>
      <c r="G29" s="292" t="s">
        <v>250</v>
      </c>
      <c r="H29" s="291">
        <f>SUM(H18-H28)</f>
        <v>0</v>
      </c>
      <c r="I29" s="292" t="s">
        <v>250</v>
      </c>
      <c r="J29" s="291">
        <f>SUM(J18-J28)</f>
        <v>0</v>
      </c>
      <c r="K29" s="306">
        <f>SUM(B29+D29+F29+H29+J29)</f>
        <v>300</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300</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v>7</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85</v>
      </c>
      <c r="B1" s="600"/>
      <c r="C1" s="600"/>
      <c r="D1" s="600"/>
      <c r="E1" s="600"/>
      <c r="F1" s="600"/>
      <c r="G1" s="600"/>
      <c r="H1" s="650"/>
    </row>
    <row r="2" spans="1:8" ht="15.75">
      <c r="A2" s="18"/>
      <c r="B2" s="18"/>
      <c r="C2" s="18"/>
      <c r="D2" s="18"/>
      <c r="E2" s="18"/>
      <c r="F2" s="18"/>
      <c r="G2" s="18"/>
      <c r="H2" s="18"/>
    </row>
    <row r="3" spans="1:9" ht="15.75">
      <c r="A3" s="629" t="s">
        <v>112</v>
      </c>
      <c r="B3" s="629"/>
      <c r="C3" s="629"/>
      <c r="D3" s="629"/>
      <c r="E3" s="629"/>
      <c r="F3" s="629"/>
      <c r="G3" s="629"/>
      <c r="H3" s="629"/>
      <c r="I3" s="54">
        <f>inputPrYr!D6</f>
        <v>2012</v>
      </c>
    </row>
    <row r="4" spans="1:8" ht="15.75">
      <c r="A4" s="598" t="str">
        <f>inputPrYr!D3</f>
        <v>Afton Cemetery</v>
      </c>
      <c r="B4" s="598"/>
      <c r="C4" s="598"/>
      <c r="D4" s="598"/>
      <c r="E4" s="598"/>
      <c r="F4" s="598"/>
      <c r="G4" s="598"/>
      <c r="H4" s="598"/>
    </row>
    <row r="5" spans="1:8" ht="15.75">
      <c r="A5" s="653" t="str">
        <f>inputPrYr!D4</f>
        <v>Marshall County </v>
      </c>
      <c r="B5" s="653"/>
      <c r="C5" s="653"/>
      <c r="D5" s="653"/>
      <c r="E5" s="653"/>
      <c r="F5" s="653"/>
      <c r="G5" s="653"/>
      <c r="H5" s="653"/>
    </row>
    <row r="6" spans="1:8" ht="15.75">
      <c r="A6" s="654" t="str">
        <f>CONCATENATE("will meet on ",inputBudSum!B5," at ",inputBudSum!B7," at ",inputBudSum!B9," for the purpose of hearing and")</f>
        <v>will meet on August 31, 2011 at 8:00 p.m. at Afton Parish Hall for the purpose of hearing and</v>
      </c>
      <c r="B6" s="654"/>
      <c r="C6" s="654"/>
      <c r="D6" s="654"/>
      <c r="E6" s="654"/>
      <c r="F6" s="654"/>
      <c r="G6" s="654"/>
      <c r="H6" s="654"/>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134 Pheasant Rd., Waterville, KS  and will be available at this hearing.</v>
      </c>
      <c r="B8" s="379"/>
      <c r="C8" s="379"/>
      <c r="D8" s="379"/>
      <c r="E8" s="379"/>
      <c r="F8" s="379"/>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221</v>
      </c>
      <c r="G14" s="651" t="str">
        <f>CONCATENATE("Amount of ",I3-1," Ad Valorem Tax")</f>
        <v>Amount of 2011 Ad Valorem Tax</v>
      </c>
      <c r="H14" s="316" t="s">
        <v>584</v>
      </c>
      <c r="J14" s="570" t="s">
        <v>691</v>
      </c>
      <c r="K14" s="571"/>
      <c r="L14" s="571"/>
      <c r="M14" s="572">
        <f>ROUND(F27/1000,0)</f>
        <v>1638</v>
      </c>
    </row>
    <row r="15" spans="1:13" ht="15.75">
      <c r="A15" s="179" t="s">
        <v>52</v>
      </c>
      <c r="B15" s="117" t="s">
        <v>53</v>
      </c>
      <c r="C15" s="317" t="s">
        <v>202</v>
      </c>
      <c r="D15" s="117" t="s">
        <v>53</v>
      </c>
      <c r="E15" s="317" t="s">
        <v>202</v>
      </c>
      <c r="F15" s="117" t="s">
        <v>579</v>
      </c>
      <c r="G15" s="652"/>
      <c r="H15" s="317" t="s">
        <v>202</v>
      </c>
      <c r="J15" s="16"/>
      <c r="K15" s="16"/>
      <c r="L15" s="16"/>
      <c r="M15" s="16"/>
    </row>
    <row r="16" spans="1:13" ht="15.75">
      <c r="A16" s="38" t="str">
        <f>inputPrYr!B19</f>
        <v>General</v>
      </c>
      <c r="B16" s="128">
        <f>IF(gen!$C$50&lt;&gt;0,gen!$C$50,"  ")</f>
        <v>931</v>
      </c>
      <c r="C16" s="125">
        <f>IF(inputPrYr!D38&gt;0,inputPrYr!D38,"  ")</f>
        <v>0.544</v>
      </c>
      <c r="D16" s="128">
        <f>IF(gen!$D$50&lt;&gt;0,gen!$D$50,"  ")</f>
        <v>980</v>
      </c>
      <c r="E16" s="125">
        <f>IF(inputOth!D16&gt;0,inputOth!D16,"  ")</f>
        <v>0.552</v>
      </c>
      <c r="F16" s="128">
        <f>IF(gen!$E$50&lt;&gt;0,gen!$E$50,"  ")</f>
        <v>963</v>
      </c>
      <c r="G16" s="128">
        <f>IF(gen!$E$57&lt;&gt;0,gen!$E$57,"  ")</f>
        <v>862.1899999999999</v>
      </c>
      <c r="H16" s="125">
        <f>IF(gen!E57&gt;0,ROUND(G16/$F$27*1000,3)," ")</f>
        <v>0.526</v>
      </c>
      <c r="J16" s="655" t="str">
        <f>CONCATENATE("Want The Mill Rate The Same As For ",I3-1,"?")</f>
        <v>Want The Mill Rate The Same As For 2011?</v>
      </c>
      <c r="K16" s="658"/>
      <c r="L16" s="658"/>
      <c r="M16" s="659"/>
    </row>
    <row r="17" spans="1:13" ht="15.7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0.552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41.81000000000006</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t="str">
        <f>IF((inputPrYr!$B$30&gt;" "),(NonBud!$A$3),"")</f>
        <v>Non-Budgeted Funds</v>
      </c>
      <c r="B22" s="548">
        <f>IF(NonBud!K28&gt;0,NonBud!K28,"")</f>
      </c>
      <c r="C22" s="547"/>
      <c r="D22" s="548"/>
      <c r="E22" s="547"/>
      <c r="F22" s="548"/>
      <c r="G22" s="548"/>
      <c r="H22" s="547"/>
      <c r="J22" s="581"/>
      <c r="K22" s="581"/>
      <c r="L22" s="581"/>
      <c r="M22" s="581"/>
    </row>
    <row r="23" spans="1:13" ht="15.75">
      <c r="A23" s="35" t="s">
        <v>136</v>
      </c>
      <c r="B23" s="321">
        <f>SUM(B16:B22)</f>
        <v>931</v>
      </c>
      <c r="C23" s="549">
        <f aca="true" t="shared" si="0" ref="C23:H23">SUM(C16:C21)</f>
        <v>0.544</v>
      </c>
      <c r="D23" s="321">
        <f t="shared" si="0"/>
        <v>980</v>
      </c>
      <c r="E23" s="549">
        <f t="shared" si="0"/>
        <v>0.552</v>
      </c>
      <c r="F23" s="321">
        <f t="shared" si="0"/>
        <v>963</v>
      </c>
      <c r="G23" s="321">
        <f t="shared" si="0"/>
        <v>862.1899999999999</v>
      </c>
      <c r="H23" s="549">
        <f t="shared" si="0"/>
        <v>0.526</v>
      </c>
      <c r="J23" s="655" t="str">
        <f>CONCATENATE("Impact On Keeping The Same Mill Rate As For ",I3-1,"")</f>
        <v>Impact On Keeping The Same Mill Rate As For 2011</v>
      </c>
      <c r="K23" s="660"/>
      <c r="L23" s="660"/>
      <c r="M23" s="661"/>
    </row>
    <row r="24" spans="1:13" ht="15.75">
      <c r="A24" s="35" t="s">
        <v>172</v>
      </c>
      <c r="B24" s="214">
        <f>transfers!C26</f>
        <v>50</v>
      </c>
      <c r="C24" s="133"/>
      <c r="D24" s="214">
        <f>transfers!D26</f>
        <v>0</v>
      </c>
      <c r="E24" s="133"/>
      <c r="F24" s="318">
        <f>transfers!E26</f>
        <v>0</v>
      </c>
      <c r="G24" s="260"/>
      <c r="H24" s="319"/>
      <c r="J24" s="573"/>
      <c r="K24" s="568"/>
      <c r="L24" s="568"/>
      <c r="M24" s="574"/>
    </row>
    <row r="25" spans="1:13" ht="16.5" thickBot="1">
      <c r="A25" s="35" t="s">
        <v>173</v>
      </c>
      <c r="B25" s="136">
        <f>SUM(B23-B24)</f>
        <v>881</v>
      </c>
      <c r="C25" s="320"/>
      <c r="D25" s="136">
        <f>SUM(D23-D24)</f>
        <v>980</v>
      </c>
      <c r="E25" s="320"/>
      <c r="F25" s="546">
        <f>SUM(F23-F24)</f>
        <v>963</v>
      </c>
      <c r="G25" s="260"/>
      <c r="H25" s="319"/>
      <c r="J25" s="573" t="str">
        <f>CONCATENATE("",I3," Ad Valorem Tax Revenue:")</f>
        <v>2012 Ad Valorem Tax Revenue:</v>
      </c>
      <c r="K25" s="568"/>
      <c r="L25" s="568"/>
      <c r="M25" s="569">
        <f>G23</f>
        <v>862.1899999999999</v>
      </c>
    </row>
    <row r="26" spans="1:13" ht="16.5" thickTop="1">
      <c r="A26" s="35" t="s">
        <v>54</v>
      </c>
      <c r="B26" s="321">
        <f>inputPrYr!E44</f>
        <v>820</v>
      </c>
      <c r="C26" s="230"/>
      <c r="D26" s="321">
        <f>inputPrYr!E24</f>
        <v>840</v>
      </c>
      <c r="E26" s="230"/>
      <c r="F26" s="322" t="s">
        <v>178</v>
      </c>
      <c r="G26" s="18"/>
      <c r="H26" s="18"/>
      <c r="J26" s="573" t="str">
        <f>CONCATENATE("",I3-1," Ad Valorem Tax Revenue:")</f>
        <v>2011 Ad Valorem Tax Revenue:</v>
      </c>
      <c r="K26" s="568"/>
      <c r="L26" s="568"/>
      <c r="M26" s="582">
        <f>ROUND(F27*M18/1000,0)</f>
        <v>904</v>
      </c>
    </row>
    <row r="27" spans="1:13" ht="15.75">
      <c r="A27" s="35" t="s">
        <v>174</v>
      </c>
      <c r="B27" s="214">
        <f>inputPrYr!E45</f>
        <v>1506636</v>
      </c>
      <c r="C27" s="230"/>
      <c r="D27" s="214">
        <f>inputOth!E24</f>
        <v>1522190</v>
      </c>
      <c r="E27" s="230"/>
      <c r="F27" s="214">
        <f>inputOth!E7</f>
        <v>1637999</v>
      </c>
      <c r="G27" s="18"/>
      <c r="H27" s="18"/>
      <c r="J27" s="583" t="s">
        <v>692</v>
      </c>
      <c r="K27" s="584"/>
      <c r="L27" s="584"/>
      <c r="M27" s="572">
        <f>M25-M26</f>
        <v>-41.81000000000006</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693</v>
      </c>
      <c r="K29" s="658"/>
      <c r="L29" s="658"/>
      <c r="M29" s="659"/>
    </row>
    <row r="30" spans="1:13" ht="15.75">
      <c r="A30" s="17" t="s">
        <v>171</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0.526</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687</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t="s">
        <v>754</v>
      </c>
      <c r="B40" s="624"/>
      <c r="C40" s="102"/>
      <c r="D40" s="18"/>
      <c r="E40" s="18"/>
      <c r="F40" s="18"/>
      <c r="G40" s="18"/>
      <c r="H40" s="54"/>
    </row>
    <row r="41" spans="1:8" ht="15.75">
      <c r="A41" s="311" t="s">
        <v>755</v>
      </c>
      <c r="B41" s="26"/>
      <c r="C41" s="18"/>
      <c r="D41" s="145" t="s">
        <v>44</v>
      </c>
      <c r="E41" s="550">
        <v>8</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Afton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1637999</v>
      </c>
      <c r="E16" s="18"/>
      <c r="F16" s="54"/>
    </row>
    <row r="17" spans="1:6" ht="15.75">
      <c r="A17" s="18"/>
      <c r="B17" s="18"/>
      <c r="C17" s="18"/>
      <c r="D17" s="18"/>
      <c r="E17" s="18"/>
      <c r="F17" s="54"/>
    </row>
    <row r="18" spans="1:6" ht="15.75">
      <c r="A18" s="18"/>
      <c r="B18" s="665" t="s">
        <v>328</v>
      </c>
      <c r="C18" s="665"/>
      <c r="D18" s="335">
        <f>IF(D16&gt;0,(D16*0.001),"")</f>
        <v>1637.999</v>
      </c>
      <c r="E18" s="18"/>
      <c r="F18" s="54"/>
    </row>
    <row r="19" spans="1:6" ht="15.75">
      <c r="A19" s="18"/>
      <c r="B19" s="145"/>
      <c r="C19" s="145"/>
      <c r="D19" s="336"/>
      <c r="E19" s="18"/>
      <c r="F19" s="54"/>
    </row>
    <row r="20" spans="1:6" ht="15.75">
      <c r="A20" s="662" t="s">
        <v>326</v>
      </c>
      <c r="B20" s="650"/>
      <c r="C20" s="650"/>
      <c r="D20" s="337">
        <f>inputOth!E12</f>
        <v>0</v>
      </c>
      <c r="E20" s="64"/>
      <c r="F20" s="64"/>
    </row>
    <row r="21" spans="1:6" ht="15">
      <c r="A21" s="64"/>
      <c r="B21" s="64"/>
      <c r="C21" s="64"/>
      <c r="D21" s="338"/>
      <c r="E21" s="64"/>
      <c r="F21" s="64"/>
    </row>
    <row r="22" spans="1:6" ht="15.75">
      <c r="A22" s="64"/>
      <c r="B22" s="662" t="s">
        <v>327</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142</v>
      </c>
      <c r="C1" s="674"/>
      <c r="D1" s="674"/>
      <c r="E1" s="674"/>
      <c r="F1" s="674"/>
      <c r="G1" s="674"/>
      <c r="H1" s="674"/>
    </row>
    <row r="2" spans="2:8" ht="15.75">
      <c r="B2" s="6"/>
      <c r="C2"/>
      <c r="D2"/>
      <c r="E2"/>
      <c r="F2"/>
      <c r="G2"/>
      <c r="H2"/>
    </row>
    <row r="3" spans="2:8" ht="15.75">
      <c r="B3" s="675" t="s">
        <v>139</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Afton Cemetery District with respect to financing the 2012 annual budget for Afton Cemetery , Marshall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2012 Afton Cemetery district budget exceed the amount levied to finance the</v>
      </c>
      <c r="C9"/>
      <c r="D9"/>
      <c r="E9"/>
      <c r="F9"/>
      <c r="G9"/>
      <c r="H9"/>
    </row>
    <row r="10" spans="2:8" ht="15.75">
      <c r="B10" s="12" t="str">
        <f>CONCATENATE("",inputPrYr!D6-1," ",inputPrYr!D3," except with regard to revenue produced and attributable to the")</f>
        <v>2011 Afton Cemetery except with regard to revenue produced and attributable to the</v>
      </c>
      <c r="C10"/>
      <c r="D10"/>
      <c r="E10"/>
      <c r="F10"/>
      <c r="G10"/>
      <c r="H10"/>
    </row>
    <row r="11" spans="2:8" ht="15.75">
      <c r="B11" s="671" t="s">
        <v>180</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151</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Afton Cemetery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Afton Cemetery that is our desire to notify the public of the possibility of increased property taxes to finance the 2012 Afton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Afton Cemetery District Board, Marshall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Afton Cemetery District Board</v>
      </c>
      <c r="C31"/>
      <c r="D31"/>
      <c r="E31"/>
      <c r="F31"/>
      <c r="G31"/>
      <c r="H31"/>
    </row>
    <row r="32" spans="2:8" ht="15.75">
      <c r="B32" s="8"/>
      <c r="C32"/>
      <c r="D32"/>
      <c r="E32"/>
      <c r="F32"/>
      <c r="G32"/>
      <c r="H32"/>
    </row>
    <row r="33" spans="2:8" ht="15.75">
      <c r="B33"/>
      <c r="C33"/>
      <c r="D33"/>
      <c r="E33" s="673" t="s">
        <v>140</v>
      </c>
      <c r="F33" s="673"/>
      <c r="G33" s="673"/>
      <c r="H33" s="673"/>
    </row>
    <row r="34" spans="2:8" ht="15.75">
      <c r="B34"/>
      <c r="C34"/>
      <c r="D34"/>
      <c r="E34" s="673" t="s">
        <v>143</v>
      </c>
      <c r="F34" s="673"/>
      <c r="G34" s="673"/>
      <c r="H34" s="673"/>
    </row>
    <row r="35" spans="2:8" ht="15.75">
      <c r="B35" s="8"/>
      <c r="C35"/>
      <c r="D35"/>
      <c r="E35" s="673"/>
      <c r="F35" s="673"/>
      <c r="G35" s="673"/>
      <c r="H35" s="673"/>
    </row>
    <row r="36" spans="2:8" ht="15.75">
      <c r="B36"/>
      <c r="C36"/>
      <c r="D36"/>
      <c r="E36" s="673" t="s">
        <v>140</v>
      </c>
      <c r="F36" s="673"/>
      <c r="G36" s="673"/>
      <c r="H36" s="673"/>
    </row>
    <row r="37" spans="2:8" ht="15.75">
      <c r="B37"/>
      <c r="C37"/>
      <c r="D37"/>
      <c r="E37" s="673" t="s">
        <v>144</v>
      </c>
      <c r="F37" s="673"/>
      <c r="G37" s="673"/>
      <c r="H37" s="673"/>
    </row>
    <row r="38" spans="2:8" ht="15.75">
      <c r="B38" s="8"/>
      <c r="C38"/>
      <c r="D38"/>
      <c r="E38" s="673"/>
      <c r="F38" s="673"/>
      <c r="G38" s="673"/>
      <c r="H38" s="673"/>
    </row>
    <row r="39" spans="2:8" ht="15.75">
      <c r="B39"/>
      <c r="C39"/>
      <c r="D39"/>
      <c r="E39" s="673" t="s">
        <v>140</v>
      </c>
      <c r="F39" s="673"/>
      <c r="G39" s="673"/>
      <c r="H39" s="673"/>
    </row>
    <row r="40" spans="2:8" ht="15.75">
      <c r="B40"/>
      <c r="C40"/>
      <c r="D40"/>
      <c r="E40" s="673" t="s">
        <v>145</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2">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133</v>
      </c>
      <c r="B3" s="18"/>
      <c r="C3" s="18"/>
      <c r="D3" s="20" t="s">
        <v>743</v>
      </c>
      <c r="E3" s="21"/>
    </row>
    <row r="4" spans="1:5" ht="15.75">
      <c r="A4" s="19" t="s">
        <v>235</v>
      </c>
      <c r="B4" s="18"/>
      <c r="C4" s="18"/>
      <c r="D4" s="22" t="s">
        <v>744</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600" t="s">
        <v>213</v>
      </c>
      <c r="B8" s="601"/>
      <c r="C8" s="601"/>
      <c r="D8" s="601"/>
      <c r="E8" s="601"/>
    </row>
    <row r="9" spans="1:5" ht="15.75">
      <c r="A9" s="25" t="s">
        <v>80</v>
      </c>
      <c r="B9" s="26"/>
      <c r="C9" s="26"/>
      <c r="D9" s="26"/>
      <c r="E9" s="26"/>
    </row>
    <row r="10" spans="1:5" ht="15.75">
      <c r="A10" s="602" t="s">
        <v>212</v>
      </c>
      <c r="B10" s="603"/>
      <c r="C10" s="603"/>
      <c r="D10" s="603"/>
      <c r="E10" s="603"/>
    </row>
    <row r="11" spans="1:5" ht="15.75">
      <c r="A11" s="27"/>
      <c r="B11" s="18"/>
      <c r="C11" s="18"/>
      <c r="D11" s="18"/>
      <c r="E11" s="18"/>
    </row>
    <row r="12" spans="1:5" ht="15.75">
      <c r="A12" s="596" t="s">
        <v>200</v>
      </c>
      <c r="B12" s="597"/>
      <c r="C12" s="597"/>
      <c r="D12" s="597"/>
      <c r="E12" s="597"/>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285</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286</v>
      </c>
      <c r="E18" s="605"/>
    </row>
    <row r="19" spans="1:5" ht="15.75">
      <c r="A19" s="18"/>
      <c r="B19" s="35" t="s">
        <v>10</v>
      </c>
      <c r="C19" s="436" t="s">
        <v>745</v>
      </c>
      <c r="D19" s="37">
        <v>983</v>
      </c>
      <c r="E19" s="37">
        <v>840</v>
      </c>
    </row>
    <row r="20" spans="1:5" ht="15.75">
      <c r="A20" s="18"/>
      <c r="B20" s="35" t="s">
        <v>281</v>
      </c>
      <c r="C20" s="114" t="s">
        <v>159</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840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983</v>
      </c>
      <c r="E28" s="39"/>
    </row>
    <row r="29" spans="1:5" ht="15.75">
      <c r="A29" s="18" t="s">
        <v>253</v>
      </c>
      <c r="B29" s="18"/>
      <c r="C29" s="18"/>
      <c r="D29" s="18"/>
      <c r="E29" s="39"/>
    </row>
    <row r="30" spans="1:5" ht="15.75">
      <c r="A30" s="18">
        <v>1</v>
      </c>
      <c r="B30" s="48" t="s">
        <v>746</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0.544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0.544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820</v>
      </c>
    </row>
    <row r="45" spans="1:5" ht="15.75">
      <c r="A45" s="51" t="str">
        <f>CONCATENATE("Assessed Valuation (",D6-2," budget column)")</f>
        <v>Assessed Valuation (2010 budget column)</v>
      </c>
      <c r="B45" s="29"/>
      <c r="C45" s="18"/>
      <c r="D45" s="18"/>
      <c r="E45" s="53">
        <v>1506636</v>
      </c>
    </row>
    <row r="46" spans="1:5" ht="15.75">
      <c r="A46" s="18"/>
      <c r="B46" s="18"/>
      <c r="C46" s="18"/>
      <c r="D46" s="18"/>
      <c r="E46" s="39"/>
    </row>
    <row r="47" spans="1:5" ht="15.75">
      <c r="A47" s="29" t="s">
        <v>214</v>
      </c>
      <c r="B47" s="29"/>
      <c r="C47" s="54"/>
      <c r="D47" s="55">
        <f>D6-3</f>
        <v>2009</v>
      </c>
      <c r="E47" s="55">
        <f>D6-2</f>
        <v>2010</v>
      </c>
    </row>
    <row r="48" spans="1:5" ht="15.75">
      <c r="A48" s="56" t="s">
        <v>154</v>
      </c>
      <c r="B48" s="56"/>
      <c r="C48" s="57"/>
      <c r="D48" s="58"/>
      <c r="E48" s="58"/>
    </row>
    <row r="49" spans="1:5" ht="15.75">
      <c r="A49" s="59" t="s">
        <v>155</v>
      </c>
      <c r="B49" s="59"/>
      <c r="C49" s="60"/>
      <c r="D49" s="58"/>
      <c r="E49" s="58"/>
    </row>
    <row r="50" spans="1:5" ht="15.75">
      <c r="A50" s="59" t="s">
        <v>688</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2010 'total expenditures' exceed your 2010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2012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2010 budget was amended, did you</v>
      </c>
    </row>
    <row r="26" ht="15">
      <c r="A26" s="384" t="s">
        <v>358</v>
      </c>
    </row>
    <row r="27" ht="15">
      <c r="A27" s="384"/>
    </row>
    <row r="28" ht="15">
      <c r="A28" s="384" t="str">
        <f>CONCATENATE("Next, look to see if any of your ",inputPrYr!D6-2," expenditures can be")</f>
        <v>Next, look to see if any of your 2010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2010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2010 financial records have been closed?</v>
      </c>
    </row>
    <row r="63" ht="15">
      <c r="A63" s="384" t="s">
        <v>387</v>
      </c>
    </row>
    <row r="64" ht="15">
      <c r="A64" s="384" t="str">
        <f>CONCATENATE("(i.e. an audit for ",inputPrYr!D6-2," has been completed, or the ",inputPrYr!D6)</f>
        <v>(i.e. an audit for 2010 has been completed, or the 2012</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2011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2012 'total expenditures' exceed your 2012</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585</v>
      </c>
      <c r="C6" s="678"/>
      <c r="D6" s="678"/>
      <c r="E6" s="678"/>
      <c r="F6" s="678"/>
      <c r="G6" s="678"/>
      <c r="H6" s="678"/>
      <c r="I6" s="678"/>
      <c r="J6" s="678"/>
      <c r="K6" s="678"/>
      <c r="L6" s="440"/>
    </row>
    <row r="7" spans="1:12" ht="40.5" customHeight="1">
      <c r="A7" s="437"/>
      <c r="B7" s="679" t="s">
        <v>586</v>
      </c>
      <c r="C7" s="680"/>
      <c r="D7" s="680"/>
      <c r="E7" s="680"/>
      <c r="F7" s="680"/>
      <c r="G7" s="680"/>
      <c r="H7" s="680"/>
      <c r="I7" s="680"/>
      <c r="J7" s="680"/>
      <c r="K7" s="680"/>
      <c r="L7" s="437"/>
    </row>
    <row r="8" spans="1:12" ht="14.25">
      <c r="A8" s="437"/>
      <c r="B8" s="681" t="s">
        <v>587</v>
      </c>
      <c r="C8" s="681"/>
      <c r="D8" s="681"/>
      <c r="E8" s="681"/>
      <c r="F8" s="681"/>
      <c r="G8" s="681"/>
      <c r="H8" s="681"/>
      <c r="I8" s="681"/>
      <c r="J8" s="681"/>
      <c r="K8" s="681"/>
      <c r="L8" s="437"/>
    </row>
    <row r="9" spans="1:12" ht="14.25">
      <c r="A9" s="437"/>
      <c r="L9" s="437"/>
    </row>
    <row r="10" spans="1:12" ht="14.25">
      <c r="A10" s="437"/>
      <c r="B10" s="681" t="s">
        <v>588</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589</v>
      </c>
      <c r="C12" s="682"/>
      <c r="D12" s="682"/>
      <c r="E12" s="682"/>
      <c r="F12" s="682"/>
      <c r="G12" s="682"/>
      <c r="H12" s="682"/>
      <c r="I12" s="682"/>
      <c r="J12" s="682"/>
      <c r="K12" s="682"/>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83">
        <v>133685008</v>
      </c>
      <c r="G23" s="683"/>
      <c r="L23" s="437"/>
    </row>
    <row r="24" spans="1:12" ht="14.25">
      <c r="A24" s="437"/>
      <c r="L24" s="437"/>
    </row>
    <row r="25" spans="1:12" ht="14.25">
      <c r="A25" s="437"/>
      <c r="C25" s="684">
        <f>F23</f>
        <v>133685008</v>
      </c>
      <c r="D25" s="684"/>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586</v>
      </c>
      <c r="C30" s="685"/>
      <c r="D30" s="685"/>
      <c r="E30" s="685"/>
      <c r="F30" s="685"/>
      <c r="G30" s="685"/>
      <c r="H30" s="685"/>
      <c r="I30" s="685"/>
      <c r="J30" s="685"/>
      <c r="K30" s="685"/>
      <c r="L30" s="437"/>
    </row>
    <row r="31" spans="1:12" ht="14.25">
      <c r="A31" s="437"/>
      <c r="B31" s="681" t="s">
        <v>600</v>
      </c>
      <c r="C31" s="681"/>
      <c r="D31" s="681"/>
      <c r="E31" s="681"/>
      <c r="F31" s="681"/>
      <c r="G31" s="681"/>
      <c r="H31" s="681"/>
      <c r="I31" s="681"/>
      <c r="J31" s="681"/>
      <c r="K31" s="681"/>
      <c r="L31" s="437"/>
    </row>
    <row r="32" spans="1:12" ht="14.25">
      <c r="A32" s="437"/>
      <c r="L32" s="437"/>
    </row>
    <row r="33" spans="1:12" ht="14.25">
      <c r="A33" s="437"/>
      <c r="B33" s="681" t="s">
        <v>601</v>
      </c>
      <c r="C33" s="681"/>
      <c r="D33" s="681"/>
      <c r="E33" s="681"/>
      <c r="F33" s="681"/>
      <c r="G33" s="681"/>
      <c r="H33" s="681"/>
      <c r="I33" s="681"/>
      <c r="J33" s="681"/>
      <c r="K33" s="681"/>
      <c r="L33" s="437"/>
    </row>
    <row r="34" spans="1:12" ht="14.25">
      <c r="A34" s="437"/>
      <c r="L34" s="437"/>
    </row>
    <row r="35" spans="1:12" ht="89.25" customHeight="1">
      <c r="A35" s="437"/>
      <c r="B35" s="682" t="s">
        <v>602</v>
      </c>
      <c r="C35" s="686"/>
      <c r="D35" s="686"/>
      <c r="E35" s="686"/>
      <c r="F35" s="686"/>
      <c r="G35" s="686"/>
      <c r="H35" s="686"/>
      <c r="I35" s="686"/>
      <c r="J35" s="686"/>
      <c r="K35" s="686"/>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687">
        <v>3120000</v>
      </c>
      <c r="D41" s="687"/>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83">
        <v>133685008</v>
      </c>
      <c r="C48" s="683"/>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88" t="s">
        <v>610</v>
      </c>
      <c r="H50" s="689"/>
      <c r="I50" s="450" t="s">
        <v>596</v>
      </c>
      <c r="J50" s="460">
        <f>B50/F50</f>
        <v>52.8690023342034</v>
      </c>
      <c r="K50" s="452"/>
      <c r="L50" s="437"/>
    </row>
    <row r="51" spans="1:15" ht="15" thickBot="1">
      <c r="A51" s="437"/>
      <c r="B51" s="453"/>
      <c r="C51" s="454"/>
      <c r="D51" s="454"/>
      <c r="E51" s="454"/>
      <c r="F51" s="454"/>
      <c r="G51" s="454"/>
      <c r="H51" s="454"/>
      <c r="I51" s="690" t="s">
        <v>611</v>
      </c>
      <c r="J51" s="690"/>
      <c r="K51" s="691"/>
      <c r="L51" s="437"/>
      <c r="O51" s="461"/>
    </row>
    <row r="52" spans="1:12" ht="40.5" customHeight="1">
      <c r="A52" s="437"/>
      <c r="B52" s="685" t="s">
        <v>586</v>
      </c>
      <c r="C52" s="685"/>
      <c r="D52" s="685"/>
      <c r="E52" s="685"/>
      <c r="F52" s="685"/>
      <c r="G52" s="685"/>
      <c r="H52" s="685"/>
      <c r="I52" s="685"/>
      <c r="J52" s="685"/>
      <c r="K52" s="685"/>
      <c r="L52" s="437"/>
    </row>
    <row r="53" spans="1:12" ht="14.25">
      <c r="A53" s="437"/>
      <c r="B53" s="681" t="s">
        <v>612</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613</v>
      </c>
      <c r="C55" s="677"/>
      <c r="D55" s="677"/>
      <c r="E55" s="677"/>
      <c r="F55" s="677"/>
      <c r="G55" s="677"/>
      <c r="H55" s="677"/>
      <c r="I55" s="677"/>
      <c r="J55" s="677"/>
      <c r="K55" s="677"/>
      <c r="L55" s="437"/>
    </row>
    <row r="56" spans="1:12" ht="15" customHeight="1">
      <c r="A56" s="437"/>
      <c r="L56" s="437"/>
    </row>
    <row r="57" spans="1:24" ht="74.25" customHeight="1">
      <c r="A57" s="437"/>
      <c r="B57" s="682" t="s">
        <v>614</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83">
        <v>133685008</v>
      </c>
      <c r="D74" s="683"/>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83">
        <v>5000</v>
      </c>
      <c r="D77" s="683"/>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83">
        <v>100000</v>
      </c>
      <c r="D80" s="683"/>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92">
        <f>H80</f>
        <v>11500</v>
      </c>
      <c r="D83" s="692"/>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586</v>
      </c>
      <c r="C85" s="685"/>
      <c r="D85" s="685"/>
      <c r="E85" s="685"/>
      <c r="F85" s="685"/>
      <c r="G85" s="685"/>
      <c r="H85" s="685"/>
      <c r="I85" s="685"/>
      <c r="J85" s="685"/>
      <c r="K85" s="685"/>
      <c r="L85" s="437"/>
    </row>
    <row r="86" spans="1:12" ht="14.25">
      <c r="A86" s="437"/>
      <c r="B86" s="677" t="s">
        <v>634</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635</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636</v>
      </c>
      <c r="C90" s="682"/>
      <c r="D90" s="682"/>
      <c r="E90" s="682"/>
      <c r="F90" s="682"/>
      <c r="G90" s="682"/>
      <c r="H90" s="682"/>
      <c r="I90" s="682"/>
      <c r="J90" s="682"/>
      <c r="K90" s="682"/>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3">
        <v>133685008</v>
      </c>
      <c r="D94" s="683"/>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3">
        <v>50000</v>
      </c>
      <c r="D97" s="683"/>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3">
        <v>2500000</v>
      </c>
      <c r="D100" s="683"/>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2">
        <f>H100</f>
        <v>750000</v>
      </c>
      <c r="D103" s="692"/>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586</v>
      </c>
      <c r="C105" s="693"/>
      <c r="D105" s="693"/>
      <c r="E105" s="693"/>
      <c r="F105" s="693"/>
      <c r="G105" s="693"/>
      <c r="H105" s="693"/>
      <c r="I105" s="693"/>
      <c r="J105" s="693"/>
      <c r="K105" s="693"/>
      <c r="L105" s="437"/>
    </row>
    <row r="106" spans="1:12" ht="15" customHeight="1">
      <c r="A106" s="437"/>
      <c r="B106" s="694" t="s">
        <v>638</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83">
        <v>133685008</v>
      </c>
      <c r="D114" s="683"/>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83">
        <v>50000</v>
      </c>
      <c r="D117" s="683"/>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83">
        <v>2500000</v>
      </c>
      <c r="D120" s="683"/>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92">
        <f>H120</f>
        <v>625000</v>
      </c>
      <c r="D123" s="692"/>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586</v>
      </c>
      <c r="C125" s="685"/>
      <c r="D125" s="685"/>
      <c r="E125" s="685"/>
      <c r="F125" s="685"/>
      <c r="G125" s="685"/>
      <c r="H125" s="685"/>
      <c r="I125" s="685"/>
      <c r="J125" s="685"/>
      <c r="K125" s="685"/>
      <c r="L125" s="492"/>
    </row>
    <row r="126" spans="1:12" ht="14.25">
      <c r="A126" s="437"/>
      <c r="B126" s="677" t="s">
        <v>641</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642</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643</v>
      </c>
      <c r="C130" s="682"/>
      <c r="D130" s="682"/>
      <c r="E130" s="682"/>
      <c r="F130" s="682"/>
      <c r="G130" s="682"/>
      <c r="H130" s="682"/>
      <c r="I130" s="682"/>
      <c r="J130" s="682"/>
      <c r="K130" s="682"/>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97" t="s">
        <v>644</v>
      </c>
      <c r="D133" s="697"/>
      <c r="E133" s="449"/>
      <c r="F133" s="450" t="s">
        <v>645</v>
      </c>
      <c r="G133" s="449"/>
      <c r="H133" s="697" t="s">
        <v>630</v>
      </c>
      <c r="I133" s="697"/>
      <c r="J133" s="449"/>
      <c r="K133" s="452"/>
      <c r="L133" s="437"/>
    </row>
    <row r="134" spans="1:12" ht="14.25">
      <c r="A134" s="437"/>
      <c r="B134" s="458" t="s">
        <v>623</v>
      </c>
      <c r="C134" s="683">
        <v>100000</v>
      </c>
      <c r="D134" s="683"/>
      <c r="E134" s="450" t="s">
        <v>28</v>
      </c>
      <c r="F134" s="450">
        <v>0.115</v>
      </c>
      <c r="G134" s="450" t="s">
        <v>596</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630</v>
      </c>
      <c r="D136" s="699"/>
      <c r="E136" s="469"/>
      <c r="F136" s="470" t="s">
        <v>646</v>
      </c>
      <c r="G136" s="470"/>
      <c r="H136" s="469"/>
      <c r="I136" s="469"/>
      <c r="J136" s="469" t="s">
        <v>647</v>
      </c>
      <c r="K136" s="471"/>
      <c r="L136" s="437"/>
    </row>
    <row r="137" spans="1:12" ht="14.25">
      <c r="A137" s="437"/>
      <c r="B137" s="458" t="s">
        <v>626</v>
      </c>
      <c r="C137" s="698">
        <f>H134</f>
        <v>11500</v>
      </c>
      <c r="D137" s="698"/>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650</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98" t="s">
        <v>651</v>
      </c>
      <c r="D147" s="698"/>
      <c r="E147" s="450"/>
      <c r="F147" s="510" t="s">
        <v>652</v>
      </c>
      <c r="G147" s="450"/>
      <c r="H147" s="450"/>
      <c r="I147" s="450"/>
      <c r="J147" s="703" t="s">
        <v>653</v>
      </c>
      <c r="K147" s="704"/>
      <c r="L147" s="437"/>
    </row>
    <row r="148" spans="1:12" ht="14.25">
      <c r="A148" s="437"/>
      <c r="B148" s="458"/>
      <c r="C148" s="705">
        <v>52.869</v>
      </c>
      <c r="D148" s="705"/>
      <c r="E148" s="450" t="s">
        <v>28</v>
      </c>
      <c r="F148" s="515">
        <v>133685008</v>
      </c>
      <c r="G148" s="516" t="s">
        <v>597</v>
      </c>
      <c r="H148" s="450">
        <v>1000</v>
      </c>
      <c r="I148" s="450" t="s">
        <v>596</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740</v>
      </c>
    </row>
    <row r="2" ht="15.75">
      <c r="A2" s="591" t="s">
        <v>741</v>
      </c>
    </row>
    <row r="3" ht="15.75">
      <c r="A3" s="591" t="s">
        <v>742</v>
      </c>
    </row>
    <row r="5" ht="15.75">
      <c r="A5" s="381" t="s">
        <v>694</v>
      </c>
    </row>
    <row r="6" ht="15.75">
      <c r="A6" s="591" t="s">
        <v>695</v>
      </c>
    </row>
    <row r="7" ht="15.75">
      <c r="A7" s="591" t="s">
        <v>696</v>
      </c>
    </row>
    <row r="8" ht="31.5">
      <c r="A8" s="592" t="s">
        <v>736</v>
      </c>
    </row>
    <row r="9" ht="15.75">
      <c r="A9" s="591" t="s">
        <v>697</v>
      </c>
    </row>
    <row r="10" ht="15.75">
      <c r="A10" s="591" t="s">
        <v>698</v>
      </c>
    </row>
    <row r="11" ht="15.75">
      <c r="A11" s="591" t="s">
        <v>699</v>
      </c>
    </row>
    <row r="12" ht="15.75">
      <c r="A12" s="591" t="s">
        <v>700</v>
      </c>
    </row>
    <row r="13" ht="15.75">
      <c r="A13" s="591" t="s">
        <v>701</v>
      </c>
    </row>
    <row r="14" ht="15.75">
      <c r="A14" s="591" t="s">
        <v>702</v>
      </c>
    </row>
    <row r="15" ht="15.75">
      <c r="A15" s="591" t="s">
        <v>703</v>
      </c>
    </row>
    <row r="16" ht="15.75">
      <c r="A16" s="591" t="s">
        <v>704</v>
      </c>
    </row>
    <row r="17" ht="15.75">
      <c r="A17" s="591" t="s">
        <v>705</v>
      </c>
    </row>
    <row r="18" ht="15.75">
      <c r="A18" s="591" t="s">
        <v>706</v>
      </c>
    </row>
    <row r="19" ht="15.75">
      <c r="A19" s="591" t="s">
        <v>707</v>
      </c>
    </row>
    <row r="20" ht="15.75">
      <c r="A20" s="591" t="s">
        <v>708</v>
      </c>
    </row>
    <row r="21" ht="15.75">
      <c r="A21" s="591" t="s">
        <v>709</v>
      </c>
    </row>
    <row r="22" ht="15.75">
      <c r="A22" s="591" t="s">
        <v>710</v>
      </c>
    </row>
    <row r="23" ht="15.75">
      <c r="A23" s="591" t="s">
        <v>711</v>
      </c>
    </row>
    <row r="24" ht="15.75">
      <c r="A24" s="591" t="s">
        <v>712</v>
      </c>
    </row>
    <row r="25" ht="15.75">
      <c r="A25" s="591" t="s">
        <v>713</v>
      </c>
    </row>
    <row r="26" ht="15.75">
      <c r="A26" s="591" t="s">
        <v>714</v>
      </c>
    </row>
    <row r="27" ht="15.75">
      <c r="A27" s="591" t="s">
        <v>715</v>
      </c>
    </row>
    <row r="28" ht="15.75">
      <c r="A28" s="591" t="s">
        <v>737</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294</v>
      </c>
    </row>
    <row r="103" ht="15.75">
      <c r="A103" s="98" t="s">
        <v>0</v>
      </c>
    </row>
    <row r="104" ht="15.75">
      <c r="A104" s="98" t="s">
        <v>1</v>
      </c>
    </row>
    <row r="105" ht="15.75">
      <c r="A105" s="98" t="s">
        <v>2</v>
      </c>
    </row>
    <row r="106" ht="15.75">
      <c r="A106" s="98" t="s">
        <v>295</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2">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Afton Cemetery</v>
      </c>
      <c r="B1" s="62"/>
      <c r="C1" s="62"/>
      <c r="D1" s="62"/>
      <c r="E1" s="62">
        <f>inputPrYr!D6</f>
        <v>2012</v>
      </c>
    </row>
    <row r="2" spans="1:5" ht="15.75">
      <c r="A2" s="62" t="str">
        <f>inputPrYr!D4</f>
        <v>Marshall County </v>
      </c>
      <c r="B2" s="62"/>
      <c r="C2" s="62"/>
      <c r="D2" s="62"/>
      <c r="E2" s="62"/>
    </row>
    <row r="3" spans="1:5" ht="15">
      <c r="A3" s="64"/>
      <c r="B3" s="64"/>
      <c r="C3" s="64"/>
      <c r="D3" s="64"/>
      <c r="E3" s="64"/>
    </row>
    <row r="4" spans="1:5" ht="15.75">
      <c r="A4" s="596" t="s">
        <v>200</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1637999</v>
      </c>
    </row>
    <row r="8" spans="1:5" ht="15.75">
      <c r="A8" s="68" t="str">
        <f>CONCATENATE("New Improvements for ",inputPrYr!D6-1,"")</f>
        <v>New Improvements for 2011</v>
      </c>
      <c r="B8" s="69"/>
      <c r="C8" s="69"/>
      <c r="D8" s="69"/>
      <c r="E8" s="70">
        <v>32270</v>
      </c>
    </row>
    <row r="9" spans="1:5" ht="15.75">
      <c r="A9" s="68" t="str">
        <f>CONCATENATE("Personal Property excluding oil, gas, and mobile homes- ",inputPrYr!D6-1,"")</f>
        <v>Personal Property excluding oil, gas, and mobile homes- 2011</v>
      </c>
      <c r="B9" s="69"/>
      <c r="C9" s="69"/>
      <c r="D9" s="69"/>
      <c r="E9" s="70">
        <v>33148</v>
      </c>
    </row>
    <row r="10" spans="1:5" ht="15.75">
      <c r="A10" s="68" t="str">
        <f>CONCATENATE("Property that has changed in use for ",inputPrYr!D6-1,"")</f>
        <v>Property that has changed in use for 2011</v>
      </c>
      <c r="B10" s="69"/>
      <c r="C10" s="69"/>
      <c r="D10" s="69"/>
      <c r="E10" s="70">
        <v>5606</v>
      </c>
    </row>
    <row r="11" spans="1:5" ht="15.75">
      <c r="A11" s="67" t="str">
        <f>CONCATENATE("Personal Property excluding oil, gas, and mobile homes- ",inputPrYr!D6-2,"")</f>
        <v>Personal Property excluding oil, gas, and mobile homes- 2010</v>
      </c>
      <c r="B11" s="42"/>
      <c r="C11" s="42"/>
      <c r="D11" s="42"/>
      <c r="E11" s="70">
        <v>25530</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63</v>
      </c>
      <c r="E15" s="74"/>
    </row>
    <row r="16" spans="1:5" ht="15.75">
      <c r="A16" s="67" t="s">
        <v>10</v>
      </c>
      <c r="B16" s="42"/>
      <c r="C16" s="71"/>
      <c r="D16" s="76">
        <v>0.552</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0.552</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1522190</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64.96</v>
      </c>
    </row>
    <row r="28" spans="1:5" ht="15.75">
      <c r="A28" s="68" t="s">
        <v>15</v>
      </c>
      <c r="B28" s="69"/>
      <c r="C28" s="69"/>
      <c r="D28" s="86"/>
      <c r="E28" s="37">
        <v>1.84</v>
      </c>
    </row>
    <row r="29" spans="1:5" ht="15.75">
      <c r="A29" s="68" t="s">
        <v>175</v>
      </c>
      <c r="B29" s="69"/>
      <c r="C29" s="69"/>
      <c r="D29" s="86"/>
      <c r="E29" s="37">
        <v>32.09</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211</v>
      </c>
      <c r="B36" s="88"/>
      <c r="C36" s="71"/>
      <c r="D36" s="71"/>
      <c r="E36" s="413"/>
    </row>
    <row r="37" spans="1:5" ht="15.75">
      <c r="A37" s="90" t="s">
        <v>177</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220</v>
      </c>
      <c r="B41" s="94" t="s">
        <v>221</v>
      </c>
      <c r="C41" s="95" t="s">
        <v>222</v>
      </c>
      <c r="D41" s="96"/>
      <c r="E41" s="96"/>
    </row>
    <row r="42" spans="1:5" ht="15.75">
      <c r="A42" s="97" t="str">
        <f>inputPrYr!B19</f>
        <v>General</v>
      </c>
      <c r="B42" s="58">
        <v>935</v>
      </c>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21" sqref="G21"/>
    </sheetView>
  </sheetViews>
  <sheetFormatPr defaultColWidth="8.796875" defaultRowHeight="15"/>
  <cols>
    <col min="1" max="1" width="13.796875" style="0" customWidth="1"/>
    <col min="2" max="2" width="16.09765625" style="0" customWidth="1"/>
  </cols>
  <sheetData>
    <row r="2" spans="1:6" ht="54" customHeight="1">
      <c r="A2" s="611" t="s">
        <v>329</v>
      </c>
      <c r="B2" s="612"/>
      <c r="C2" s="612"/>
      <c r="D2" s="612"/>
      <c r="E2" s="612"/>
      <c r="F2" s="612"/>
    </row>
    <row r="4" spans="1:6" ht="15.75">
      <c r="A4" s="366"/>
      <c r="B4" s="366"/>
      <c r="C4" s="366"/>
      <c r="D4" s="367"/>
      <c r="E4" s="366"/>
      <c r="F4" s="366"/>
    </row>
    <row r="5" spans="1:6" ht="15.75">
      <c r="A5" s="368" t="s">
        <v>330</v>
      </c>
      <c r="B5" s="369" t="s">
        <v>751</v>
      </c>
      <c r="C5" s="370"/>
      <c r="D5" s="368" t="s">
        <v>739</v>
      </c>
      <c r="E5" s="366"/>
      <c r="F5" s="366"/>
    </row>
    <row r="6" spans="1:6" ht="15.75">
      <c r="A6" s="368"/>
      <c r="B6" s="371"/>
      <c r="C6" s="372"/>
      <c r="D6" s="368" t="s">
        <v>738</v>
      </c>
      <c r="E6" s="366"/>
      <c r="F6" s="366"/>
    </row>
    <row r="7" spans="1:6" ht="15.75">
      <c r="A7" s="368" t="s">
        <v>331</v>
      </c>
      <c r="B7" s="369" t="s">
        <v>752</v>
      </c>
      <c r="C7" s="373"/>
      <c r="D7" s="368"/>
      <c r="E7" s="366"/>
      <c r="F7" s="366"/>
    </row>
    <row r="8" spans="1:6" ht="15.75">
      <c r="A8" s="368"/>
      <c r="B8" s="368"/>
      <c r="C8" s="368"/>
      <c r="D8" s="368"/>
      <c r="E8" s="366"/>
      <c r="F8" s="366"/>
    </row>
    <row r="9" spans="1:6" ht="15.75">
      <c r="A9" s="368" t="s">
        <v>332</v>
      </c>
      <c r="B9" s="374" t="s">
        <v>756</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t="s">
        <v>753</v>
      </c>
      <c r="C12" s="374"/>
      <c r="D12" s="374"/>
      <c r="E12" s="375"/>
      <c r="F12" s="366"/>
    </row>
    <row r="15" spans="1:6" ht="15.75">
      <c r="A15" s="613" t="s">
        <v>334</v>
      </c>
      <c r="B15" s="613"/>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L34" sqref="L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81</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Marshall County , State of Kansas</v>
      </c>
      <c r="B4" s="616"/>
      <c r="C4" s="616"/>
      <c r="D4" s="616"/>
      <c r="E4" s="616"/>
      <c r="F4" s="616"/>
      <c r="G4" s="616"/>
    </row>
    <row r="5" spans="1:7" ht="15.75">
      <c r="A5" s="100" t="s">
        <v>158</v>
      </c>
      <c r="B5" s="26"/>
      <c r="C5" s="26"/>
      <c r="D5" s="26"/>
      <c r="E5" s="26"/>
      <c r="F5" s="26"/>
      <c r="G5" s="26"/>
    </row>
    <row r="6" spans="1:7" ht="15.75">
      <c r="A6" s="598" t="str">
        <f>inputPrYr!D3</f>
        <v>Afton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221</v>
      </c>
      <c r="F15" s="620" t="str">
        <f>CONCATENATE("Amount of ",G3-1," Ad Valorem Tax")</f>
        <v>Amount of 2011 Ad Valorem Tax</v>
      </c>
      <c r="G15" s="106" t="s">
        <v>21</v>
      </c>
    </row>
    <row r="16" spans="1:7" ht="15.75">
      <c r="A16" s="17" t="s">
        <v>22</v>
      </c>
      <c r="B16" s="18"/>
      <c r="C16" s="18"/>
      <c r="D16" s="108" t="s">
        <v>23</v>
      </c>
      <c r="E16" s="108" t="s">
        <v>579</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10-1015</v>
      </c>
      <c r="D23" s="123">
        <v>6</v>
      </c>
      <c r="E23" s="124">
        <f>IF(gen!$E$50&lt;&gt;0,gen!$E$50,"  ")</f>
        <v>963</v>
      </c>
      <c r="F23" s="124">
        <f>IF(gen!$E$57&lt;&gt;0,gen!$E$57,"  ")</f>
        <v>862.1899999999999</v>
      </c>
      <c r="G23" s="125" t="str">
        <f>IF(AND(gen!E57=0,$G$32&gt;=0)," ",IF(AND(F23&gt;0,$G$32=0)," ",IF(AND(F23&gt;0,$G$32&gt;0),ROUND(F23/$G$32*1000,3))))</f>
        <v> </v>
      </c>
    </row>
    <row r="24" spans="1:7" ht="15.7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v>7</v>
      </c>
      <c r="E29" s="131"/>
      <c r="F29" s="132"/>
      <c r="G29" s="133"/>
    </row>
    <row r="30" spans="1:7" ht="15.75">
      <c r="A30" s="134" t="s">
        <v>136</v>
      </c>
      <c r="B30" s="69"/>
      <c r="C30" s="119"/>
      <c r="D30" s="135" t="s">
        <v>28</v>
      </c>
      <c r="E30" s="414">
        <f>SUM(E23:E28)</f>
        <v>963</v>
      </c>
      <c r="F30" s="415">
        <f>SUM(F23:F28)</f>
        <v>862.1899999999999</v>
      </c>
      <c r="G30" s="419">
        <f>IF(SUM(G23:G28)=0,"",SUM(G23:G28))</f>
      </c>
    </row>
    <row r="31" spans="1:7" ht="15.75">
      <c r="A31" s="122" t="s">
        <v>209</v>
      </c>
      <c r="B31" s="69"/>
      <c r="C31" s="119"/>
      <c r="D31" s="138">
        <f>summ!E41</f>
        <v>8</v>
      </c>
      <c r="E31" s="142" t="s">
        <v>204</v>
      </c>
      <c r="F31" s="418" t="str">
        <f>IF(F30&gt;computation!J34,"Yes","No")</f>
        <v>No</v>
      </c>
      <c r="G31" s="420" t="s">
        <v>138</v>
      </c>
    </row>
    <row r="32" spans="1:7" ht="15.75">
      <c r="A32" s="122" t="s">
        <v>228</v>
      </c>
      <c r="B32" s="140"/>
      <c r="C32" s="141"/>
      <c r="D32" s="138">
        <f>IF(Nhood!C35=0,"",Nhood!C35)</f>
      </c>
      <c r="E32" s="416"/>
      <c r="F32" s="71"/>
      <c r="G32" s="147"/>
    </row>
    <row r="33" spans="1:7" ht="15.75">
      <c r="A33" s="143" t="s">
        <v>203</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201</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Afton Cemetery</v>
      </c>
      <c r="D1" s="18"/>
      <c r="E1" s="18"/>
      <c r="F1" s="18"/>
      <c r="G1" s="18"/>
      <c r="H1" s="18"/>
      <c r="I1" s="18"/>
      <c r="J1" s="18">
        <f>inputPrYr!D6</f>
        <v>2012</v>
      </c>
    </row>
    <row r="2" spans="1:10" ht="15.75" customHeight="1">
      <c r="A2" s="18"/>
      <c r="B2" s="18"/>
      <c r="C2" s="18" t="str">
        <f>inputPrYr!D4</f>
        <v>Marshall County </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92</v>
      </c>
    </row>
    <row r="5" spans="1:10" ht="15.75">
      <c r="A5" s="155" t="s">
        <v>93</v>
      </c>
      <c r="B5" s="18" t="str">
        <f>CONCATENATE("Total Tax Levy Amount in ",J1-1," Budget")</f>
        <v>Total Tax Levy Amount in 2011 Budget</v>
      </c>
      <c r="C5" s="18"/>
      <c r="D5" s="18"/>
      <c r="E5" s="39"/>
      <c r="F5" s="39"/>
      <c r="G5" s="39"/>
      <c r="H5" s="156" t="s">
        <v>94</v>
      </c>
      <c r="I5" s="39" t="s">
        <v>95</v>
      </c>
      <c r="J5" s="392">
        <f>inputPrYr!E24</f>
        <v>840</v>
      </c>
    </row>
    <row r="6" spans="1:10" ht="15.75">
      <c r="A6" s="155" t="s">
        <v>96</v>
      </c>
      <c r="B6" s="18" t="str">
        <f>CONCATENATE("Debt Service Levy in ",J1-1," Budget")</f>
        <v>Debt Service Levy in 2011 Budget</v>
      </c>
      <c r="C6" s="18"/>
      <c r="D6" s="18"/>
      <c r="E6" s="39"/>
      <c r="F6" s="39"/>
      <c r="G6" s="39"/>
      <c r="H6" s="156" t="s">
        <v>97</v>
      </c>
      <c r="I6" s="39" t="s">
        <v>95</v>
      </c>
      <c r="J6" s="157">
        <f>inputPrYr!E20</f>
        <v>0</v>
      </c>
    </row>
    <row r="7" spans="1:10" ht="15.75">
      <c r="A7" s="155" t="s">
        <v>121</v>
      </c>
      <c r="B7" s="27" t="s">
        <v>115</v>
      </c>
      <c r="C7" s="18"/>
      <c r="D7" s="18"/>
      <c r="E7" s="39"/>
      <c r="F7" s="39"/>
      <c r="G7" s="39"/>
      <c r="H7" s="39"/>
      <c r="I7" s="39" t="s">
        <v>95</v>
      </c>
      <c r="J7" s="43">
        <f>J5-J6</f>
        <v>840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98</v>
      </c>
      <c r="B11" s="27" t="str">
        <f>CONCATENATE("New Improvements for ",J1-1,":")</f>
        <v>New Improvements for 2011:</v>
      </c>
      <c r="C11" s="18"/>
      <c r="D11" s="18"/>
      <c r="E11" s="156"/>
      <c r="F11" s="156" t="s">
        <v>94</v>
      </c>
      <c r="G11" s="158">
        <f>inputOth!E8</f>
        <v>32270</v>
      </c>
      <c r="H11" s="159"/>
      <c r="I11" s="39"/>
      <c r="J11" s="39"/>
    </row>
    <row r="12" spans="1:10" ht="15.75">
      <c r="A12" s="155"/>
      <c r="B12" s="155"/>
      <c r="C12" s="18"/>
      <c r="D12" s="18"/>
      <c r="E12" s="156"/>
      <c r="F12" s="156"/>
      <c r="G12" s="159"/>
      <c r="H12" s="159"/>
      <c r="I12" s="39"/>
      <c r="J12" s="39"/>
    </row>
    <row r="13" spans="1:10" ht="15.75">
      <c r="A13" s="155" t="s">
        <v>99</v>
      </c>
      <c r="B13" s="27" t="str">
        <f>CONCATENATE("Increase in Personal Property for ",J1-1,":")</f>
        <v>Increase in Personal Property for 2011:</v>
      </c>
      <c r="C13" s="18"/>
      <c r="D13" s="18"/>
      <c r="E13" s="156"/>
      <c r="F13" s="156"/>
      <c r="G13" s="159"/>
      <c r="H13" s="159"/>
      <c r="I13" s="39"/>
      <c r="J13" s="39"/>
    </row>
    <row r="14" spans="1:10" ht="15.75">
      <c r="A14" s="18"/>
      <c r="B14" s="18" t="s">
        <v>100</v>
      </c>
      <c r="C14" s="18" t="str">
        <f>CONCATENATE("Personal Property ",J1-1,"")</f>
        <v>Personal Property 2011</v>
      </c>
      <c r="D14" s="155" t="s">
        <v>94</v>
      </c>
      <c r="E14" s="158">
        <f>inputOth!E9</f>
        <v>33148</v>
      </c>
      <c r="F14" s="156"/>
      <c r="G14" s="39"/>
      <c r="H14" s="39"/>
      <c r="I14" s="159"/>
      <c r="J14" s="39"/>
    </row>
    <row r="15" spans="1:10" ht="15.75">
      <c r="A15" s="155"/>
      <c r="B15" s="18" t="s">
        <v>101</v>
      </c>
      <c r="C15" s="18" t="str">
        <f>CONCATENATE("Personal Property ",J1-2,"")</f>
        <v>Personal Property 2010</v>
      </c>
      <c r="D15" s="155" t="s">
        <v>97</v>
      </c>
      <c r="E15" s="43">
        <f>inputOth!E11</f>
        <v>25530</v>
      </c>
      <c r="F15" s="156"/>
      <c r="G15" s="159"/>
      <c r="H15" s="159"/>
      <c r="I15" s="39"/>
      <c r="J15" s="39"/>
    </row>
    <row r="16" spans="1:10" ht="15.75">
      <c r="A16" s="155"/>
      <c r="B16" s="18" t="s">
        <v>102</v>
      </c>
      <c r="C16" s="18" t="s">
        <v>116</v>
      </c>
      <c r="D16" s="18"/>
      <c r="E16" s="39"/>
      <c r="F16" s="39" t="s">
        <v>94</v>
      </c>
      <c r="G16" s="158">
        <f>IF(E14&gt;E15,E14-E15,0)</f>
        <v>7618</v>
      </c>
      <c r="H16" s="159"/>
      <c r="I16" s="39"/>
      <c r="J16" s="39"/>
    </row>
    <row r="17" spans="1:10" ht="15.75">
      <c r="A17" s="155"/>
      <c r="B17" s="155"/>
      <c r="C17" s="18"/>
      <c r="D17" s="18"/>
      <c r="E17" s="39"/>
      <c r="F17" s="39"/>
      <c r="G17" s="159" t="s">
        <v>110</v>
      </c>
      <c r="H17" s="159"/>
      <c r="I17" s="39"/>
      <c r="J17" s="39"/>
    </row>
    <row r="18" spans="1:10" ht="15.75">
      <c r="A18" s="155" t="s">
        <v>103</v>
      </c>
      <c r="B18" s="27" t="str">
        <f>CONCATENATE("Valuation of Property that has Changed in Use during ",J1-1,":")</f>
        <v>Valuation of Property that has Changed in Use during 2011:</v>
      </c>
      <c r="C18" s="18"/>
      <c r="D18" s="155"/>
      <c r="E18" s="39"/>
      <c r="F18" s="39"/>
      <c r="G18" s="39">
        <f>inputOth!E10</f>
        <v>5606</v>
      </c>
      <c r="H18" s="39"/>
      <c r="I18" s="39"/>
      <c r="J18" s="39"/>
    </row>
    <row r="19" spans="1:10" ht="15.75">
      <c r="A19" s="18" t="s">
        <v>18</v>
      </c>
      <c r="B19" s="18"/>
      <c r="C19" s="18"/>
      <c r="D19" s="18"/>
      <c r="E19" s="159"/>
      <c r="F19" s="39"/>
      <c r="G19" s="160"/>
      <c r="H19" s="159"/>
      <c r="I19" s="39"/>
      <c r="J19" s="39"/>
    </row>
    <row r="20" spans="1:10" ht="15.75">
      <c r="A20" s="155" t="s">
        <v>104</v>
      </c>
      <c r="B20" s="27" t="s">
        <v>117</v>
      </c>
      <c r="C20" s="18"/>
      <c r="D20" s="155"/>
      <c r="E20" s="39"/>
      <c r="F20" s="39"/>
      <c r="G20" s="158">
        <f>G11+G16+G18</f>
        <v>45494</v>
      </c>
      <c r="H20" s="159"/>
      <c r="I20" s="39"/>
      <c r="J20" s="39"/>
    </row>
    <row r="21" spans="1:10" ht="15.75">
      <c r="A21" s="155"/>
      <c r="B21" s="155"/>
      <c r="C21" s="27"/>
      <c r="D21" s="18"/>
      <c r="E21" s="39"/>
      <c r="F21" s="39"/>
      <c r="G21" s="159"/>
      <c r="H21" s="159"/>
      <c r="I21" s="39"/>
      <c r="J21" s="39"/>
    </row>
    <row r="22" spans="1:10" ht="15.75">
      <c r="A22" s="155" t="s">
        <v>105</v>
      </c>
      <c r="B22" s="18" t="str">
        <f>CONCATENATE("Total Estimated Valuation July, 1,",J1-1,"")</f>
        <v>Total Estimated Valuation July, 1,2011</v>
      </c>
      <c r="C22" s="18"/>
      <c r="D22" s="18"/>
      <c r="E22" s="158">
        <f>inputOth!E7</f>
        <v>1637999</v>
      </c>
      <c r="F22" s="39"/>
      <c r="G22" s="39"/>
      <c r="H22" s="39"/>
      <c r="I22" s="156"/>
      <c r="J22" s="39"/>
    </row>
    <row r="23" spans="1:10" ht="15.75">
      <c r="A23" s="155"/>
      <c r="B23" s="155"/>
      <c r="C23" s="18"/>
      <c r="D23" s="18"/>
      <c r="E23" s="159"/>
      <c r="F23" s="39"/>
      <c r="G23" s="39"/>
      <c r="H23" s="39"/>
      <c r="I23" s="156"/>
      <c r="J23" s="39"/>
    </row>
    <row r="24" spans="1:10" ht="15.75">
      <c r="A24" s="155" t="s">
        <v>106</v>
      </c>
      <c r="B24" s="27" t="s">
        <v>118</v>
      </c>
      <c r="C24" s="18"/>
      <c r="D24" s="18"/>
      <c r="E24" s="39"/>
      <c r="F24" s="39"/>
      <c r="G24" s="158">
        <f>E22-G20</f>
        <v>1592505</v>
      </c>
      <c r="H24" s="159"/>
      <c r="I24" s="156"/>
      <c r="J24" s="39"/>
    </row>
    <row r="25" spans="1:10" ht="15.75">
      <c r="A25" s="155"/>
      <c r="B25" s="155"/>
      <c r="C25" s="27"/>
      <c r="D25" s="18"/>
      <c r="E25" s="39"/>
      <c r="F25" s="39"/>
      <c r="G25" s="160"/>
      <c r="H25" s="159"/>
      <c r="I25" s="156"/>
      <c r="J25" s="39"/>
    </row>
    <row r="26" spans="1:10" ht="15.75">
      <c r="A26" s="155" t="s">
        <v>107</v>
      </c>
      <c r="B26" s="18" t="s">
        <v>119</v>
      </c>
      <c r="C26" s="18"/>
      <c r="D26" s="18"/>
      <c r="E26" s="18"/>
      <c r="F26" s="18"/>
      <c r="G26" s="161">
        <f>IF(G20&gt;0,G20/G24,0)</f>
        <v>0.0285675712164169</v>
      </c>
      <c r="H26" s="71"/>
      <c r="I26" s="18"/>
      <c r="J26" s="18"/>
    </row>
    <row r="27" spans="1:10" ht="15.75">
      <c r="A27" s="155"/>
      <c r="B27" s="155"/>
      <c r="C27" s="18"/>
      <c r="D27" s="18"/>
      <c r="E27" s="18"/>
      <c r="F27" s="18"/>
      <c r="G27" s="71"/>
      <c r="H27" s="71"/>
      <c r="I27" s="18"/>
      <c r="J27" s="18"/>
    </row>
    <row r="28" spans="1:10" ht="15.75">
      <c r="A28" s="155" t="s">
        <v>108</v>
      </c>
      <c r="B28" s="18" t="s">
        <v>120</v>
      </c>
      <c r="C28" s="18"/>
      <c r="D28" s="18"/>
      <c r="E28" s="18"/>
      <c r="F28" s="18"/>
      <c r="G28" s="71"/>
      <c r="H28" s="162" t="s">
        <v>94</v>
      </c>
      <c r="I28" s="18" t="s">
        <v>95</v>
      </c>
      <c r="J28" s="158">
        <f>ROUND(G26*J7,0)</f>
        <v>24</v>
      </c>
    </row>
    <row r="29" spans="1:10" ht="15.75">
      <c r="A29" s="155"/>
      <c r="B29" s="155"/>
      <c r="C29" s="18"/>
      <c r="D29" s="18"/>
      <c r="E29" s="18"/>
      <c r="F29" s="18"/>
      <c r="G29" s="71"/>
      <c r="H29" s="162"/>
      <c r="I29" s="18"/>
      <c r="J29" s="159"/>
    </row>
    <row r="30" spans="1:10" ht="16.5" thickBot="1">
      <c r="A30" s="155" t="s">
        <v>109</v>
      </c>
      <c r="B30" s="27" t="s">
        <v>125</v>
      </c>
      <c r="C30" s="18"/>
      <c r="D30" s="18"/>
      <c r="E30" s="18"/>
      <c r="F30" s="18"/>
      <c r="G30" s="18"/>
      <c r="H30" s="18"/>
      <c r="I30" s="18" t="s">
        <v>95</v>
      </c>
      <c r="J30" s="163">
        <f>J7+J28</f>
        <v>864</v>
      </c>
    </row>
    <row r="31" spans="1:10" ht="16.5" thickTop="1">
      <c r="A31" s="155"/>
      <c r="B31" s="27"/>
      <c r="C31" s="18"/>
      <c r="D31" s="18"/>
      <c r="E31" s="18"/>
      <c r="F31" s="18"/>
      <c r="G31" s="18"/>
      <c r="H31" s="18"/>
      <c r="I31" s="18"/>
      <c r="J31" s="18"/>
    </row>
    <row r="32" spans="1:10" ht="15.75">
      <c r="A32" s="155" t="s">
        <v>123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124</v>
      </c>
      <c r="B34" s="27" t="s">
        <v>126</v>
      </c>
      <c r="C34" s="18"/>
      <c r="D34" s="18"/>
      <c r="E34" s="18"/>
      <c r="F34" s="18"/>
      <c r="G34" s="18"/>
      <c r="H34" s="18"/>
      <c r="I34" s="18"/>
      <c r="J34" s="163">
        <f>J30+J32</f>
        <v>864</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Afton Cemetery</v>
      </c>
      <c r="C1" s="18"/>
      <c r="D1" s="18"/>
      <c r="E1" s="18"/>
      <c r="F1" s="18"/>
      <c r="G1" s="18"/>
      <c r="H1" s="18"/>
      <c r="I1" s="165"/>
      <c r="J1" s="18"/>
    </row>
    <row r="2" spans="1:10" ht="15.75">
      <c r="A2" s="18"/>
      <c r="B2" s="18" t="str">
        <f>inputPrYr!D4</f>
        <v>Marshall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238</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89</v>
      </c>
      <c r="G10" s="114" t="s">
        <v>163</v>
      </c>
      <c r="H10" s="18"/>
      <c r="I10" s="18"/>
      <c r="J10" s="18"/>
    </row>
    <row r="11" spans="1:10" ht="15.75">
      <c r="A11" s="18"/>
      <c r="B11" s="38" t="str">
        <f>inputPrYr!B19</f>
        <v>General</v>
      </c>
      <c r="C11" s="128">
        <f>inputPrYr!E19</f>
        <v>840</v>
      </c>
      <c r="D11" s="128">
        <f>IF(E17=0,0,E17-D12-D13-D14)</f>
        <v>64.96</v>
      </c>
      <c r="E11" s="128">
        <f>IF(E19=0,0,E19-E12-E13-E14)</f>
        <v>1.84</v>
      </c>
      <c r="F11" s="128">
        <f>IF(E21=0,0,E21-F12-F13-F14)</f>
        <v>32.09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840</v>
      </c>
      <c r="D15" s="137">
        <f>SUM(D11:D14)</f>
        <v>64.96</v>
      </c>
      <c r="E15" s="137">
        <f>SUM(E11:E14)</f>
        <v>1.84</v>
      </c>
      <c r="F15" s="137">
        <f>SUM(F11:F14)</f>
        <v>32.09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64.96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1.84</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9">
        <f>inputOth!E29</f>
        <v>32.09</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0.07733333333333332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0.0021904761904761906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91</v>
      </c>
      <c r="E29" s="172">
        <f>IF(C15=0,0,E21/C15)</f>
        <v>0.03820238095238096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1" sqref="C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Afton Cemetery</v>
      </c>
      <c r="B2" s="175"/>
      <c r="C2" s="18"/>
      <c r="D2" s="18"/>
      <c r="E2" s="165"/>
      <c r="F2" s="18"/>
    </row>
    <row r="3" spans="1:6" ht="15.75">
      <c r="A3" s="175" t="str">
        <f>inputPrYr!D4</f>
        <v>Marshall County </v>
      </c>
      <c r="B3" s="175"/>
      <c r="C3" s="18"/>
      <c r="D3" s="18"/>
      <c r="E3" s="165"/>
      <c r="F3" s="18"/>
    </row>
    <row r="4" spans="1:6" ht="15.75">
      <c r="A4" s="166"/>
      <c r="B4" s="18"/>
      <c r="C4" s="18"/>
      <c r="D4" s="18"/>
      <c r="E4" s="165"/>
      <c r="F4" s="18"/>
    </row>
    <row r="5" spans="1:6" ht="15" customHeight="1">
      <c r="A5" s="615" t="s">
        <v>147</v>
      </c>
      <c r="B5" s="615"/>
      <c r="C5" s="615"/>
      <c r="D5" s="615"/>
      <c r="E5" s="615"/>
      <c r="F5" s="615"/>
    </row>
    <row r="6" spans="1:6" ht="14.25" customHeight="1">
      <c r="A6" s="99"/>
      <c r="B6" s="176"/>
      <c r="C6" s="176"/>
      <c r="D6" s="176"/>
      <c r="E6" s="176"/>
      <c r="F6" s="176"/>
    </row>
    <row r="7" spans="1:6" ht="17.25" customHeight="1">
      <c r="A7" s="177" t="s">
        <v>24</v>
      </c>
      <c r="B7" s="177" t="s">
        <v>570</v>
      </c>
      <c r="C7" s="177" t="s">
        <v>51</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t="s">
        <v>749</v>
      </c>
      <c r="B10" s="182" t="s">
        <v>746</v>
      </c>
      <c r="C10" s="183">
        <v>50</v>
      </c>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136</v>
      </c>
      <c r="C24" s="186">
        <f>SUM(C10:C23)</f>
        <v>50</v>
      </c>
      <c r="D24" s="186">
        <f>SUM(D10:D23)</f>
        <v>0</v>
      </c>
      <c r="E24" s="186">
        <f>SUM(E10:E23)</f>
        <v>0</v>
      </c>
      <c r="F24" s="187"/>
      <c r="G24" s="63"/>
    </row>
    <row r="25" spans="1:7" ht="15.75">
      <c r="A25" s="32"/>
      <c r="B25" s="188" t="s">
        <v>569</v>
      </c>
      <c r="C25" s="189"/>
      <c r="D25" s="190"/>
      <c r="E25" s="190"/>
      <c r="F25" s="187"/>
      <c r="G25" s="63"/>
    </row>
    <row r="26" spans="1:7" ht="15.75">
      <c r="A26" s="32"/>
      <c r="B26" s="185" t="s">
        <v>170</v>
      </c>
      <c r="C26" s="186">
        <f>C24</f>
        <v>50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2011-07-19T21:23:11Z</cp:lastPrinted>
  <dcterms:created xsi:type="dcterms:W3CDTF">1999-08-06T13:59:57Z</dcterms:created>
  <dcterms:modified xsi:type="dcterms:W3CDTF">2011-08-14T21:54:18Z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