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2" activeTab="4"/>
  </bookViews>
  <sheets>
    <sheet name="instructions" sheetId="1" r:id="rId1"/>
    <sheet name="inputPrYr" sheetId="2" r:id="rId2"/>
    <sheet name="inputOth" sheetId="3" r:id="rId3"/>
    <sheet name="inputBudSum" sheetId="4" r:id="rId4"/>
    <sheet name="Signed Cert" sheetId="5" r:id="rId5"/>
    <sheet name="cert" sheetId="6" r:id="rId6"/>
    <sheet name="Publication" sheetId="7" r:id="rId7"/>
    <sheet name="computation" sheetId="8" r:id="rId8"/>
    <sheet name="mvalloc" sheetId="9" r:id="rId9"/>
    <sheet name="transfers" sheetId="10" r:id="rId10"/>
    <sheet name="TransferFunds" sheetId="11" r:id="rId11"/>
    <sheet name="debt" sheetId="12" r:id="rId12"/>
    <sheet name="gen" sheetId="13" r:id="rId13"/>
    <sheet name="DebtService" sheetId="14" r:id="rId14"/>
    <sheet name="levypage8" sheetId="15" r:id="rId15"/>
    <sheet name="nolevypage9" sheetId="16" r:id="rId16"/>
    <sheet name="NonBud"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3">'DebtService'!$B$1:$E$63</definedName>
    <definedName name="_xlnm.Print_Area" localSheetId="12">'gen'!$B$1:$F$63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<sst xmlns="http://schemas.openxmlformats.org/spreadsheetml/2006/main" count="1127" uniqueCount="765">
  <si>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</si>
  <si>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</si>
  <si>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</si>
  <si>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</si>
  <si>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</si>
  <si>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</si>
  <si>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</si>
  <si>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</si>
  <si>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</si>
  <si>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</si>
  <si>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</si>
  <si>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</si>
  <si>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</si>
  <si>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</si>
  <si>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</si>
  <si>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</si>
  <si>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</si>
  <si>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</si>
  <si>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</si>
  <si>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</si>
  <si>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</si>
  <si>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</si>
  <si>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</si>
  <si>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</si>
  <si>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</si>
  <si>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</si>
  <si>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</si>
  <si>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</si>
  <si>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</si>
  <si>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</si>
  <si>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</si>
  <si>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</si>
  <si>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</si>
  <si>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</si>
  <si>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</si>
  <si>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</si>
  <si>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</si>
  <si>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</si>
  <si>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</si>
  <si>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</si>
  <si>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</si>
  <si>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</si>
  <si>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</si>
  <si>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</si>
  <si>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</si>
  <si>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</si>
  <si>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</si>
  <si>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</si>
  <si>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</si>
  <si>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</si>
  <si>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</si>
  <si>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</si>
  <si>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</si>
  <si>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</si>
  <si>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</si>
  <si>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</si>
  <si>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</si>
  <si>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</si>
  <si>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</si>
  <si>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</si>
  <si>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</si>
  <si>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</si>
  <si>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</si>
  <si>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</si>
  <si>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</si>
  <si>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</si>
  <si>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</si>
  <si>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</si>
  <si>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</si>
  <si>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</si>
  <si>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</si>
  <si>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</si>
  <si>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</si>
  <si>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</si>
  <si>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</si>
  <si>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</si>
  <si>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</si>
  <si>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</si>
  <si>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</si>
  <si>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</si>
  <si>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</si>
  <si>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</si>
  <si>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</si>
  <si>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</si>
  <si>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</si>
  <si>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</si>
  <si>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</si>
  <si>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</si>
  <si>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</si>
  <si>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</si>
  <si>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</si>
  <si>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</si>
  <si>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</si>
  <si>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</si>
  <si>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</si>
  <si>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</si>
  <si>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</si>
  <si>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</si>
  <si>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</si>
  <si>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</si>
  <si>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</si>
  <si>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</si>
  <si>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</si>
  <si>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</si>
  <si>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</si>
  <si>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</si>
  <si>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</si>
  <si>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</si>
  <si>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</si>
  <si>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</si>
  <si>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</si>
  <si>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</si>
  <si>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</si>
  <si>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</si>
  <si>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</si>
  <si>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</si>
  <si>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</si>
  <si>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</si>
  <si>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</si>
  <si>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</si>
  <si>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</si>
  <si>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</si>
  <si>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</si>
  <si>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</si>
  <si>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</si>
  <si>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</si>
  <si>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</si>
  <si>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</si>
  <si>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</si>
  <si>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</si>
  <si>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</si>
  <si>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</si>
  <si>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</si>
  <si>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</si>
  <si>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</si>
  <si>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</si>
  <si>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</si>
  <si>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</si>
  <si>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</si>
  <si>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</si>
  <si>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</si>
  <si>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</si>
  <si>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</si>
  <si>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</si>
  <si>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</si>
  <si>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</si>
  <si>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</si>
  <si>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</si>
  <si>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</si>
  <si>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</si>
  <si>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</si>
  <si>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</si>
  <si>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</si>
  <si>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</si>
  <si>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</si>
  <si>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</si>
  <si>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</si>
  <si>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</si>
  <si>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</si>
  <si>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</si>
  <si>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</si>
  <si>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</si>
  <si>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</si>
  <si>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</si>
  <si>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</si>
  <si>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</si>
  <si>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</si>
  <si>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</si>
  <si>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</si>
  <si>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</si>
  <si>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</si>
  <si>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</si>
  <si>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</si>
  <si>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</si>
  <si>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</si>
  <si>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</si>
  <si>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</si>
  <si>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</si>
  <si>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</si>
  <si>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</si>
  <si>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</si>
  <si>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</si>
  <si>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</si>
  <si>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</si>
  <si>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</si>
  <si>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</si>
  <si>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</si>
  <si>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</si>
  <si>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</si>
  <si>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</si>
  <si>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</si>
  <si>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</si>
  <si>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</si>
  <si>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</si>
  <si>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</si>
  <si>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</si>
  <si>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</si>
  <si>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</si>
  <si>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</si>
  <si>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</si>
  <si>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</si>
  <si>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</si>
  <si>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</si>
  <si>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</si>
  <si>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</si>
  <si>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</si>
  <si>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</si>
  <si>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</si>
  <si>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</si>
  <si>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</si>
  <si>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</si>
  <si>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</si>
  <si>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</si>
  <si>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</si>
  <si>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</si>
  <si>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</si>
  <si>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</si>
  <si>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</si>
  <si>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</si>
  <si>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</si>
  <si>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</si>
  <si>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</si>
  <si>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</si>
  <si>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</si>
  <si>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</si>
  <si>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</si>
  <si>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</si>
  <si>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</si>
  <si>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</si>
  <si>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</si>
  <si>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</si>
  <si>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</si>
  <si>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</si>
  <si>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</si>
  <si>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</si>
  <si>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</si>
  <si>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</si>
  <si>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</si>
  <si>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</si>
  <si>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</si>
  <si>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</si>
  <si>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</si>
  <si>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</si>
  <si>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</si>
  <si>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</si>
  <si>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</si>
  <si>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</si>
  <si>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</si>
  <si>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</si>
  <si>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</si>
  <si>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</si>
  <si>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</si>
  <si>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</si>
  <si>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</si>
  <si>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</si>
  <si>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</si>
  <si>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</si>
  <si>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</si>
  <si>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</si>
  <si>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</si>
  <si>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</si>
  <si>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</si>
  <si>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</si>
  <si>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</si>
  <si>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</si>
  <si>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</si>
  <si>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</si>
  <si>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</si>
  <si>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</si>
  <si>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</si>
  <si>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</si>
  <si>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</si>
  <si>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</si>
  <si>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</si>
  <si>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</si>
  <si>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</si>
  <si>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</si>
  <si>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</si>
  <si>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</si>
  <si>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</si>
  <si>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</si>
  <si>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</si>
  <si>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</si>
  <si>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</si>
  <si>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</si>
  <si>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</si>
  <si>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</si>
  <si>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</si>
  <si>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</si>
  <si>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</si>
  <si>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</si>
  <si>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</si>
  <si>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</si>
  <si>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</si>
  <si>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</si>
  <si>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</si>
  <si>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</si>
  <si>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</si>
  <si>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</si>
  <si>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</si>
  <si>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</si>
  <si>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</si>
  <si>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</si>
  <si>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</si>
  <si>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</si>
  <si>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</si>
  <si>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</si>
  <si>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</si>
  <si>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</si>
  <si>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</si>
  <si>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</si>
  <si>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</si>
  <si>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</si>
  <si>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</si>
  <si>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</si>
  <si>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</si>
  <si>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</si>
  <si>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</si>
  <si>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</si>
  <si>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</si>
  <si>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</si>
  <si>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</si>
  <si>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</si>
  <si>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</si>
  <si>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</si>
  <si>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</si>
  <si>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</si>
  <si>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</si>
  <si>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</si>
  <si>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</si>
  <si>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</si>
  <si>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</si>
  <si>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</si>
  <si>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</si>
  <si>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</si>
  <si>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</si>
  <si>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</si>
  <si>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</si>
  <si>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</si>
  <si>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</si>
  <si>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</si>
  <si>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</si>
  <si>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</si>
  <si>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</si>
  <si>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</si>
  <si>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</si>
  <si>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</si>
  <si>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</si>
  <si>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</si>
  <si>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</si>
  <si>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</si>
  <si>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</si>
  <si>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</si>
  <si>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</si>
  <si>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</si>
  <si>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</si>
  <si>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</si>
  <si>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</si>
  <si>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</si>
  <si>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</si>
  <si>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</si>
  <si>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</si>
  <si>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</si>
  <si>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</si>
  <si>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</si>
  <si>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</si>
  <si>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</si>
  <si>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</si>
  <si>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</si>
  <si>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</si>
  <si>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</si>
  <si>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</si>
  <si>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</si>
  <si>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</si>
  <si>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</si>
  <si>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</si>
  <si>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</si>
  <si>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</si>
  <si>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</si>
  <si>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</si>
  <si>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</si>
  <si>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</si>
  <si>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</si>
  <si>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</si>
  <si>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</si>
  <si>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</si>
  <si>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</si>
  <si>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</si>
  <si>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</si>
  <si>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</si>
  <si>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</si>
  <si>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</si>
  <si>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</si>
  <si>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</si>
  <si>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</si>
  <si>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</si>
  <si>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</si>
  <si>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</si>
  <si>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</si>
  <si>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</si>
  <si>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</si>
  <si>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</si>
  <si>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</si>
  <si>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</si>
  <si>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</si>
  <si>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</si>
  <si>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</si>
  <si>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</si>
  <si>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</si>
  <si>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</si>
  <si>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</si>
  <si>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</si>
  <si>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</si>
  <si>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</si>
  <si>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</si>
  <si>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</si>
  <si>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</si>
  <si>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</si>
  <si>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</si>
  <si>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</si>
  <si>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</si>
  <si>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</si>
  <si>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</si>
  <si>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</si>
  <si>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</si>
  <si>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</si>
  <si>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</si>
  <si>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</si>
  <si>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</si>
  <si>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</si>
  <si>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</si>
  <si>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</si>
  <si>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</si>
  <si>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</si>
  <si>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</si>
  <si>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</si>
  <si>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</si>
  <si>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</si>
  <si>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</si>
  <si>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</si>
  <si>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</si>
  <si>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</si>
  <si>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</si>
  <si>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</si>
  <si>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</si>
  <si>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</si>
  <si>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</si>
  <si>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</si>
  <si>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</si>
  <si>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</si>
  <si>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</si>
  <si>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</si>
  <si>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</si>
  <si>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</si>
  <si>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</si>
  <si>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</si>
  <si>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</si>
  <si>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</si>
  <si>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</si>
  <si>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</si>
  <si>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</si>
  <si>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</si>
  <si>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</si>
  <si>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</si>
  <si>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</si>
  <si>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</si>
  <si>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</si>
  <si>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</si>
  <si>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</si>
  <si>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</si>
  <si>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</si>
  <si>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</si>
  <si>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</si>
  <si>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</si>
  <si>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</si>
  <si>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</si>
  <si>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</si>
  <si>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</si>
  <si>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</si>
  <si>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</si>
  <si>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</si>
  <si>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</si>
  <si>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</si>
  <si>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</si>
  <si>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</si>
  <si>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</si>
  <si>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</si>
  <si>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</si>
  <si>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</si>
  <si>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</si>
  <si>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</si>
  <si>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</si>
  <si>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</si>
  <si>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</si>
  <si>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</si>
  <si>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</si>
  <si>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</si>
  <si>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</si>
  <si>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</si>
  <si>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</si>
  <si>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</si>
  <si>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</si>
  <si>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</si>
  <si>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</si>
  <si>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</si>
  <si>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</si>
  <si>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</si>
  <si>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</si>
  <si>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</si>
  <si>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</si>
  <si>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</si>
  <si>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</si>
  <si>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</si>
  <si>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</si>
  <si>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</si>
  <si>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</si>
  <si>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</si>
  <si>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</si>
  <si>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</si>
  <si>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</si>
  <si>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</si>
  <si>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</si>
  <si>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</si>
  <si>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</si>
  <si>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</si>
  <si>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</si>
  <si>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</si>
  <si>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</si>
  <si>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</si>
  <si>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</si>
  <si>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</si>
  <si>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</si>
  <si>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</si>
  <si>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</si>
  <si>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</si>
  <si>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</si>
  <si>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</si>
  <si>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</si>
  <si>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</si>
  <si>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</si>
  <si>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</si>
  <si>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</si>
  <si>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</si>
  <si>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</si>
  <si>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</si>
  <si>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</si>
  <si>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</si>
  <si>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</si>
  <si>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</si>
  <si>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</si>
  <si>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</si>
  <si>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</si>
  <si>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</si>
  <si>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</si>
  <si>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</si>
  <si>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</si>
  <si>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</si>
  <si>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</si>
  <si>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</si>
  <si>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</si>
  <si>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</si>
  <si>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</si>
  <si>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</si>
  <si>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</si>
  <si>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</si>
  <si>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</si>
  <si>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</si>
  <si>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</si>
  <si>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</si>
  <si>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</si>
  <si>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</si>
  <si>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</si>
  <si>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</si>
  <si>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</si>
  <si>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</si>
  <si>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</si>
  <si>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</si>
  <si>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</si>
  <si>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</si>
  <si>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</si>
  <si>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</si>
  <si>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</si>
  <si>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</si>
  <si>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</si>
  <si>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</si>
  <si>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</si>
  <si>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</si>
  <si>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</si>
  <si>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</si>
  <si>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</si>
  <si>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</si>
  <si>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</si>
  <si>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</si>
  <si>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</si>
  <si>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</si>
  <si>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</si>
  <si>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</si>
  <si>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</si>
  <si>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</si>
  <si>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</si>
  <si>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</si>
  <si>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</si>
  <si>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</si>
  <si>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</si>
  <si>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</si>
  <si>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</si>
  <si>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</si>
  <si>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</si>
  <si>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</si>
  <si>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</si>
  <si>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</si>
  <si>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</si>
  <si>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</si>
  <si>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</si>
  <si>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</si>
  <si>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</si>
  <si>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</si>
  <si>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</si>
  <si>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</si>
  <si>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</si>
  <si>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</si>
  <si>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</si>
  <si>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</si>
  <si>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</si>
  <si>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</si>
  <si>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</si>
  <si>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</si>
  <si>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</si>
  <si>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</si>
  <si>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</si>
  <si>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</si>
  <si>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</si>
  <si>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</si>
  <si>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</si>
  <si>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</si>
  <si>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</si>
  <si>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</si>
  <si>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</si>
  <si>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</si>
  <si>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</si>
  <si>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</si>
  <si>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</si>
  <si>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</si>
  <si>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</si>
  <si>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</si>
  <si>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</si>
  <si>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</si>
  <si>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</si>
  <si>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</si>
  <si>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</si>
  <si>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</si>
  <si>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</si>
  <si>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</si>
  <si>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</si>
  <si>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</si>
  <si>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</si>
  <si>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</si>
  <si>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</si>
  <si>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</si>
  <si>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</si>
  <si>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</si>
  <si>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</si>
  <si>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</si>
  <si>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</si>
  <si>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</si>
  <si>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</si>
  <si>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</si>
  <si>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</si>
  <si>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</si>
  <si>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</si>
  <si>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</si>
  <si>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</si>
  <si>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</si>
  <si>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</si>
  <si>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</si>
  <si>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</si>
  <si>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</si>
  <si>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</si>
  <si>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</si>
  <si>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</si>
  <si>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</si>
  <si>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</si>
  <si>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</si>
  <si>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</si>
  <si>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</si>
  <si>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</si>
  <si>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</si>
  <si>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</si>
  <si>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</si>
  <si>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</si>
  <si>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</si>
  <si>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</si>
  <si>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</si>
  <si>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</si>
  <si>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</si>
  <si>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</si>
  <si>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</si>
  <si>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</si>
  <si>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</si>
  <si>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</si>
  <si>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</si>
  <si>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</si>
  <si>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</si>
  <si>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</si>
  <si>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</si>
  <si>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</si>
  <si>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</si>
  <si>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</si>
  <si>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</si>
  <si>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</si>
  <si>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</si>
  <si>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</si>
  <si>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</si>
  <si>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</si>
  <si>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</si>
  <si>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</si>
  <si>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</si>
  <si>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</si>
  <si>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</si>
  <si>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</si>
  <si>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</si>
  <si>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</si>
  <si>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</si>
  <si>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</si>
  <si>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</si>
  <si>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</si>
  <si>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</si>
  <si>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</si>
  <si>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</si>
  <si>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</si>
  <si>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</si>
  <si>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</si>
  <si>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</si>
  <si>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</si>
  <si>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</si>
  <si>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</si>
  <si>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</si>
  <si>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</si>
  <si>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</si>
  <si>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</si>
  <si>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</si>
  <si>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</si>
  <si>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</si>
  <si>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</si>
  <si>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LINWOOD LIBRARY</t>
  </si>
  <si>
    <t>LEAVENWORTH</t>
  </si>
  <si>
    <t>Employee Benefit</t>
  </si>
  <si>
    <t>Building Expense</t>
  </si>
  <si>
    <t>August 16, 2011</t>
  </si>
  <si>
    <t>7:00 pm</t>
  </si>
  <si>
    <t>Linwood Library, 19649 Linwood Road, P.O. 80, Linwood</t>
  </si>
  <si>
    <t>Payroll Expenses</t>
  </si>
  <si>
    <t>Donations</t>
  </si>
  <si>
    <t>NEKLS</t>
  </si>
  <si>
    <t>KAN/REN</t>
  </si>
  <si>
    <t>State Aid Grants</t>
  </si>
  <si>
    <t>Daily Cash/Other</t>
  </si>
  <si>
    <t>Memorial Funds</t>
  </si>
  <si>
    <t>Wages</t>
  </si>
  <si>
    <t>Operating Expenses</t>
  </si>
  <si>
    <t>Program Expenses</t>
  </si>
  <si>
    <t>Building Expenses</t>
  </si>
  <si>
    <t>Real estate/building</t>
  </si>
  <si>
    <t>119 months</t>
  </si>
  <si>
    <t>Lease Payment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</si>
</sst>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228600</xdr:colOff>
      <xdr:row>37</xdr:row>
      <xdr:rowOff>0</xdr:rowOff>
    </xdr:to>
    <xdr:pic>
      <xdr:nvPicPr>
        <xdr:cNvPr id="1" name="Picture 1"/>
        <xdr:cNvPicPr preferRelativeResize="1">
          <a:picLocks noChangeAspect="1"/>
        </xdr:cNvPicPr>
      </xdr:nvPicPr>
      <xdr:blipFill>
        <a:blip r:embed="rId1"/>
        <a:stretch>
          <a:fillRect/>
        </a:stretch>
      </xdr:blipFill>
      <xdr:spPr>
        <a:xfrm>
          <a:off x="0" y="0"/>
          <a:ext cx="6096000" cy="7048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666750</xdr:colOff>
      <xdr:row>49</xdr:row>
      <xdr:rowOff>161925</xdr:rowOff>
    </xdr:to>
    <xdr:pic>
      <xdr:nvPicPr>
        <xdr:cNvPr id="1" name="Picture 1"/>
        <xdr:cNvPicPr preferRelativeResize="1">
          <a:picLocks noChangeAspect="1"/>
        </xdr:cNvPicPr>
      </xdr:nvPicPr>
      <xdr:blipFill>
        <a:blip r:embed="rId1"/>
        <a:stretch>
          <a:fillRect/>
        </a:stretch>
      </xdr:blipFill>
      <xdr:spPr>
        <a:xfrm>
          <a:off x="0" y="0"/>
          <a:ext cx="8210550" cy="949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LINWOOD LIBRARY</v>
      </c>
      <c r="B2" s="175"/>
      <c r="C2" s="18"/>
      <c r="D2" s="18"/>
      <c r="E2" s="165"/>
      <c r="F2" s="18"/>
    </row>
    <row r="3" spans="1:6" ht="15.75">
      <c r="A3" s="175" t="str">
        <f>inputPrYr!D4</f>
        <v>LEAVENWORTH</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F33" sqref="F33"/>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LINWOOD LIBRARY</v>
      </c>
      <c r="B1" s="18"/>
      <c r="C1" s="18"/>
      <c r="D1" s="18"/>
      <c r="E1" s="18"/>
      <c r="F1" s="18"/>
      <c r="G1" s="18"/>
      <c r="H1" s="18"/>
      <c r="I1" s="18"/>
      <c r="J1" s="18"/>
      <c r="K1" s="192">
        <f>inputPrYr!D6</f>
        <v>2012</v>
      </c>
    </row>
    <row r="2" spans="1:11" ht="15.75">
      <c r="A2" s="18" t="str">
        <f>inputPrYr!$D$4</f>
        <v>LEAVENWORTH</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t="s">
        <v>762</v>
      </c>
      <c r="B29" s="412">
        <v>40212</v>
      </c>
      <c r="C29" s="233" t="s">
        <v>763</v>
      </c>
      <c r="D29" s="207">
        <v>5.18</v>
      </c>
      <c r="E29" s="37">
        <v>255000</v>
      </c>
      <c r="F29" s="37">
        <v>233747</v>
      </c>
      <c r="G29" s="37">
        <v>32823.36</v>
      </c>
      <c r="H29" s="37">
        <v>32823.36</v>
      </c>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255000</v>
      </c>
      <c r="F41" s="239">
        <f>SUM(F29:F40)</f>
        <v>233747</v>
      </c>
      <c r="G41" s="239">
        <f>SUM(G29:G40)</f>
        <v>32823.36</v>
      </c>
      <c r="H41" s="239">
        <f>SUM(H29:H40)</f>
        <v>32823.36</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7">
      <selection activeCell="G34" sqref="G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LINWOOD LIBRARY</v>
      </c>
      <c r="C1" s="241"/>
      <c r="D1" s="18"/>
      <c r="E1" s="192"/>
    </row>
    <row r="2" spans="2:5" ht="15.75">
      <c r="B2" s="18" t="str">
        <f>inputPrYr!D4</f>
        <v>LEAVENWORTH</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147588.28</v>
      </c>
      <c r="D7" s="404">
        <f>C51</f>
        <v>21861.03999999998</v>
      </c>
      <c r="E7" s="47">
        <f>D51</f>
        <v>13577.039999999979</v>
      </c>
    </row>
    <row r="8" spans="2:5" ht="15.75">
      <c r="B8" s="246" t="s">
        <v>130</v>
      </c>
      <c r="C8" s="247"/>
      <c r="D8" s="247"/>
      <c r="E8" s="128"/>
    </row>
    <row r="9" spans="2:5" ht="15.75">
      <c r="B9" s="122" t="s">
        <v>33</v>
      </c>
      <c r="C9" s="397">
        <v>142096.25</v>
      </c>
      <c r="D9" s="404">
        <f>inputPrYr!E19</f>
        <v>156310</v>
      </c>
      <c r="E9" s="135" t="s">
        <v>28</v>
      </c>
    </row>
    <row r="10" spans="2:5" ht="15.75">
      <c r="B10" s="122" t="s">
        <v>34</v>
      </c>
      <c r="C10" s="397">
        <v>2043</v>
      </c>
      <c r="D10" s="397"/>
      <c r="E10" s="209"/>
    </row>
    <row r="11" spans="2:5" ht="15.75">
      <c r="B11" s="122" t="s">
        <v>35</v>
      </c>
      <c r="C11" s="397">
        <v>17036</v>
      </c>
      <c r="D11" s="397">
        <v>20933</v>
      </c>
      <c r="E11" s="47">
        <f>mvalloc!D11</f>
        <v>21997.68</v>
      </c>
    </row>
    <row r="12" spans="2:5" ht="15.75">
      <c r="B12" s="122" t="s">
        <v>36</v>
      </c>
      <c r="C12" s="397">
        <v>441.2</v>
      </c>
      <c r="D12" s="397">
        <v>547</v>
      </c>
      <c r="E12" s="47">
        <f>mvalloc!E11</f>
        <v>534.8</v>
      </c>
    </row>
    <row r="13" spans="2:5" ht="15.75">
      <c r="B13" s="247" t="s">
        <v>112</v>
      </c>
      <c r="C13" s="397">
        <v>508.53</v>
      </c>
      <c r="D13" s="397">
        <v>676</v>
      </c>
      <c r="E13" s="47">
        <f>mvalloc!F11</f>
        <v>796.9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752</v>
      </c>
      <c r="C17" s="397">
        <v>2867</v>
      </c>
      <c r="D17" s="397"/>
      <c r="E17" s="209"/>
    </row>
    <row r="18" spans="2:5" ht="15.75">
      <c r="B18" s="248" t="s">
        <v>753</v>
      </c>
      <c r="C18" s="397">
        <v>2711.53</v>
      </c>
      <c r="D18" s="397"/>
      <c r="E18" s="209"/>
    </row>
    <row r="19" spans="2:5" ht="15.75">
      <c r="B19" s="248" t="s">
        <v>754</v>
      </c>
      <c r="C19" s="397">
        <v>956</v>
      </c>
      <c r="D19" s="397"/>
      <c r="E19" s="209"/>
    </row>
    <row r="20" spans="2:5" ht="15.75">
      <c r="B20" s="248" t="s">
        <v>755</v>
      </c>
      <c r="C20" s="397">
        <v>5520</v>
      </c>
      <c r="D20" s="397"/>
      <c r="E20" s="209"/>
    </row>
    <row r="21" spans="2:5" ht="15.75">
      <c r="B21" s="248" t="s">
        <v>756</v>
      </c>
      <c r="C21" s="397">
        <v>2711.53</v>
      </c>
      <c r="D21" s="397"/>
      <c r="E21" s="209"/>
    </row>
    <row r="22" spans="2:5" ht="15.75">
      <c r="B22" s="248" t="s">
        <v>757</v>
      </c>
      <c r="C22" s="397">
        <v>1560</v>
      </c>
      <c r="D22" s="397"/>
      <c r="E22" s="209"/>
    </row>
    <row r="23" spans="2:5" ht="15.75">
      <c r="B23" s="248"/>
      <c r="C23" s="397"/>
      <c r="D23" s="397"/>
      <c r="E23" s="209"/>
    </row>
    <row r="24" spans="2:5" ht="15.75">
      <c r="B24" s="249"/>
      <c r="C24" s="397"/>
      <c r="D24" s="397"/>
      <c r="E24" s="209"/>
    </row>
    <row r="25" spans="2:5" ht="15.75">
      <c r="B25" s="249" t="s">
        <v>38</v>
      </c>
      <c r="C25" s="397">
        <v>702</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179153.04</v>
      </c>
      <c r="D28" s="399">
        <f>SUM(D9:D26)</f>
        <v>178466</v>
      </c>
      <c r="E28" s="254">
        <f>SUM(E9:E26)</f>
        <v>23329.38</v>
      </c>
    </row>
    <row r="29" spans="2:5" ht="15.75">
      <c r="B29" s="253" t="s">
        <v>40</v>
      </c>
      <c r="C29" s="399">
        <f>C7+C28</f>
        <v>326741.32</v>
      </c>
      <c r="D29" s="399">
        <f>D7+D28</f>
        <v>200327.03999999998</v>
      </c>
      <c r="E29" s="254">
        <f>E7+E28</f>
        <v>36906.419999999984</v>
      </c>
    </row>
    <row r="30" spans="2:5" ht="15.75">
      <c r="B30" s="122" t="s">
        <v>41</v>
      </c>
      <c r="C30" s="126"/>
      <c r="D30" s="126"/>
      <c r="E30" s="38"/>
    </row>
    <row r="31" spans="2:5" ht="15.75">
      <c r="B31" s="248" t="s">
        <v>758</v>
      </c>
      <c r="C31" s="397">
        <v>66850.6</v>
      </c>
      <c r="D31" s="397">
        <v>85000</v>
      </c>
      <c r="E31" s="209">
        <v>85000</v>
      </c>
    </row>
    <row r="32" spans="2:5" ht="15.75">
      <c r="B32" s="248" t="s">
        <v>759</v>
      </c>
      <c r="C32" s="397">
        <v>32482.68</v>
      </c>
      <c r="D32" s="397">
        <v>65000</v>
      </c>
      <c r="E32" s="209">
        <v>59700</v>
      </c>
    </row>
    <row r="33" spans="2:5" ht="15.75">
      <c r="B33" s="248" t="s">
        <v>760</v>
      </c>
      <c r="C33" s="397">
        <v>15420</v>
      </c>
      <c r="D33" s="397">
        <v>36750</v>
      </c>
      <c r="E33" s="209">
        <v>21000</v>
      </c>
    </row>
    <row r="34" spans="2:5" ht="15.75">
      <c r="B34" s="248" t="s">
        <v>761</v>
      </c>
      <c r="C34" s="397">
        <v>190127</v>
      </c>
      <c r="D34" s="397"/>
      <c r="E34" s="209"/>
    </row>
    <row r="35" spans="2:5" ht="15.75">
      <c r="B35" s="248" t="s">
        <v>764</v>
      </c>
      <c r="C35" s="397"/>
      <c r="D35" s="397"/>
      <c r="E35" s="209">
        <v>32800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13577.039999999979</v>
      </c>
      <c r="H45" s="553" t="str">
        <f>CONCATENATE("",F3-1," Ending Cash Balance (est.)")</f>
        <v>2011 Ending Cash Balance (est.)</v>
      </c>
      <c r="I45" s="543"/>
      <c r="J45" s="544"/>
    </row>
    <row r="46" spans="2:10" ht="15.75">
      <c r="B46" s="248"/>
      <c r="C46" s="397"/>
      <c r="D46" s="397"/>
      <c r="E46" s="209"/>
      <c r="G46" s="554">
        <f>E28</f>
        <v>23329.38</v>
      </c>
      <c r="H46" s="543" t="str">
        <f>CONCATENATE("",F3," Non-AV Receipts (est.)")</f>
        <v>2012 Non-AV Receipts (est.)</v>
      </c>
      <c r="I46" s="543"/>
      <c r="J46" s="544"/>
    </row>
    <row r="47" spans="2:10" ht="15.75">
      <c r="B47" s="126" t="s">
        <v>229</v>
      </c>
      <c r="C47" s="397"/>
      <c r="D47" s="397"/>
      <c r="E47" s="214">
        <f>Nhood!E7</f>
      </c>
      <c r="G47" s="542">
        <f>E57</f>
        <v>161593.58000000002</v>
      </c>
      <c r="H47" s="543" t="str">
        <f>CONCATENATE("",F3," Ad Valorem Tax (est.)")</f>
        <v>2012 Ad Valorem Tax (est.)</v>
      </c>
      <c r="I47" s="543"/>
      <c r="J47" s="544"/>
    </row>
    <row r="48" spans="2:10" ht="15.75">
      <c r="B48" s="126" t="s">
        <v>228</v>
      </c>
      <c r="C48" s="397"/>
      <c r="D48" s="397"/>
      <c r="E48" s="37"/>
      <c r="G48" s="554">
        <f>SUM(G45:G47)</f>
        <v>198500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304880.28</v>
      </c>
      <c r="D50" s="399">
        <f>SUM(D31:D48)</f>
        <v>186750</v>
      </c>
      <c r="E50" s="254">
        <f>SUM(E31:E48)</f>
        <v>198500</v>
      </c>
      <c r="G50" s="542">
        <f>C50*0.05+C50</f>
        <v>320124.29400000005</v>
      </c>
      <c r="H50" s="543" t="str">
        <f>CONCATENATE("Less ",F3-2," Expenditures + 5%")</f>
        <v>Less 2010 Expenditures + 5%</v>
      </c>
      <c r="I50" s="543"/>
      <c r="J50" s="544"/>
    </row>
    <row r="51" spans="2:10" ht="15.75">
      <c r="B51" s="122" t="s">
        <v>129</v>
      </c>
      <c r="C51" s="400">
        <f>C29-C50</f>
        <v>21861.03999999998</v>
      </c>
      <c r="D51" s="400">
        <f>D29-D50</f>
        <v>13577.039999999979</v>
      </c>
      <c r="E51" s="135" t="s">
        <v>28</v>
      </c>
      <c r="G51" s="540">
        <f>G48-G50</f>
        <v>-121624.29400000005</v>
      </c>
      <c r="H51" s="539" t="str">
        <f>CONCATENATE("Projected ",F3+1," Carryover (est.)")</f>
        <v>Projected 2013 Carryover (est.)</v>
      </c>
      <c r="I51" s="525"/>
      <c r="J51" s="538"/>
    </row>
    <row r="52" spans="2:10" ht="15.75">
      <c r="B52" s="145" t="str">
        <f>CONCATENATE("",F3-2,"/",F3-1," Budget Authority Amount:")</f>
        <v>2010/2011 Budget Authority Amount:</v>
      </c>
      <c r="C52" s="123">
        <f>inputOth!B42</f>
        <v>226430</v>
      </c>
      <c r="D52" s="425">
        <f>inputPrYr!D19</f>
        <v>327448</v>
      </c>
      <c r="E52" s="135" t="s">
        <v>28</v>
      </c>
      <c r="F52" s="255"/>
      <c r="G52" s="16"/>
      <c r="H52" s="16"/>
      <c r="I52" s="16"/>
      <c r="J52" s="16"/>
    </row>
    <row r="53" spans="2:10" ht="15.75">
      <c r="B53" s="145"/>
      <c r="C53" s="637" t="s">
        <v>684</v>
      </c>
      <c r="D53" s="638"/>
      <c r="E53" s="37"/>
      <c r="F53" s="255">
        <f>IF(E50/0.95-E50&lt;E53,"Exceeds 5%","")</f>
      </c>
      <c r="G53" s="537">
        <f>IF(inputOth!E7=0,"",ROUND(gen!E57/inputOth!E7*1000,3))</f>
        <v>3.682</v>
      </c>
      <c r="H53" s="536" t="str">
        <f>CONCATENATE("Projected ",F3-1," Mill Rate (est.)")</f>
        <v>Projected 2011 Mill Rate (est.)</v>
      </c>
      <c r="I53" s="535"/>
      <c r="J53" s="534"/>
    </row>
    <row r="54" spans="2:10" ht="15.75">
      <c r="B54" s="423" t="str">
        <f>CONCATENATE(C70,"     ",D70)</f>
        <v>See Tab A     </v>
      </c>
      <c r="C54" s="639" t="s">
        <v>685</v>
      </c>
      <c r="D54" s="640"/>
      <c r="E54" s="47">
        <f>E50+E53</f>
        <v>198500</v>
      </c>
      <c r="G54" s="533"/>
      <c r="H54" s="533"/>
      <c r="I54" s="533"/>
      <c r="J54" s="533"/>
    </row>
    <row r="55" spans="2:10" ht="15.75">
      <c r="B55" s="423" t="str">
        <f>CONCATENATE(C71,"     ",D71)</f>
        <v>     </v>
      </c>
      <c r="C55" s="559"/>
      <c r="D55" s="558" t="s">
        <v>686</v>
      </c>
      <c r="E55" s="44">
        <f>IF(E54-E29&gt;0,E54-E29,0)</f>
        <v>161593.58000000002</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161593.58000000002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LINWOOD LIBRARY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4">
      <selection activeCell="B25" sqref="B2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LINWOOD LIBRARY</v>
      </c>
      <c r="C1" s="18"/>
      <c r="D1" s="18"/>
      <c r="E1" s="192"/>
    </row>
    <row r="2" spans="2:5" ht="15.75">
      <c r="B2" s="18" t="str">
        <f>inputPrYr!D4</f>
        <v>LEAVENWORTH</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t="str">
        <f>inputPrYr!B22</f>
        <v>Employee Benefit</v>
      </c>
      <c r="C6" s="403" t="str">
        <f>CONCATENATE("Actual ",$F$3-2,"")</f>
        <v>Actual 2010</v>
      </c>
      <c r="D6" s="403" t="str">
        <f>CONCATENATE("Estimate ",F3-1,"")</f>
        <v>Estimate 2011</v>
      </c>
      <c r="E6" s="244" t="str">
        <f>CONCATENATE("Year ",F3,"")</f>
        <v>Year 2012</v>
      </c>
    </row>
    <row r="7" spans="2:5" ht="15.75">
      <c r="B7" s="122" t="s">
        <v>128</v>
      </c>
      <c r="C7" s="397">
        <v>1796</v>
      </c>
      <c r="D7" s="404">
        <f>C34</f>
        <v>3437</v>
      </c>
      <c r="E7" s="47">
        <f>D34</f>
        <v>2035</v>
      </c>
    </row>
    <row r="8" spans="2:5" ht="15.75">
      <c r="B8" s="246" t="s">
        <v>130</v>
      </c>
      <c r="C8" s="247"/>
      <c r="D8" s="247"/>
      <c r="E8" s="128"/>
    </row>
    <row r="9" spans="2:5" ht="15.75">
      <c r="B9" s="122" t="s">
        <v>33</v>
      </c>
      <c r="C9" s="397">
        <v>7584</v>
      </c>
      <c r="D9" s="404">
        <f>inputPrYr!E22</f>
        <v>7761</v>
      </c>
      <c r="E9" s="135" t="s">
        <v>28</v>
      </c>
    </row>
    <row r="10" spans="2:5" ht="15.75">
      <c r="B10" s="122" t="s">
        <v>34</v>
      </c>
      <c r="C10" s="397">
        <v>112</v>
      </c>
      <c r="D10" s="397"/>
      <c r="E10" s="209"/>
    </row>
    <row r="11" spans="2:5" ht="15.75">
      <c r="B11" s="122" t="s">
        <v>35</v>
      </c>
      <c r="C11" s="397">
        <v>1073</v>
      </c>
      <c r="D11" s="397">
        <v>1122</v>
      </c>
      <c r="E11" s="47">
        <f>mvalloc!D13</f>
        <v>1092</v>
      </c>
    </row>
    <row r="12" spans="2:5" ht="15.75">
      <c r="B12" s="122" t="s">
        <v>36</v>
      </c>
      <c r="C12" s="397">
        <v>28</v>
      </c>
      <c r="D12" s="397">
        <v>29</v>
      </c>
      <c r="E12" s="47">
        <f>mvalloc!E13</f>
        <v>27</v>
      </c>
    </row>
    <row r="13" spans="2:5" ht="15.75">
      <c r="B13" s="247" t="s">
        <v>112</v>
      </c>
      <c r="C13" s="397">
        <v>30</v>
      </c>
      <c r="D13" s="397">
        <v>36</v>
      </c>
      <c r="E13" s="47">
        <f>mvalloc!F13</f>
        <v>40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8827</v>
      </c>
      <c r="D21" s="399">
        <f>SUM(D9:D19)</f>
        <v>8948</v>
      </c>
      <c r="E21" s="254">
        <f>SUM(E9:E19)</f>
        <v>1159</v>
      </c>
    </row>
    <row r="22" spans="2:5" ht="15.75">
      <c r="B22" s="253" t="s">
        <v>40</v>
      </c>
      <c r="C22" s="399">
        <f>C7+C21</f>
        <v>10623</v>
      </c>
      <c r="D22" s="399">
        <f>D7+D21</f>
        <v>12385</v>
      </c>
      <c r="E22" s="254">
        <f>E7+E21</f>
        <v>3194</v>
      </c>
    </row>
    <row r="23" spans="2:5" ht="15.75">
      <c r="B23" s="122" t="s">
        <v>41</v>
      </c>
      <c r="C23" s="126"/>
      <c r="D23" s="126"/>
      <c r="E23" s="38"/>
    </row>
    <row r="24" spans="2:5" ht="15.75">
      <c r="B24" s="248"/>
      <c r="C24" s="397"/>
      <c r="D24" s="397"/>
      <c r="E24" s="209"/>
    </row>
    <row r="25" spans="2:5" ht="15.75">
      <c r="B25" s="248" t="s">
        <v>751</v>
      </c>
      <c r="C25" s="397">
        <v>7186</v>
      </c>
      <c r="D25" s="397">
        <v>10350</v>
      </c>
      <c r="E25" s="209">
        <v>9000</v>
      </c>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7186</v>
      </c>
      <c r="D33" s="399">
        <f>SUM(D24:D31)</f>
        <v>10350</v>
      </c>
      <c r="E33" s="254">
        <f>SUM(E24:E31)</f>
        <v>9000</v>
      </c>
    </row>
    <row r="34" spans="2:5" ht="15.75">
      <c r="B34" s="122" t="s">
        <v>129</v>
      </c>
      <c r="C34" s="400">
        <f>C22-C33</f>
        <v>3437</v>
      </c>
      <c r="D34" s="400">
        <f>D22-D33</f>
        <v>2035</v>
      </c>
      <c r="E34" s="135" t="s">
        <v>28</v>
      </c>
    </row>
    <row r="35" spans="2:6" ht="15.75">
      <c r="B35" s="145" t="str">
        <f>CONCATENATE("",F3-2,"/",F3-1," Budget Authority Amount:")</f>
        <v>2010/2011 Budget Authority Amount:</v>
      </c>
      <c r="C35" s="123">
        <f>inputOth!B44</f>
        <v>9084</v>
      </c>
      <c r="D35" s="425">
        <f>inputPrYr!D22</f>
        <v>10350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9000</v>
      </c>
    </row>
    <row r="38" spans="2:5" ht="15.75">
      <c r="B38" s="423" t="str">
        <f>CONCATENATE(C88,"     ",D88)</f>
        <v>     </v>
      </c>
      <c r="C38" s="563"/>
      <c r="D38" s="558" t="s">
        <v>686</v>
      </c>
      <c r="E38" s="44">
        <f>IF(E37-E22&gt;0,E37-E22,0)</f>
        <v>5806</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5806</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3.494</v>
      </c>
    </row>
    <row r="46" spans="2:5" ht="15.75">
      <c r="B46" s="246" t="s">
        <v>130</v>
      </c>
      <c r="C46" s="247"/>
      <c r="D46" s="247"/>
      <c r="E46" s="128"/>
    </row>
    <row r="47" spans="2:5" ht="15.75">
      <c r="B47" s="122" t="s">
        <v>33</v>
      </c>
      <c r="C47" s="397"/>
      <c r="D47" s="404">
        <f>inputPrYr!E23</f>
        <v>3.494</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3.494</v>
      </c>
      <c r="E59" s="254">
        <f>SUM(E47:E57)</f>
        <v>0</v>
      </c>
    </row>
    <row r="60" spans="2:5" ht="15.75">
      <c r="B60" s="253" t="s">
        <v>40</v>
      </c>
      <c r="C60" s="399">
        <f>C45+C59</f>
        <v>0</v>
      </c>
      <c r="D60" s="399">
        <f>D45+D59</f>
        <v>3.494</v>
      </c>
      <c r="E60" s="254">
        <f>E45+E59</f>
        <v>3.494</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3.494</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LINWOOD LIBRARY</v>
      </c>
      <c r="C1" s="241"/>
      <c r="D1" s="18"/>
      <c r="E1" s="192"/>
    </row>
    <row r="2" spans="2:5" ht="15.75">
      <c r="B2" s="18" t="str">
        <f>inputPrYr!D4</f>
        <v>LEAVENWORTH</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9" sqref="A9"/>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LINWOOD LIBRARY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v>57043.02</v>
      </c>
      <c r="C7" s="290" t="s">
        <v>250</v>
      </c>
      <c r="D7" s="289"/>
      <c r="E7" s="290" t="s">
        <v>250</v>
      </c>
      <c r="F7" s="289"/>
      <c r="G7" s="290" t="s">
        <v>250</v>
      </c>
      <c r="H7" s="289"/>
      <c r="I7" s="290" t="s">
        <v>250</v>
      </c>
      <c r="J7" s="289"/>
      <c r="K7" s="291">
        <f>SUM(B7+D7+F7+H7+J7)</f>
        <v>57043.02</v>
      </c>
    </row>
    <row r="8" spans="1:11" ht="15.75">
      <c r="A8" s="292" t="s">
        <v>130</v>
      </c>
      <c r="B8" s="293"/>
      <c r="C8" s="292" t="s">
        <v>130</v>
      </c>
      <c r="D8" s="294"/>
      <c r="E8" s="292" t="s">
        <v>130</v>
      </c>
      <c r="F8" s="277"/>
      <c r="G8" s="292" t="s">
        <v>130</v>
      </c>
      <c r="H8" s="62"/>
      <c r="I8" s="292" t="s">
        <v>130</v>
      </c>
      <c r="J8" s="62"/>
      <c r="K8" s="277"/>
    </row>
    <row r="9" spans="1:11" ht="15.75">
      <c r="A9" s="295" t="s">
        <v>70</v>
      </c>
      <c r="B9" s="289">
        <v>500.34</v>
      </c>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500.34</v>
      </c>
      <c r="C17" s="292" t="s">
        <v>39</v>
      </c>
      <c r="D17" s="291">
        <f>SUM(D9:D16)</f>
        <v>0</v>
      </c>
      <c r="E17" s="292" t="s">
        <v>39</v>
      </c>
      <c r="F17" s="305">
        <f>SUM(F9:F16)</f>
        <v>0</v>
      </c>
      <c r="G17" s="292" t="s">
        <v>39</v>
      </c>
      <c r="H17" s="291">
        <f>SUM(H9:H16)</f>
        <v>0</v>
      </c>
      <c r="I17" s="292" t="s">
        <v>39</v>
      </c>
      <c r="J17" s="291">
        <f>SUM(J9:J16)</f>
        <v>0</v>
      </c>
      <c r="K17" s="291">
        <f>SUM(B17+D17+F17+H17+J17)</f>
        <v>500.34</v>
      </c>
    </row>
    <row r="18" spans="1:11" ht="15.75">
      <c r="A18" s="292" t="s">
        <v>40</v>
      </c>
      <c r="B18" s="291">
        <f>SUM(B7+B17)</f>
        <v>57543.35999999999</v>
      </c>
      <c r="C18" s="292" t="s">
        <v>40</v>
      </c>
      <c r="D18" s="291">
        <f>SUM(D7+D17)</f>
        <v>0</v>
      </c>
      <c r="E18" s="292" t="s">
        <v>40</v>
      </c>
      <c r="F18" s="291">
        <f>SUM(F7+F17)</f>
        <v>0</v>
      </c>
      <c r="G18" s="292" t="s">
        <v>40</v>
      </c>
      <c r="H18" s="291">
        <f>SUM(H7+H17)</f>
        <v>0</v>
      </c>
      <c r="I18" s="292" t="s">
        <v>40</v>
      </c>
      <c r="J18" s="291">
        <f>SUM(J7+J17)</f>
        <v>0</v>
      </c>
      <c r="K18" s="291">
        <f>SUM(B18+D18+F18+H18+J18)</f>
        <v>57543.35999999999</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t="s">
        <v>747</v>
      </c>
      <c r="B22" s="289">
        <v>27498.96</v>
      </c>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27498.96</v>
      </c>
      <c r="C28" s="292" t="s">
        <v>42</v>
      </c>
      <c r="D28" s="291">
        <f>SUM(D20:D27)</f>
        <v>0</v>
      </c>
      <c r="E28" s="292" t="s">
        <v>42</v>
      </c>
      <c r="F28" s="305">
        <f>SUM(F20:F27)</f>
        <v>0</v>
      </c>
      <c r="G28" s="292" t="s">
        <v>42</v>
      </c>
      <c r="H28" s="305">
        <f>SUM(H20:H27)</f>
        <v>0</v>
      </c>
      <c r="I28" s="292" t="s">
        <v>42</v>
      </c>
      <c r="J28" s="291">
        <f>SUM(J20:J27)</f>
        <v>0</v>
      </c>
      <c r="K28" s="291">
        <f>SUM(B28+D28+F28+H28+J28)</f>
        <v>27498.96</v>
      </c>
    </row>
    <row r="29" spans="1:12" ht="15.75">
      <c r="A29" s="292" t="s">
        <v>251</v>
      </c>
      <c r="B29" s="291">
        <f>SUM(B18-B28)</f>
        <v>30044.399999999994</v>
      </c>
      <c r="C29" s="292" t="s">
        <v>251</v>
      </c>
      <c r="D29" s="291">
        <f>SUM(D18-D28)</f>
        <v>0</v>
      </c>
      <c r="E29" s="292" t="s">
        <v>251</v>
      </c>
      <c r="F29" s="291">
        <f>SUM(F18-F28)</f>
        <v>0</v>
      </c>
      <c r="G29" s="292" t="s">
        <v>251</v>
      </c>
      <c r="H29" s="291">
        <f>SUM(H18-H28)</f>
        <v>0</v>
      </c>
      <c r="I29" s="292" t="s">
        <v>251</v>
      </c>
      <c r="J29" s="291">
        <f>SUM(J18-J28)</f>
        <v>0</v>
      </c>
      <c r="K29" s="306">
        <f>SUM(B29+D29+F29+H29+J29)</f>
        <v>30044.399999999994</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30044.399999999994</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8</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5">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LINWOOD LIBRARY</v>
      </c>
      <c r="B4" s="598"/>
      <c r="C4" s="598"/>
      <c r="D4" s="598"/>
      <c r="E4" s="598"/>
      <c r="F4" s="598"/>
      <c r="G4" s="598"/>
      <c r="H4" s="598"/>
    </row>
    <row r="5" spans="1:8" ht="15.75">
      <c r="A5" s="660" t="str">
        <f>inputPrYr!D4</f>
        <v>LEAVENWORTH</v>
      </c>
      <c r="B5" s="660"/>
      <c r="C5" s="660"/>
      <c r="D5" s="660"/>
      <c r="E5" s="660"/>
      <c r="F5" s="660"/>
      <c r="G5" s="660"/>
      <c r="H5" s="660"/>
    </row>
    <row r="6" spans="1:8" ht="15.75">
      <c r="A6" s="661" t="str">
        <f>CONCATENATE("will meet on ",inputBudSum!B5," at ",inputBudSum!B7," at ",inputBudSum!B9," for the purpose of hearing and")</f>
        <v>will meet on August 16, 2011 at 7:00 pm at Linwood Library, 19649 Linwood Road, P.O. 80, Linwood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692</v>
      </c>
      <c r="K14" s="571"/>
      <c r="L14" s="571"/>
      <c r="M14" s="572">
        <f>ROUND(F27/1000,0)</f>
        <v>43893</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304880.28</v>
      </c>
      <c r="C16" s="125">
        <f>IF(inputPrYr!D38&gt;0,inputPrYr!D38,"  ")</f>
        <v>3.317</v>
      </c>
      <c r="D16" s="128">
        <f>IF(gen!$D$50&lt;&gt;0,gen!$D$50,"  ")</f>
        <v>186750</v>
      </c>
      <c r="E16" s="125">
        <f>IF(inputOth!D16&gt;0,inputOth!D16,"  ")</f>
        <v>3.57</v>
      </c>
      <c r="F16" s="128">
        <f>IF(gen!$E$50&lt;&gt;0,gen!$E$50,"  ")</f>
        <v>198500</v>
      </c>
      <c r="G16" s="128">
        <f>IF(gen!$E$57&lt;&gt;0,gen!$E$57,"  ")</f>
        <v>161593.58000000002</v>
      </c>
      <c r="H16" s="125">
        <f>IF(gen!E57&gt;0,ROUND(G16/$F$27*1000,3)," ")</f>
        <v>3.682</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Employee Benefit</v>
      </c>
      <c r="B18" s="128">
        <f>IF(levypage8!$C$33&lt;&gt;0,levypage8!$C$33,"  ")</f>
        <v>7186</v>
      </c>
      <c r="C18" s="125">
        <f>IF(inputPrYr!D40&gt;0,inputPrYr!D40,"  ")</f>
        <v>0.177</v>
      </c>
      <c r="D18" s="128">
        <f>IF(levypage8!$D$33&lt;&gt;0,levypage8!$D$33,"  ")</f>
        <v>10350</v>
      </c>
      <c r="E18" s="125">
        <f>IF(inputOth!D18&gt;0,inputOth!D18,"  ")</f>
        <v>0.177</v>
      </c>
      <c r="F18" s="128">
        <f>IF(levypage8!$E$33&lt;&gt;0,levypage8!$E$33,"  ")</f>
        <v>9000</v>
      </c>
      <c r="G18" s="128">
        <f>IF(levypage8!$E$40&lt;&gt;0,levypage8!$E$40,"  ")</f>
        <v>5806</v>
      </c>
      <c r="H18" s="125">
        <f>IF(levypage8!E40&gt;0,ROUND(G18/$F$27*1000,3)," ")</f>
        <v>0.132</v>
      </c>
      <c r="J18" s="573" t="str">
        <f>CONCATENATE("",I3-1," Mill Rate Was:")</f>
        <v>2011 Mill Rate Was:</v>
      </c>
      <c r="K18" s="568"/>
      <c r="L18" s="568"/>
      <c r="M18" s="575">
        <f>E23</f>
        <v>3.747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-2932.5800000000163</v>
      </c>
    </row>
    <row r="22" spans="1:13" ht="16.5" thickBot="1">
      <c r="A22" s="129">
        <f>IF((inputPrYr!$B$30&gt;" "),(NonBud!$A$3),"")</f>
      </c>
      <c r="B22" s="548">
        <f>IF(NonBud!K28&gt;0,NonBud!K28,"")</f>
        <v>27498.96</v>
      </c>
      <c r="C22" s="547"/>
      <c r="D22" s="548"/>
      <c r="E22" s="547"/>
      <c r="F22" s="548"/>
      <c r="G22" s="548"/>
      <c r="H22" s="547"/>
      <c r="J22" s="581"/>
      <c r="K22" s="581"/>
      <c r="L22" s="581"/>
      <c r="M22" s="581"/>
    </row>
    <row r="23" spans="1:13" ht="15.75">
      <c r="A23" s="35" t="s">
        <v>137</v>
      </c>
      <c r="B23" s="321">
        <f>SUM(B16:B22)</f>
        <v>339565.24000000005</v>
      </c>
      <c r="C23" s="549">
        <f aca="true" t="shared" si="0" ref="C23:H23">SUM(C16:C21)</f>
        <v>3.494</v>
      </c>
      <c r="D23" s="321">
        <f t="shared" si="0"/>
        <v>197100</v>
      </c>
      <c r="E23" s="549">
        <f t="shared" si="0"/>
        <v>3.747</v>
      </c>
      <c r="F23" s="321">
        <f t="shared" si="0"/>
        <v>207500</v>
      </c>
      <c r="G23" s="321">
        <f t="shared" si="0"/>
        <v>167399.58000000002</v>
      </c>
      <c r="H23" s="549">
        <f t="shared" si="0"/>
        <v>3.814</v>
      </c>
      <c r="J23" s="650" t="str">
        <f>CONCATENATE("Impact On Keeping The Same Mill Rate As For ",I3-1,"")</f>
        <v>Impact On Keeping The Same Mill Rate As For 2011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339565.24000000005</v>
      </c>
      <c r="C25" s="320"/>
      <c r="D25" s="136">
        <f>SUM(D23-D24)</f>
        <v>197100</v>
      </c>
      <c r="E25" s="320"/>
      <c r="F25" s="546">
        <f>SUM(F23-F24)</f>
        <v>207500</v>
      </c>
      <c r="G25" s="260"/>
      <c r="H25" s="319"/>
      <c r="J25" s="573" t="str">
        <f>CONCATENATE("",I3," Ad Valorem Tax Revenue:")</f>
        <v>2012 Ad Valorem Tax Revenue:</v>
      </c>
      <c r="K25" s="568"/>
      <c r="L25" s="568"/>
      <c r="M25" s="569">
        <f>G23</f>
        <v>167399.58000000002</v>
      </c>
    </row>
    <row r="26" spans="1:13" ht="16.5" thickTop="1">
      <c r="A26" s="35" t="s">
        <v>54</v>
      </c>
      <c r="B26" s="321">
        <f>inputPrYr!E44</f>
        <v>152991</v>
      </c>
      <c r="C26" s="230"/>
      <c r="D26" s="321">
        <f>inputPrYr!E24</f>
        <v>164074.494</v>
      </c>
      <c r="E26" s="230"/>
      <c r="F26" s="322" t="s">
        <v>179</v>
      </c>
      <c r="G26" s="18"/>
      <c r="H26" s="18"/>
      <c r="J26" s="573" t="str">
        <f>CONCATENATE("",I3-1," Ad Valorem Tax Revenue:")</f>
        <v>2011 Ad Valorem Tax Revenue:</v>
      </c>
      <c r="K26" s="568"/>
      <c r="L26" s="568"/>
      <c r="M26" s="582">
        <f>ROUND(F27*M18/1000,0)</f>
        <v>164467</v>
      </c>
    </row>
    <row r="27" spans="1:13" ht="15.75">
      <c r="A27" s="35" t="s">
        <v>175</v>
      </c>
      <c r="B27" s="214">
        <f>inputPrYr!E45</f>
        <v>43509479</v>
      </c>
      <c r="C27" s="230"/>
      <c r="D27" s="214">
        <f>inputOth!E24</f>
        <v>43774661</v>
      </c>
      <c r="E27" s="230"/>
      <c r="F27" s="214">
        <f>inputOth!E7</f>
        <v>43892910</v>
      </c>
      <c r="G27" s="18"/>
      <c r="H27" s="18"/>
      <c r="J27" s="583" t="s">
        <v>693</v>
      </c>
      <c r="K27" s="584"/>
      <c r="L27" s="584"/>
      <c r="M27" s="572">
        <f>M25-M26</f>
        <v>2932.5800000000163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3.814</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233747</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233747</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327448</v>
      </c>
      <c r="E19" s="37">
        <v>156310</v>
      </c>
    </row>
    <row r="20" spans="1:5" ht="15.75">
      <c r="A20" s="18"/>
      <c r="B20" s="35" t="s">
        <v>282</v>
      </c>
      <c r="C20" s="114" t="s">
        <v>160</v>
      </c>
      <c r="D20" s="37"/>
      <c r="E20" s="37"/>
    </row>
    <row r="21" spans="1:5" ht="15.75">
      <c r="A21" s="17" t="s">
        <v>11</v>
      </c>
      <c r="B21" s="18"/>
      <c r="C21" s="18"/>
      <c r="D21" s="39"/>
      <c r="E21" s="40"/>
    </row>
    <row r="22" spans="1:5" ht="15.75">
      <c r="A22" s="18"/>
      <c r="B22" s="36" t="s">
        <v>746</v>
      </c>
      <c r="C22" s="436"/>
      <c r="D22" s="37">
        <v>10350</v>
      </c>
      <c r="E22" s="37">
        <v>7761</v>
      </c>
    </row>
    <row r="23" spans="1:5" ht="15.75">
      <c r="A23" s="18"/>
      <c r="B23" s="36"/>
      <c r="C23" s="436"/>
      <c r="D23" s="37"/>
      <c r="E23" s="37">
        <v>3.494</v>
      </c>
    </row>
    <row r="24" spans="1:5" ht="15.75">
      <c r="A24" s="41" t="str">
        <f>CONCATENATE("Total Ad Valorem Tax for ",D6-1," Budgeted Year")</f>
        <v>Total Ad Valorem Tax for 2011 Budgeted Year</v>
      </c>
      <c r="B24" s="42"/>
      <c r="C24" s="42"/>
      <c r="D24" s="43"/>
      <c r="E24" s="44">
        <f>SUM(E19:E20,E22:E23)</f>
        <v>164074.494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337798</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3.317</v>
      </c>
      <c r="E38" s="39"/>
    </row>
    <row r="39" spans="1:5" ht="15.75">
      <c r="A39" s="18"/>
      <c r="B39" s="38" t="str">
        <f>B20</f>
        <v>Debt Service</v>
      </c>
      <c r="C39" s="18"/>
      <c r="D39" s="49"/>
      <c r="E39" s="39"/>
    </row>
    <row r="40" spans="1:5" ht="15.75">
      <c r="A40" s="18"/>
      <c r="B40" s="38" t="str">
        <f>B22</f>
        <v>Employee Benefit</v>
      </c>
      <c r="C40" s="18"/>
      <c r="D40" s="49">
        <v>0.177</v>
      </c>
      <c r="E40" s="39"/>
    </row>
    <row r="41" spans="1:5" ht="15.75">
      <c r="A41" s="18"/>
      <c r="B41" s="38">
        <f>B23</f>
        <v>0</v>
      </c>
      <c r="C41" s="18"/>
      <c r="D41" s="49"/>
      <c r="E41" s="39"/>
    </row>
    <row r="42" spans="1:5" ht="16.5" thickBot="1">
      <c r="A42" s="17" t="s">
        <v>13</v>
      </c>
      <c r="B42" s="18"/>
      <c r="C42" s="18"/>
      <c r="D42" s="50">
        <f>SUM(D38:D41)</f>
        <v>3.494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152991</v>
      </c>
    </row>
    <row r="45" spans="1:5" ht="15.75">
      <c r="A45" s="51" t="str">
        <f>CONCATENATE("Assessed Valuation (",D6-2," budget column)")</f>
        <v>Assessed Valuation (2010 budget column)</v>
      </c>
      <c r="B45" s="29"/>
      <c r="C45" s="18"/>
      <c r="D45" s="18"/>
      <c r="E45" s="53">
        <v>43509479</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LINWOOD LIBRARY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Employee Benefit</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43892910</v>
      </c>
      <c r="E16" s="18"/>
      <c r="F16" s="54"/>
    </row>
    <row r="17" spans="1:6" ht="15.75">
      <c r="A17" s="18"/>
      <c r="B17" s="18"/>
      <c r="C17" s="18"/>
      <c r="D17" s="18"/>
      <c r="E17" s="18"/>
      <c r="F17" s="54"/>
    </row>
    <row r="18" spans="1:6" ht="15.75">
      <c r="A18" s="18"/>
      <c r="B18" s="665" t="s">
        <v>329</v>
      </c>
      <c r="C18" s="665"/>
      <c r="D18" s="335">
        <f>IF(D16&gt;0,(D16*0.001),"")</f>
        <v>43892.91</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LINWOOD LIBRARY District with respect to financing the 2012 annual budget for LINWOOD LIBRARY , LEAVENWORTH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LINWOOD LIBRARY district budget exceed the amount levied to finance the</v>
      </c>
      <c r="C9"/>
      <c r="D9"/>
      <c r="E9"/>
      <c r="F9"/>
      <c r="G9"/>
      <c r="H9"/>
    </row>
    <row r="10" spans="2:8" ht="15.75">
      <c r="B10" s="12" t="str">
        <f>CONCATENATE("",inputPrYr!D6-1," ",inputPrYr!D3," except with regard to revenue produced and attributable to the")</f>
        <v>2011 LINWOOD LIBRARY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LINWOOD LIBRARY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LINWOOD LIBRARY that is our desire to notify the public of the possibility of increased property taxes to finance the 2012 LINWOOD LIBRARY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LINWOOD LIBRARY District Board, LEAVENWORTH,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LINWOOD LIBRARY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6">
      <selection activeCell="G29" sqref="G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LINWOOD LIBRARY</v>
      </c>
      <c r="B1" s="62"/>
      <c r="C1" s="62"/>
      <c r="D1" s="62"/>
      <c r="E1" s="62">
        <f>inputPrYr!D6</f>
        <v>2012</v>
      </c>
    </row>
    <row r="2" spans="1:5" ht="15.75">
      <c r="A2" s="62" t="str">
        <f>inputPrYr!D4</f>
        <v>LEAVENWORTH</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43892910</v>
      </c>
    </row>
    <row r="8" spans="1:5" ht="15.75">
      <c r="A8" s="68" t="str">
        <f>CONCATENATE("New Improvements for ",inputPrYr!D6-1,"")</f>
        <v>New Improvements for 2011</v>
      </c>
      <c r="B8" s="69"/>
      <c r="C8" s="69"/>
      <c r="D8" s="69"/>
      <c r="E8" s="70">
        <v>220946</v>
      </c>
    </row>
    <row r="9" spans="1:5" ht="15.75">
      <c r="A9" s="68" t="str">
        <f>CONCATENATE("Personal Property excluding oil, gas, and mobile homes- ",inputPrYr!D6-1,"")</f>
        <v>Personal Property excluding oil, gas, and mobile homes- 2011</v>
      </c>
      <c r="B9" s="69"/>
      <c r="C9" s="69"/>
      <c r="D9" s="69"/>
      <c r="E9" s="70">
        <v>1000461</v>
      </c>
    </row>
    <row r="10" spans="1:5" ht="15.75">
      <c r="A10" s="68" t="str">
        <f>CONCATENATE("Property that has changed in use for ",inputPrYr!D6-1,"")</f>
        <v>Property that has changed in use for 2011</v>
      </c>
      <c r="B10" s="69"/>
      <c r="C10" s="69"/>
      <c r="D10" s="69"/>
      <c r="E10" s="70">
        <v>656865</v>
      </c>
    </row>
    <row r="11" spans="1:5" ht="15.75">
      <c r="A11" s="67" t="str">
        <f>CONCATENATE("Personal Property excluding oil, gas, and mobile homes- ",inputPrYr!D6-2,"")</f>
        <v>Personal Property excluding oil, gas, and mobile homes- 2010</v>
      </c>
      <c r="B11" s="42"/>
      <c r="C11" s="42"/>
      <c r="D11" s="42"/>
      <c r="E11" s="70">
        <v>1171913</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3.57</v>
      </c>
      <c r="E16" s="74"/>
    </row>
    <row r="17" spans="1:5" ht="15.75">
      <c r="A17" s="68" t="s">
        <v>282</v>
      </c>
      <c r="B17" s="69"/>
      <c r="C17" s="71"/>
      <c r="D17" s="77"/>
      <c r="E17" s="74"/>
    </row>
    <row r="18" spans="1:5" ht="15.75">
      <c r="A18" s="68" t="str">
        <f>inputPrYr!B22</f>
        <v>Employee Benefit</v>
      </c>
      <c r="B18" s="69"/>
      <c r="C18" s="71"/>
      <c r="D18" s="77">
        <v>0.177</v>
      </c>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3.747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43774661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23089.68</v>
      </c>
    </row>
    <row r="28" spans="1:5" ht="15.75">
      <c r="A28" s="68" t="s">
        <v>15</v>
      </c>
      <c r="B28" s="69"/>
      <c r="C28" s="69"/>
      <c r="D28" s="86"/>
      <c r="E28" s="37">
        <v>561.8</v>
      </c>
    </row>
    <row r="29" spans="1:5" ht="15.75">
      <c r="A29" s="68" t="s">
        <v>176</v>
      </c>
      <c r="B29" s="69"/>
      <c r="C29" s="69"/>
      <c r="D29" s="86"/>
      <c r="E29" s="37">
        <v>836.9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226430</v>
      </c>
      <c r="C42" s="95" t="s">
        <v>224</v>
      </c>
      <c r="D42" s="96"/>
      <c r="E42" s="96"/>
    </row>
    <row r="43" spans="1:5" ht="15.75">
      <c r="A43" s="97" t="str">
        <f>inputPrYr!B20</f>
        <v>Debt Service</v>
      </c>
      <c r="B43" s="58"/>
      <c r="C43" s="95"/>
      <c r="D43" s="96"/>
      <c r="E43" s="96"/>
    </row>
    <row r="44" spans="1:5" ht="15.75">
      <c r="A44" s="97" t="str">
        <f>inputPrYr!B22</f>
        <v>Employee Benefit</v>
      </c>
      <c r="B44" s="58">
        <v>9084</v>
      </c>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7" sqref="G7"/>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748</v>
      </c>
      <c r="C5" s="370"/>
      <c r="D5" s="368" t="s">
        <v>740</v>
      </c>
      <c r="E5" s="366"/>
      <c r="F5" s="366"/>
    </row>
    <row r="6" spans="1:6" ht="15.75">
      <c r="A6" s="368"/>
      <c r="B6" s="371"/>
      <c r="C6" s="372"/>
      <c r="D6" s="368" t="s">
        <v>739</v>
      </c>
      <c r="E6" s="366"/>
      <c r="F6" s="366"/>
    </row>
    <row r="7" spans="1:6" ht="15.75">
      <c r="A7" s="368" t="s">
        <v>332</v>
      </c>
      <c r="B7" s="369" t="s">
        <v>749</v>
      </c>
      <c r="C7" s="373"/>
      <c r="D7" s="368"/>
      <c r="E7" s="366"/>
      <c r="F7" s="366"/>
    </row>
    <row r="8" spans="1:6" ht="15.75">
      <c r="A8" s="368"/>
      <c r="B8" s="368"/>
      <c r="C8" s="368"/>
      <c r="D8" s="368"/>
      <c r="E8" s="366"/>
      <c r="F8" s="366"/>
    </row>
    <row r="9" spans="1:6" ht="15.75">
      <c r="A9" s="368" t="s">
        <v>333</v>
      </c>
      <c r="B9" s="374" t="s">
        <v>750</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4">
      <selection activeCell="Y87" sqref="Y87"/>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8">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LEAVENWORTH, State of Kansas</v>
      </c>
      <c r="B4" s="616"/>
      <c r="C4" s="616"/>
      <c r="D4" s="616"/>
      <c r="E4" s="616"/>
      <c r="F4" s="616"/>
      <c r="G4" s="616"/>
    </row>
    <row r="5" spans="1:7" ht="15.75">
      <c r="A5" s="100" t="s">
        <v>159</v>
      </c>
      <c r="B5" s="26"/>
      <c r="C5" s="26"/>
      <c r="D5" s="26"/>
      <c r="E5" s="26"/>
      <c r="F5" s="26"/>
      <c r="G5" s="26"/>
    </row>
    <row r="6" spans="1:7" ht="15.75">
      <c r="A6" s="598" t="str">
        <f>inputPrYr!D3</f>
        <v>LINWOOD LIBRARY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198500</v>
      </c>
      <c r="F23" s="124">
        <f>IF(gen!$E$57&lt;&gt;0,gen!$E$57,"  ")</f>
        <v>161593.58000000002</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Employee Benefit</v>
      </c>
      <c r="B25" s="119"/>
      <c r="C25" s="114" t="str">
        <f>IF(inputPrYr!C22&gt;0,inputPrYr!C22,"  ")</f>
        <v>  </v>
      </c>
      <c r="D25" s="123" t="str">
        <f>IF(levypage8!C80&gt;0,levypage8!C80," ")</f>
        <v> </v>
      </c>
      <c r="E25" s="47">
        <f>IF(levypage8!$E$33&lt;&gt;0,levypage8!$E$33,"  ")</f>
        <v>9000</v>
      </c>
      <c r="F25" s="47">
        <f>IF(levypage8!$E$40&lt;&gt;0,levypage8!$E$40,"  ")</f>
        <v>5806</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v>8</v>
      </c>
      <c r="E29" s="131"/>
      <c r="F29" s="132"/>
      <c r="G29" s="133"/>
    </row>
    <row r="30" spans="1:7" ht="15.75">
      <c r="A30" s="134" t="s">
        <v>137</v>
      </c>
      <c r="B30" s="69"/>
      <c r="C30" s="119"/>
      <c r="D30" s="135" t="s">
        <v>28</v>
      </c>
      <c r="E30" s="414">
        <f>SUM(E23:E28)</f>
        <v>207500</v>
      </c>
      <c r="F30" s="415">
        <f>SUM(F23:F28)</f>
        <v>167399.58000000002</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C39" sqref="AC39"/>
    </sheetView>
  </sheetViews>
  <sheetFormatPr defaultColWidth="8.796875" defaultRowHeig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6">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LINWOOD LIBRARY</v>
      </c>
      <c r="D1" s="18"/>
      <c r="E1" s="18"/>
      <c r="F1" s="18"/>
      <c r="G1" s="18"/>
      <c r="H1" s="18"/>
      <c r="I1" s="18"/>
      <c r="J1" s="18">
        <f>inputPrYr!D6</f>
        <v>2012</v>
      </c>
    </row>
    <row r="2" spans="1:10" ht="15.75" customHeight="1">
      <c r="A2" s="18"/>
      <c r="B2" s="18"/>
      <c r="C2" s="18" t="str">
        <f>inputPrYr!D4</f>
        <v>LEAVENWORTH</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164074.494</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164074.494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220946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1000461</v>
      </c>
      <c r="F14" s="156"/>
      <c r="G14" s="39"/>
      <c r="H14" s="39"/>
      <c r="I14" s="159"/>
      <c r="J14" s="39"/>
    </row>
    <row r="15" spans="1:10" ht="15.75">
      <c r="A15" s="155"/>
      <c r="B15" s="18" t="s">
        <v>102</v>
      </c>
      <c r="C15" s="18" t="str">
        <f>CONCATENATE("Personal Property ",J1-2,"")</f>
        <v>Personal Property 2010</v>
      </c>
      <c r="D15" s="155" t="s">
        <v>98</v>
      </c>
      <c r="E15" s="43">
        <f>inputOth!E11</f>
        <v>1171913</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656865</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877811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43892910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43015099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0.02040704358253366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3348</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167422.494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167422.494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LINWOOD LIBRARY</v>
      </c>
      <c r="C1" s="18"/>
      <c r="D1" s="18"/>
      <c r="E1" s="18"/>
      <c r="F1" s="18"/>
      <c r="G1" s="18"/>
      <c r="H1" s="18"/>
      <c r="I1" s="165"/>
      <c r="J1" s="18"/>
    </row>
    <row r="2" spans="1:10" ht="15.75">
      <c r="A2" s="18"/>
      <c r="B2" s="18" t="str">
        <f>inputPrYr!D4</f>
        <v>LEAVENWORTH</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156310</v>
      </c>
      <c r="D11" s="128">
        <f>IF(E17=0,0,E17-D12-D13-D14)</f>
        <v>21997.68</v>
      </c>
      <c r="E11" s="128">
        <f>IF(E19=0,0,E19-E12-E13-E14)</f>
        <v>534.8</v>
      </c>
      <c r="F11" s="128">
        <f>IF(E21=0,0,E21-F12-F13-F14)</f>
        <v>796.9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Employee Benefit</v>
      </c>
      <c r="C13" s="128">
        <f>inputPrYr!E22</f>
        <v>7761</v>
      </c>
      <c r="D13" s="128">
        <f>IF($E$17=0,0,ROUND(C13*$C$25,0))</f>
        <v>1092</v>
      </c>
      <c r="E13" s="128">
        <f>IF($E$19=0,0,ROUND(C13*$D$27,0))</f>
        <v>27</v>
      </c>
      <c r="F13" s="128">
        <f>IF($E21=0,0,ROUND(C13*$E$29,0))</f>
        <v>40</v>
      </c>
      <c r="G13" s="128">
        <f>IF($E23=0,0,ROUND(C13*$F$31,0))</f>
        <v>0</v>
      </c>
      <c r="H13" s="102"/>
      <c r="I13" s="102"/>
      <c r="J13" s="18"/>
    </row>
    <row r="14" spans="1:10" ht="15.75">
      <c r="A14" s="18"/>
      <c r="B14" s="38" t="str">
        <f>IF(inputPrYr!$B$23&gt;"  ",inputPrYr!$B$23,"  ")</f>
        <v>  </v>
      </c>
      <c r="C14" s="128">
        <f>inputPrYr!E23</f>
        <v>3.494</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164074.494</v>
      </c>
      <c r="D15" s="137">
        <f>SUM(D11:D14)</f>
        <v>23089.68</v>
      </c>
      <c r="E15" s="137">
        <f>SUM(E11:E14)</f>
        <v>561.8</v>
      </c>
      <c r="F15" s="137">
        <f>SUM(F11:F14)</f>
        <v>836.9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23089.68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561.8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836.9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0.14072680912854132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0.003424054442002423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0.005100731866343589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jdickson</cp:lastModifiedBy>
  <cp:lastPrinted>2011-02-09T20:37:43Z</cp:lastPrinted>
  <dcterms:created xsi:type="dcterms:W3CDTF">1999-08-06T13:59:57Z</dcterms:created>
  <dcterms:modified xsi:type="dcterms:W3CDTF">2011-12-20T21:47:24Z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