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715" tabRatio="869" activeTab="3"/>
  </bookViews>
  <sheets>
    <sheet name="inputPrYr" sheetId="1" r:id="rId1"/>
    <sheet name="inputOth" sheetId="2" r:id="rId2"/>
    <sheet name="cert" sheetId="3" r:id="rId3"/>
    <sheet name="pub" sheetId="4" r:id="rId4"/>
    <sheet name="computation" sheetId="5" r:id="rId5"/>
    <sheet name="mvalloc" sheetId="6" r:id="rId6"/>
    <sheet name="gen" sheetId="7" r:id="rId7"/>
    <sheet name="summ" sheetId="8" r:id="rId8"/>
    <sheet name="signed cert" sheetId="9" r:id="rId9"/>
  </sheets>
  <definedNames>
    <definedName name="_xlnm.Print_Area" localSheetId="6">'gen'!$B$1:$F$63</definedName>
    <definedName name="_xlnm.Print_Area" localSheetId="0">'inputPrYr'!$A$1:$E$46</definedName>
  </definedNames>
  <calcPr fullCalcOnLoad="1"/>
</workbook>
</file>

<file path=xl/sharedStrings.xml><?xml version="1.0" encoding="utf-8"?>
<sst xmlns="http://schemas.openxmlformats.org/spreadsheetml/2006/main" count="203" uniqueCount="168">
  <si>
    <t>Input sheet for Special District budget form</t>
  </si>
  <si>
    <t>Fund Names:</t>
  </si>
  <si>
    <t>Statute</t>
  </si>
  <si>
    <t>General</t>
  </si>
  <si>
    <t>Fund name for all funds with a tax levy:</t>
  </si>
  <si>
    <t>Other (non-tax levy) fund names:</t>
  </si>
  <si>
    <t>Total</t>
  </si>
  <si>
    <t>Motor Vehicle Tax Estimate</t>
  </si>
  <si>
    <t>Recreational Vehicle Tax Estimate</t>
  </si>
  <si>
    <t>certify that: (1) the hearing mentioned in the attached publication was held;</t>
  </si>
  <si>
    <t>(2) after the Budget Hearing this budget was duly approved and adopted</t>
  </si>
  <si>
    <t xml:space="preserve"> </t>
  </si>
  <si>
    <t>County</t>
  </si>
  <si>
    <t>Page</t>
  </si>
  <si>
    <t>Clerk's</t>
  </si>
  <si>
    <t>Table of Contents:</t>
  </si>
  <si>
    <t>No.</t>
  </si>
  <si>
    <t>Use Only</t>
  </si>
  <si>
    <t>Fund</t>
  </si>
  <si>
    <t>K.S.A.</t>
  </si>
  <si>
    <t>x</t>
  </si>
  <si>
    <t>Governing Body</t>
  </si>
  <si>
    <t>County Clerk</t>
  </si>
  <si>
    <t>Adopted Budget</t>
  </si>
  <si>
    <t>Ad Valorem Tax</t>
  </si>
  <si>
    <t>Delinquent Tax</t>
  </si>
  <si>
    <t>Motor Vehicle Tax</t>
  </si>
  <si>
    <t>Recreational Vehicle Tax</t>
  </si>
  <si>
    <t>In Lieu of Taxes</t>
  </si>
  <si>
    <t>Interest on Idle Funds</t>
  </si>
  <si>
    <t>Total Receipts</t>
  </si>
  <si>
    <t>Resources Available:</t>
  </si>
  <si>
    <t>Expenditures:</t>
  </si>
  <si>
    <t>Total Expenditures</t>
  </si>
  <si>
    <t>Page No.</t>
  </si>
  <si>
    <t>MVT</t>
  </si>
  <si>
    <t>RVT</t>
  </si>
  <si>
    <t>County Treas MVT Estimate</t>
  </si>
  <si>
    <t>County Treas RVT Estimate</t>
  </si>
  <si>
    <t>MVT Factor</t>
  </si>
  <si>
    <t>RVT Factor</t>
  </si>
  <si>
    <t>Actual</t>
  </si>
  <si>
    <t>FUND</t>
  </si>
  <si>
    <t>Expenditures</t>
  </si>
  <si>
    <t>Total Tax Levied</t>
  </si>
  <si>
    <t xml:space="preserve">  *Tax rates are expressed in mills.</t>
  </si>
  <si>
    <t>Rate</t>
  </si>
  <si>
    <t xml:space="preserve">on the budget forms in the appropriate locations.  If any of the numbers are wrong, change  </t>
  </si>
  <si>
    <t>CERTIFICATE</t>
  </si>
  <si>
    <t>FUND PAGE FOR FUNDS WITH A TAX LEVY</t>
  </si>
  <si>
    <t>NOTICE OF BUDGET HEARING</t>
  </si>
  <si>
    <t>BUDGET SUMMARY</t>
  </si>
  <si>
    <t>16/20M Veh</t>
  </si>
  <si>
    <t>County Treas 16/20 M Vehicle Tax Estimate</t>
  </si>
  <si>
    <t>16/20M Factor</t>
  </si>
  <si>
    <t>Amount of Levy</t>
  </si>
  <si>
    <t xml:space="preserve"> 1.</t>
  </si>
  <si>
    <t>+</t>
  </si>
  <si>
    <t>$</t>
  </si>
  <si>
    <t xml:space="preserve"> 2.</t>
  </si>
  <si>
    <t>-</t>
  </si>
  <si>
    <t xml:space="preserve"> 4.</t>
  </si>
  <si>
    <t xml:space="preserve"> 5.</t>
  </si>
  <si>
    <t>5a.</t>
  </si>
  <si>
    <t>5b.</t>
  </si>
  <si>
    <t>5c.</t>
  </si>
  <si>
    <t>6.</t>
  </si>
  <si>
    <t>7.</t>
  </si>
  <si>
    <t>8.</t>
  </si>
  <si>
    <t>9.</t>
  </si>
  <si>
    <t>10.</t>
  </si>
  <si>
    <t>11.</t>
  </si>
  <si>
    <t>12.</t>
  </si>
  <si>
    <t>(Use Only if &gt; 0)</t>
  </si>
  <si>
    <t>16/20M Vehicle Tax</t>
  </si>
  <si>
    <t xml:space="preserve">The governing body of </t>
  </si>
  <si>
    <t>Computation of Delinquency</t>
  </si>
  <si>
    <t>Tax Levy Excluding Debt Service</t>
  </si>
  <si>
    <t>Increase in Personal Property (5a minus 5b)</t>
  </si>
  <si>
    <r>
      <t xml:space="preserve">Total Valuation Adjustment </t>
    </r>
    <r>
      <rPr>
        <sz val="12"/>
        <rFont val="Times New Roman"/>
        <family val="1"/>
      </rPr>
      <t>(Sum of 4, 5c, 6)</t>
    </r>
  </si>
  <si>
    <t>Total Valuation less Valuation Adjustment (8 minus 7)</t>
  </si>
  <si>
    <t>Factor for Increase (7 divided by 9)</t>
  </si>
  <si>
    <t>Amount of Increase (10 times 3)</t>
  </si>
  <si>
    <t xml:space="preserve"> 3.</t>
  </si>
  <si>
    <t>adopt a resolution to exceed this limit and attach a copy to this budget.</t>
  </si>
  <si>
    <t>13.</t>
  </si>
  <si>
    <t>14.</t>
  </si>
  <si>
    <t>Maximum Tax Levy, excluding debt service, without Resolution (3 plus 11)</t>
  </si>
  <si>
    <t>Maximum levy, including debt service, without a Resolution (12 plus 13)</t>
  </si>
  <si>
    <t>Unencumbered Cash Balance Jan 1</t>
  </si>
  <si>
    <t>Unencumbered Cash Balance Dec 31</t>
  </si>
  <si>
    <t>Receipts:</t>
  </si>
  <si>
    <t>Enter Special District Name (Can be Longer than green cell)</t>
  </si>
  <si>
    <t>Totals</t>
  </si>
  <si>
    <t>County Clerk's Use Only</t>
  </si>
  <si>
    <t>Statement of Indebt. &amp; Lease/Purchase</t>
  </si>
  <si>
    <t>Schedule of Transfers</t>
  </si>
  <si>
    <t xml:space="preserve">Enter year being budgeted (YYYY) </t>
  </si>
  <si>
    <t xml:space="preserve">  G.O. Bonds</t>
  </si>
  <si>
    <t xml:space="preserve">  Revenue Bonds</t>
  </si>
  <si>
    <t xml:space="preserve">  Lease Purchase Principal</t>
  </si>
  <si>
    <t xml:space="preserve">The input for the following comes directly from </t>
  </si>
  <si>
    <t>We, the undersigned, officers of</t>
  </si>
  <si>
    <t>10-113</t>
  </si>
  <si>
    <t>LAVTR</t>
  </si>
  <si>
    <t>Slider</t>
  </si>
  <si>
    <t>Less: Transfers</t>
  </si>
  <si>
    <t>Net Expenditures</t>
  </si>
  <si>
    <t>Assessed Valuation</t>
  </si>
  <si>
    <t>16\20 M Vehicle Tax</t>
  </si>
  <si>
    <t xml:space="preserve">   </t>
  </si>
  <si>
    <r>
      <t>**</t>
    </r>
    <r>
      <rPr>
        <b/>
        <u val="single"/>
        <sz val="12"/>
        <rFont val="Times New Roman"/>
        <family val="1"/>
      </rPr>
      <t>Note</t>
    </r>
    <r>
      <rPr>
        <sz val="12"/>
        <rFont val="Times New Roman"/>
        <family val="1"/>
      </rPr>
      <t>: The delinquency rate can be up to 5% more than the actual delinquency rate from the previous year.</t>
    </r>
  </si>
  <si>
    <t>xxxxxxxxxxxxxxxx</t>
  </si>
  <si>
    <t>Note:  All amounts are to be entered in as whole numbers only.</t>
  </si>
  <si>
    <t>Attest: _________________,</t>
  </si>
  <si>
    <t>Tax Rate*</t>
  </si>
  <si>
    <t>Resolution</t>
  </si>
  <si>
    <t>Is a Resolution required?</t>
  </si>
  <si>
    <t>Budget Summary</t>
  </si>
  <si>
    <t>Total Tax Rates</t>
  </si>
  <si>
    <t>Rate used in this budget will be shown on all fund pages with a tax levy**</t>
  </si>
  <si>
    <t xml:space="preserve">          the information on this input sheet.</t>
  </si>
  <si>
    <t>Enter the following information from the sources shown.  This information will be entered</t>
  </si>
  <si>
    <t>Outstanding Indebtedness, January 1:</t>
  </si>
  <si>
    <t>Allocation MVT, RVT,16/20M Veh &amp; Slider</t>
  </si>
  <si>
    <t>County Treas Slider Estimate</t>
  </si>
  <si>
    <t>Slider Factor</t>
  </si>
  <si>
    <t>Funds</t>
  </si>
  <si>
    <t>Budget Authority</t>
  </si>
  <si>
    <t xml:space="preserve">expenditure amounts should reflect the amended </t>
  </si>
  <si>
    <t>expenditure amounts.</t>
  </si>
  <si>
    <t>Miscellaneous</t>
  </si>
  <si>
    <t>Neighborhood Revitalization Rebate</t>
  </si>
  <si>
    <t>Enter County Name followed by 'County'</t>
  </si>
  <si>
    <t>ALLOCATION OF MOTOR, RECREATIONAL ,16/20M VEHICLE TAXES &amp; SLIDER</t>
  </si>
  <si>
    <t>Non-budgeted funds:</t>
  </si>
  <si>
    <t xml:space="preserve">Proposed Budget </t>
  </si>
  <si>
    <t xml:space="preserve">Current Year </t>
  </si>
  <si>
    <t>Prior Year</t>
  </si>
  <si>
    <t>Debt Service</t>
  </si>
  <si>
    <r>
      <rPr>
        <b/>
        <sz val="12"/>
        <color indexed="10"/>
        <rFont val="Times New Roman"/>
        <family val="1"/>
      </rPr>
      <t>*</t>
    </r>
    <r>
      <rPr>
        <b/>
        <sz val="12"/>
        <rFont val="Times New Roman"/>
        <family val="1"/>
      </rPr>
      <t>If amended, then use the amended figures.</t>
    </r>
    <r>
      <rPr>
        <b/>
        <sz val="12"/>
        <color indexed="10"/>
        <rFont val="Times New Roman"/>
        <family val="1"/>
      </rPr>
      <t>*</t>
    </r>
  </si>
  <si>
    <r>
      <rPr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>Expenditures</t>
    </r>
    <r>
      <rPr>
        <sz val="12"/>
        <color indexed="10"/>
        <rFont val="Times New Roman"/>
        <family val="1"/>
      </rPr>
      <t>*</t>
    </r>
  </si>
  <si>
    <t>answering objections of taxpayers relating  to the proposed use of all funds and the amount of tax to levied.</t>
  </si>
  <si>
    <t>for Expenditures</t>
  </si>
  <si>
    <t>Does misc. exceed 10% Total Expenditures</t>
  </si>
  <si>
    <t>Does misc. exceed 10% of Total Receipts</t>
  </si>
  <si>
    <t>Assisted by:</t>
  </si>
  <si>
    <t>Address:</t>
  </si>
  <si>
    <t>Estimate</t>
  </si>
  <si>
    <t>Non-Appropriated Balance</t>
  </si>
  <si>
    <t>Total Expenditure/Non-Appr Balance</t>
  </si>
  <si>
    <t>Tax Required</t>
  </si>
  <si>
    <t>Delinquent Comp Rate:</t>
  </si>
  <si>
    <t xml:space="preserve">  Other</t>
  </si>
  <si>
    <t>Desired Carryover Amount:</t>
  </si>
  <si>
    <t>Estimated Mill Rate Impact:</t>
  </si>
  <si>
    <t>ELK COUNTY</t>
  </si>
  <si>
    <t>Page No. 4</t>
  </si>
  <si>
    <t>PAINTERHOOD CEMETERY</t>
  </si>
  <si>
    <t>Treasurer's Ending Balance</t>
  </si>
  <si>
    <t>Treasurer's Beginning Balance</t>
  </si>
  <si>
    <t>Mowing</t>
  </si>
  <si>
    <t>Operations</t>
  </si>
  <si>
    <t>Publication</t>
  </si>
  <si>
    <t>Capital Improvement</t>
  </si>
  <si>
    <t>Harold Cannon</t>
  </si>
  <si>
    <t>Treasurer</t>
  </si>
  <si>
    <t>NO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</si>
</sst>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0.00000_)"/>
    <numFmt numFmtId="167" formatCode="#,##0.00000_);\(#,##0.00000\)"/>
    <numFmt numFmtId="168" formatCode="0.00000"/>
    <numFmt numFmtId="169" formatCode="_(* #,##0_);_(* \(#,##0\);_(* &quot;-&quot;??_);_(@_)"/>
    <numFmt numFmtId="170" formatCode="#,##0.000_);\(#,##0.000\)"/>
    <numFmt numFmtId="171" formatCode="0.000%"/>
    <numFmt numFmtId="172" formatCode="0.000"/>
    <numFmt numFmtId="173" formatCode="#,##0.000"/>
    <numFmt numFmtId="174" formatCode="&quot;$&quot;#,##0"/>
  </numFmts>
  <fonts count="56">
    <font>
      <sz val="12"/>
      <name val="Courier"/>
      <family val="0"/>
    </font>
    <font>
      <sz val="11"/>
      <color indexed="8"/>
      <name val="Calibri"/>
      <family val="2"/>
    </font>
    <font>
      <b/>
      <sz val="12"/>
      <name val="Courie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Courier New"/>
      <family val="3"/>
    </font>
    <font>
      <u val="single"/>
      <sz val="12"/>
      <color indexed="12"/>
      <name val="Courier New"/>
      <family val="3"/>
    </font>
    <font>
      <sz val="8"/>
      <name val="Courier"/>
      <family val="3"/>
    </font>
    <font>
      <b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name val="Courier"/>
      <family val="3"/>
    </font>
    <font>
      <sz val="10"/>
      <name val="Courier"/>
      <family val="3"/>
    </font>
    <font>
      <sz val="12"/>
      <color indexed="10"/>
      <name val="Times New Roman"/>
      <family val="1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u val="single"/>
      <sz val="12"/>
      <color indexed="12"/>
      <name val="Courier"/>
      <family val="3"/>
    </font>
    <font>
      <b/>
      <u val="single"/>
      <sz val="10"/>
      <name val="Times New Roman"/>
      <family val="1"/>
    </font>
    <font>
      <b/>
      <u val="single"/>
      <sz val="10"/>
      <name val="Courier"/>
      <family val="3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double"/>
    </border>
    <border>
      <left/>
      <right style="thin"/>
      <top style="thin"/>
      <bottom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37" fontId="4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3" fillId="35" borderId="0" xfId="0" applyFont="1" applyFill="1" applyAlignment="1" applyProtection="1">
      <alignment vertical="center"/>
      <protection/>
    </xf>
    <xf numFmtId="37" fontId="4" fillId="36" borderId="0" xfId="0" applyNumberFormat="1" applyFont="1" applyFill="1" applyAlignment="1" applyProtection="1">
      <alignment horizontal="left" vertical="center"/>
      <protection/>
    </xf>
    <xf numFmtId="0" fontId="3" fillId="36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4" borderId="12" xfId="0" applyFont="1" applyFill="1" applyBorder="1" applyAlignment="1" applyProtection="1">
      <alignment vertical="center"/>
      <protection locked="0"/>
    </xf>
    <xf numFmtId="3" fontId="3" fillId="34" borderId="12" xfId="0" applyNumberFormat="1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/>
    </xf>
    <xf numFmtId="3" fontId="3" fillId="33" borderId="0" xfId="0" applyNumberFormat="1" applyFont="1" applyFill="1" applyAlignment="1" applyProtection="1">
      <alignment vertical="center"/>
      <protection/>
    </xf>
    <xf numFmtId="164" fontId="3" fillId="33" borderId="0" xfId="0" applyNumberFormat="1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3" fontId="3" fillId="33" borderId="11" xfId="0" applyNumberFormat="1" applyFont="1" applyFill="1" applyBorder="1" applyAlignment="1" applyProtection="1">
      <alignment vertical="center"/>
      <protection/>
    </xf>
    <xf numFmtId="3" fontId="3" fillId="37" borderId="12" xfId="0" applyNumberFormat="1" applyFont="1" applyFill="1" applyBorder="1" applyAlignment="1" applyProtection="1">
      <alignment vertical="center"/>
      <protection/>
    </xf>
    <xf numFmtId="37" fontId="3" fillId="33" borderId="0" xfId="0" applyNumberFormat="1" applyFont="1" applyFill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3" fontId="3" fillId="33" borderId="12" xfId="0" applyNumberFormat="1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 locked="0"/>
    </xf>
    <xf numFmtId="164" fontId="3" fillId="34" borderId="12" xfId="0" applyNumberFormat="1" applyFont="1" applyFill="1" applyBorder="1" applyAlignment="1" applyProtection="1">
      <alignment vertical="center"/>
      <protection locked="0"/>
    </xf>
    <xf numFmtId="164" fontId="3" fillId="37" borderId="16" xfId="0" applyNumberFormat="1" applyFont="1" applyFill="1" applyBorder="1" applyAlignment="1" applyProtection="1">
      <alignment vertical="center"/>
      <protection/>
    </xf>
    <xf numFmtId="37" fontId="3" fillId="35" borderId="0" xfId="0" applyNumberFormat="1" applyFont="1" applyFill="1" applyAlignment="1" applyProtection="1">
      <alignment horizontal="left" vertical="center"/>
      <protection/>
    </xf>
    <xf numFmtId="3" fontId="3" fillId="34" borderId="10" xfId="0" applyNumberFormat="1" applyFont="1" applyFill="1" applyBorder="1" applyAlignment="1" applyProtection="1">
      <alignment vertical="center"/>
      <protection locked="0"/>
    </xf>
    <xf numFmtId="3" fontId="3" fillId="34" borderId="11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 locked="0"/>
    </xf>
    <xf numFmtId="3" fontId="3" fillId="34" borderId="12" xfId="0" applyNumberFormat="1" applyFont="1" applyFill="1" applyBorder="1" applyAlignment="1" applyProtection="1">
      <alignment vertical="center"/>
      <protection locked="0"/>
    </xf>
    <xf numFmtId="0" fontId="3" fillId="35" borderId="11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" fillId="38" borderId="0" xfId="0" applyFont="1" applyFill="1" applyAlignment="1" applyProtection="1">
      <alignment horizontal="left" vertical="center"/>
      <protection/>
    </xf>
    <xf numFmtId="0" fontId="3" fillId="38" borderId="0" xfId="0" applyFont="1" applyFill="1" applyAlignment="1" applyProtection="1">
      <alignment vertical="center"/>
      <protection/>
    </xf>
    <xf numFmtId="37" fontId="3" fillId="33" borderId="10" xfId="0" applyNumberFormat="1" applyFont="1" applyFill="1" applyBorder="1" applyAlignment="1" applyProtection="1">
      <alignment horizontal="left" vertical="center"/>
      <protection/>
    </xf>
    <xf numFmtId="37" fontId="3" fillId="33" borderId="11" xfId="0" applyNumberFormat="1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37" fontId="3" fillId="34" borderId="11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/>
    </xf>
    <xf numFmtId="37" fontId="3" fillId="33" borderId="0" xfId="0" applyNumberFormat="1" applyFont="1" applyFill="1" applyBorder="1" applyAlignment="1" applyProtection="1">
      <alignment vertical="center"/>
      <protection locked="0"/>
    </xf>
    <xf numFmtId="37" fontId="4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/>
    </xf>
    <xf numFmtId="172" fontId="3" fillId="34" borderId="10" xfId="0" applyNumberFormat="1" applyFont="1" applyFill="1" applyBorder="1" applyAlignment="1" applyProtection="1">
      <alignment vertical="center"/>
      <protection locked="0"/>
    </xf>
    <xf numFmtId="172" fontId="3" fillId="34" borderId="11" xfId="0" applyNumberFormat="1" applyFont="1" applyFill="1" applyBorder="1" applyAlignment="1" applyProtection="1">
      <alignment vertical="center"/>
      <protection locked="0"/>
    </xf>
    <xf numFmtId="172" fontId="3" fillId="34" borderId="18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172" fontId="3" fillId="37" borderId="12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7" fontId="4" fillId="35" borderId="0" xfId="0" applyNumberFormat="1" applyFont="1" applyFill="1" applyAlignment="1" applyProtection="1">
      <alignment horizontal="left" vertical="center"/>
      <protection/>
    </xf>
    <xf numFmtId="3" fontId="3" fillId="35" borderId="0" xfId="0" applyNumberFormat="1" applyFont="1" applyFill="1" applyAlignment="1" applyProtection="1">
      <alignment vertical="center"/>
      <protection/>
    </xf>
    <xf numFmtId="3" fontId="3" fillId="33" borderId="15" xfId="0" applyNumberFormat="1" applyFont="1" applyFill="1" applyBorder="1" applyAlignment="1" applyProtection="1">
      <alignment vertical="center"/>
      <protection/>
    </xf>
    <xf numFmtId="3" fontId="3" fillId="33" borderId="17" xfId="0" applyNumberFormat="1" applyFont="1" applyFill="1" applyBorder="1" applyAlignment="1" applyProtection="1">
      <alignment vertical="center"/>
      <protection/>
    </xf>
    <xf numFmtId="37" fontId="4" fillId="33" borderId="0" xfId="0" applyNumberFormat="1" applyFont="1" applyFill="1" applyAlignment="1" applyProtection="1">
      <alignment horizontal="left" vertical="center"/>
      <protection/>
    </xf>
    <xf numFmtId="37" fontId="3" fillId="33" borderId="0" xfId="0" applyNumberFormat="1" applyFont="1" applyFill="1" applyBorder="1" applyAlignment="1" applyProtection="1">
      <alignment horizontal="left" vertical="center"/>
      <protection/>
    </xf>
    <xf numFmtId="172" fontId="3" fillId="34" borderId="12" xfId="0" applyNumberFormat="1" applyFont="1" applyFill="1" applyBorder="1" applyAlignment="1" applyProtection="1">
      <alignment vertical="center"/>
      <protection locked="0"/>
    </xf>
    <xf numFmtId="37" fontId="3" fillId="39" borderId="0" xfId="0" applyNumberFormat="1" applyFont="1" applyFill="1" applyBorder="1" applyAlignment="1" applyProtection="1">
      <alignment horizontal="left" vertical="center"/>
      <protection/>
    </xf>
    <xf numFmtId="0" fontId="3" fillId="39" borderId="0" xfId="0" applyFont="1" applyFill="1" applyBorder="1" applyAlignment="1" applyProtection="1">
      <alignment vertical="center"/>
      <protection/>
    </xf>
    <xf numFmtId="171" fontId="3" fillId="39" borderId="0" xfId="0" applyNumberFormat="1" applyFont="1" applyFill="1" applyBorder="1" applyAlignment="1" applyProtection="1">
      <alignment vertical="center"/>
      <protection locked="0"/>
    </xf>
    <xf numFmtId="0" fontId="3" fillId="38" borderId="13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37" fontId="3" fillId="33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3" borderId="0" xfId="0" applyFont="1" applyFill="1" applyAlignment="1" applyProtection="1">
      <alignment horizontal="center" vertical="center"/>
      <protection/>
    </xf>
    <xf numFmtId="37" fontId="3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fill" vertical="center"/>
      <protection/>
    </xf>
    <xf numFmtId="0" fontId="3" fillId="33" borderId="0" xfId="0" applyFont="1" applyFill="1" applyBorder="1" applyAlignment="1" applyProtection="1">
      <alignment horizontal="fill"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fill" vertical="center"/>
      <protection/>
    </xf>
    <xf numFmtId="0" fontId="3" fillId="33" borderId="14" xfId="0" applyFont="1" applyFill="1" applyBorder="1" applyAlignment="1" applyProtection="1">
      <alignment horizontal="fill" vertical="center"/>
      <protection/>
    </xf>
    <xf numFmtId="0" fontId="3" fillId="33" borderId="15" xfId="0" applyFont="1" applyFill="1" applyBorder="1" applyAlignment="1" applyProtection="1">
      <alignment horizontal="fill" vertical="center" wrapText="1"/>
      <protection/>
    </xf>
    <xf numFmtId="0" fontId="3" fillId="33" borderId="15" xfId="0" applyFont="1" applyFill="1" applyBorder="1" applyAlignment="1" applyProtection="1">
      <alignment horizontal="fill" vertical="center"/>
      <protection/>
    </xf>
    <xf numFmtId="0" fontId="3" fillId="33" borderId="21" xfId="0" applyFont="1" applyFill="1" applyBorder="1" applyAlignment="1" applyProtection="1">
      <alignment horizontal="fill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fill" vertical="center"/>
      <protection/>
    </xf>
    <xf numFmtId="37" fontId="3" fillId="33" borderId="21" xfId="0" applyNumberFormat="1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horizontal="left" vertical="center"/>
      <protection/>
    </xf>
    <xf numFmtId="3" fontId="3" fillId="33" borderId="12" xfId="0" applyNumberFormat="1" applyFont="1" applyFill="1" applyBorder="1" applyAlignment="1" applyProtection="1">
      <alignment horizontal="center" vertical="center"/>
      <protection/>
    </xf>
    <xf numFmtId="3" fontId="3" fillId="33" borderId="14" xfId="0" applyNumberFormat="1" applyFont="1" applyFill="1" applyBorder="1" applyAlignment="1" applyProtection="1">
      <alignment vertical="center"/>
      <protection/>
    </xf>
    <xf numFmtId="164" fontId="3" fillId="33" borderId="12" xfId="0" applyNumberFormat="1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37" fontId="3" fillId="33" borderId="12" xfId="0" applyNumberFormat="1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164" fontId="3" fillId="33" borderId="13" xfId="0" applyNumberFormat="1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fill" vertical="center"/>
      <protection/>
    </xf>
    <xf numFmtId="3" fontId="3" fillId="37" borderId="16" xfId="0" applyNumberFormat="1" applyFont="1" applyFill="1" applyBorder="1" applyAlignment="1" applyProtection="1">
      <alignment vertical="center"/>
      <protection/>
    </xf>
    <xf numFmtId="37" fontId="3" fillId="37" borderId="16" xfId="0" applyNumberFormat="1" applyFont="1" applyFill="1" applyBorder="1" applyAlignment="1" applyProtection="1">
      <alignment vertical="center"/>
      <protection/>
    </xf>
    <xf numFmtId="165" fontId="3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" fillId="40" borderId="12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vertical="center"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169" fontId="3" fillId="33" borderId="0" xfId="42" applyNumberFormat="1" applyFont="1" applyFill="1" applyBorder="1" applyAlignment="1" applyProtection="1">
      <alignment vertical="center"/>
      <protection locked="0"/>
    </xf>
    <xf numFmtId="169" fontId="3" fillId="34" borderId="12" xfId="42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fill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 quotePrefix="1">
      <alignment vertical="center"/>
      <protection/>
    </xf>
    <xf numFmtId="3" fontId="3" fillId="33" borderId="0" xfId="0" applyNumberFormat="1" applyFont="1" applyFill="1" applyAlignment="1" applyProtection="1" quotePrefix="1">
      <alignment vertical="center"/>
      <protection/>
    </xf>
    <xf numFmtId="3" fontId="3" fillId="37" borderId="11" xfId="0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3" fontId="3" fillId="33" borderId="18" xfId="0" applyNumberFormat="1" applyFont="1" applyFill="1" applyBorder="1" applyAlignment="1" applyProtection="1">
      <alignment vertical="center"/>
      <protection/>
    </xf>
    <xf numFmtId="168" fontId="3" fillId="33" borderId="1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 quotePrefix="1">
      <alignment vertical="center"/>
      <protection/>
    </xf>
    <xf numFmtId="3" fontId="3" fillId="33" borderId="23" xfId="0" applyNumberFormat="1" applyFont="1" applyFill="1" applyBorder="1" applyAlignment="1" applyProtection="1">
      <alignment vertical="center"/>
      <protection/>
    </xf>
    <xf numFmtId="0" fontId="3" fillId="33" borderId="10" xfId="42" applyNumberFormat="1" applyFont="1" applyFill="1" applyBorder="1" applyAlignment="1" applyProtection="1">
      <alignment vertical="center"/>
      <protection/>
    </xf>
    <xf numFmtId="37" fontId="3" fillId="33" borderId="0" xfId="0" applyNumberFormat="1" applyFont="1" applyFill="1" applyAlignment="1" applyProtection="1">
      <alignment horizontal="right" vertical="center"/>
      <protection/>
    </xf>
    <xf numFmtId="37" fontId="3" fillId="33" borderId="0" xfId="0" applyNumberFormat="1" applyFont="1" applyFill="1" applyAlignment="1" applyProtection="1">
      <alignment vertical="center"/>
      <protection/>
    </xf>
    <xf numFmtId="37" fontId="4" fillId="33" borderId="0" xfId="0" applyNumberFormat="1" applyFont="1" applyFill="1" applyBorder="1" applyAlignment="1" applyProtection="1">
      <alignment horizontal="center" vertical="center"/>
      <protection/>
    </xf>
    <xf numFmtId="37" fontId="3" fillId="33" borderId="10" xfId="0" applyNumberFormat="1" applyFont="1" applyFill="1" applyBorder="1" applyAlignment="1" applyProtection="1">
      <alignment vertical="center"/>
      <protection/>
    </xf>
    <xf numFmtId="166" fontId="3" fillId="37" borderId="10" xfId="0" applyNumberFormat="1" applyFont="1" applyFill="1" applyBorder="1" applyAlignment="1" applyProtection="1">
      <alignment vertical="center"/>
      <protection/>
    </xf>
    <xf numFmtId="166" fontId="3" fillId="33" borderId="0" xfId="0" applyNumberFormat="1" applyFont="1" applyFill="1" applyBorder="1" applyAlignment="1" applyProtection="1">
      <alignment vertical="center"/>
      <protection/>
    </xf>
    <xf numFmtId="167" fontId="3" fillId="37" borderId="10" xfId="0" applyNumberFormat="1" applyFont="1" applyFill="1" applyBorder="1" applyAlignment="1" applyProtection="1">
      <alignment vertical="center"/>
      <protection/>
    </xf>
    <xf numFmtId="167" fontId="3" fillId="33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37" fontId="3" fillId="34" borderId="12" xfId="0" applyNumberFormat="1" applyFont="1" applyFill="1" applyBorder="1" applyAlignment="1" applyProtection="1">
      <alignment vertical="center"/>
      <protection locked="0"/>
    </xf>
    <xf numFmtId="37" fontId="3" fillId="37" borderId="12" xfId="0" applyNumberFormat="1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165" fontId="3" fillId="33" borderId="0" xfId="0" applyNumberFormat="1" applyFont="1" applyFill="1" applyAlignment="1" applyProtection="1">
      <alignment vertical="center"/>
      <protection/>
    </xf>
    <xf numFmtId="165" fontId="3" fillId="33" borderId="0" xfId="0" applyNumberFormat="1" applyFont="1" applyFill="1" applyAlignment="1" applyProtection="1" quotePrefix="1">
      <alignment horizontal="right" vertical="center"/>
      <protection/>
    </xf>
    <xf numFmtId="37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left" vertical="center"/>
      <protection/>
    </xf>
    <xf numFmtId="37" fontId="3" fillId="33" borderId="21" xfId="0" applyNumberFormat="1" applyFont="1" applyFill="1" applyBorder="1" applyAlignment="1" applyProtection="1">
      <alignment vertical="center"/>
      <protection/>
    </xf>
    <xf numFmtId="37" fontId="3" fillId="34" borderId="21" xfId="0" applyNumberFormat="1" applyFont="1" applyFill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horizontal="left" vertical="center"/>
      <protection locked="0"/>
    </xf>
    <xf numFmtId="37" fontId="3" fillId="33" borderId="21" xfId="0" applyNumberFormat="1" applyFont="1" applyFill="1" applyBorder="1" applyAlignment="1" applyProtection="1">
      <alignment horizontal="left" vertical="center"/>
      <protection locked="0"/>
    </xf>
    <xf numFmtId="37" fontId="4" fillId="33" borderId="21" xfId="0" applyNumberFormat="1" applyFont="1" applyFill="1" applyBorder="1" applyAlignment="1" applyProtection="1">
      <alignment horizontal="left" vertical="center"/>
      <protection/>
    </xf>
    <xf numFmtId="3" fontId="4" fillId="37" borderId="12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37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/>
      <protection locked="0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 applyProtection="1">
      <alignment horizontal="centerContinuous" vertical="center"/>
      <protection locked="0"/>
    </xf>
    <xf numFmtId="0" fontId="3" fillId="33" borderId="21" xfId="0" applyFont="1" applyFill="1" applyBorder="1" applyAlignment="1" applyProtection="1">
      <alignment horizontal="centerContinuous" vertical="center"/>
      <protection/>
    </xf>
    <xf numFmtId="0" fontId="3" fillId="33" borderId="17" xfId="0" applyFont="1" applyFill="1" applyBorder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horizontal="centerContinuous" vertical="center"/>
      <protection/>
    </xf>
    <xf numFmtId="0" fontId="3" fillId="33" borderId="11" xfId="0" applyFont="1" applyFill="1" applyBorder="1" applyAlignment="1" applyProtection="1">
      <alignment horizontal="centerContinuous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37" fontId="3" fillId="37" borderId="17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164" fontId="3" fillId="33" borderId="19" xfId="0" applyNumberFormat="1" applyFont="1" applyFill="1" applyBorder="1" applyAlignment="1" applyProtection="1">
      <alignment vertical="center"/>
      <protection/>
    </xf>
    <xf numFmtId="37" fontId="3" fillId="37" borderId="14" xfId="0" applyNumberFormat="1" applyFont="1" applyFill="1" applyBorder="1" applyAlignment="1" applyProtection="1">
      <alignment vertical="center"/>
      <protection/>
    </xf>
    <xf numFmtId="37" fontId="3" fillId="33" borderId="15" xfId="0" applyNumberFormat="1" applyFont="1" applyFill="1" applyBorder="1" applyAlignment="1" applyProtection="1">
      <alignment vertical="center"/>
      <protection/>
    </xf>
    <xf numFmtId="37" fontId="3" fillId="41" borderId="0" xfId="0" applyNumberFormat="1" applyFont="1" applyFill="1" applyAlignment="1" applyProtection="1">
      <alignment horizontal="centerContinuous" vertical="center"/>
      <protection/>
    </xf>
    <xf numFmtId="0" fontId="3" fillId="41" borderId="0" xfId="0" applyFont="1" applyFill="1" applyAlignment="1" applyProtection="1">
      <alignment horizontal="centerContinuous" vertical="center"/>
      <protection/>
    </xf>
    <xf numFmtId="3" fontId="3" fillId="42" borderId="10" xfId="0" applyNumberFormat="1" applyFont="1" applyFill="1" applyBorder="1" applyAlignment="1" applyProtection="1">
      <alignment vertical="center"/>
      <protection/>
    </xf>
    <xf numFmtId="3" fontId="3" fillId="34" borderId="21" xfId="0" applyNumberFormat="1" applyFont="1" applyFill="1" applyBorder="1" applyAlignment="1" applyProtection="1">
      <alignment vertical="center"/>
      <protection locked="0"/>
    </xf>
    <xf numFmtId="3" fontId="15" fillId="40" borderId="21" xfId="0" applyNumberFormat="1" applyFont="1" applyFill="1" applyBorder="1" applyAlignment="1" applyProtection="1">
      <alignment horizontal="center" vertical="center"/>
      <protection/>
    </xf>
    <xf numFmtId="3" fontId="4" fillId="37" borderId="21" xfId="0" applyNumberFormat="1" applyFont="1" applyFill="1" applyBorder="1" applyAlignment="1" applyProtection="1">
      <alignment vertical="center"/>
      <protection/>
    </xf>
    <xf numFmtId="3" fontId="3" fillId="37" borderId="21" xfId="0" applyNumberFormat="1" applyFont="1" applyFill="1" applyBorder="1" applyAlignment="1" applyProtection="1">
      <alignment vertical="center"/>
      <protection/>
    </xf>
    <xf numFmtId="1" fontId="3" fillId="33" borderId="24" xfId="0" applyNumberFormat="1" applyFont="1" applyFill="1" applyBorder="1" applyAlignment="1" applyProtection="1">
      <alignment horizontal="center" vertical="center"/>
      <protection/>
    </xf>
    <xf numFmtId="37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3" fontId="3" fillId="33" borderId="21" xfId="0" applyNumberFormat="1" applyFont="1" applyFill="1" applyBorder="1" applyAlignment="1" applyProtection="1">
      <alignment vertical="center"/>
      <protection/>
    </xf>
    <xf numFmtId="173" fontId="3" fillId="34" borderId="12" xfId="0" applyNumberFormat="1" applyFont="1" applyFill="1" applyBorder="1" applyAlignment="1" applyProtection="1">
      <alignment vertical="center"/>
      <protection locked="0"/>
    </xf>
    <xf numFmtId="3" fontId="3" fillId="37" borderId="13" xfId="0" applyNumberFormat="1" applyFont="1" applyFill="1" applyBorder="1" applyAlignment="1" applyProtection="1">
      <alignment vertical="center"/>
      <protection/>
    </xf>
    <xf numFmtId="37" fontId="3" fillId="37" borderId="13" xfId="0" applyNumberFormat="1" applyFont="1" applyFill="1" applyBorder="1" applyAlignment="1" applyProtection="1">
      <alignment vertical="center"/>
      <protection/>
    </xf>
    <xf numFmtId="0" fontId="3" fillId="41" borderId="0" xfId="0" applyFont="1" applyFill="1" applyBorder="1" applyAlignment="1">
      <alignment horizontal="center" vertical="center" shrinkToFit="1"/>
    </xf>
    <xf numFmtId="0" fontId="3" fillId="41" borderId="0" xfId="0" applyFont="1" applyFill="1" applyBorder="1" applyAlignment="1" applyProtection="1">
      <alignment horizontal="left" vertical="center"/>
      <protection locked="0"/>
    </xf>
    <xf numFmtId="0" fontId="15" fillId="40" borderId="21" xfId="0" applyFont="1" applyFill="1" applyBorder="1" applyAlignment="1" applyProtection="1">
      <alignment horizontal="center" vertical="center"/>
      <protection/>
    </xf>
    <xf numFmtId="170" fontId="3" fillId="37" borderId="13" xfId="0" applyNumberFormat="1" applyFont="1" applyFill="1" applyBorder="1" applyAlignment="1" applyProtection="1">
      <alignment vertical="center"/>
      <protection/>
    </xf>
    <xf numFmtId="0" fontId="6" fillId="38" borderId="13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horizontal="center" vertical="center" wrapText="1"/>
    </xf>
    <xf numFmtId="0" fontId="54" fillId="33" borderId="0" xfId="0" applyFont="1" applyFill="1" applyAlignment="1" applyProtection="1">
      <alignment horizontal="center" vertical="center"/>
      <protection/>
    </xf>
    <xf numFmtId="3" fontId="15" fillId="40" borderId="12" xfId="0" applyNumberFormat="1" applyFont="1" applyFill="1" applyBorder="1" applyAlignment="1" applyProtection="1">
      <alignment horizontal="center" vertical="center"/>
      <protection/>
    </xf>
    <xf numFmtId="37" fontId="3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43" borderId="10" xfId="0" applyFont="1" applyFill="1" applyBorder="1" applyAlignment="1" applyProtection="1">
      <alignment vertical="center"/>
      <protection/>
    </xf>
    <xf numFmtId="0" fontId="3" fillId="43" borderId="11" xfId="0" applyFont="1" applyFill="1" applyBorder="1" applyAlignment="1" applyProtection="1">
      <alignment horizontal="right" vertical="center"/>
      <protection/>
    </xf>
    <xf numFmtId="0" fontId="3" fillId="43" borderId="11" xfId="0" applyFont="1" applyFill="1" applyBorder="1" applyAlignment="1" applyProtection="1">
      <alignment vertical="center"/>
      <protection/>
    </xf>
    <xf numFmtId="0" fontId="3" fillId="43" borderId="11" xfId="0" applyFont="1" applyFill="1" applyBorder="1" applyAlignment="1" applyProtection="1">
      <alignment vertical="center"/>
      <protection locked="0"/>
    </xf>
    <xf numFmtId="0" fontId="3" fillId="43" borderId="11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>
      <alignment horizontal="center" vertical="center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174" fontId="21" fillId="44" borderId="15" xfId="0" applyNumberFormat="1" applyFont="1" applyFill="1" applyBorder="1" applyAlignment="1" applyProtection="1">
      <alignment horizontal="center" vertical="center"/>
      <protection/>
    </xf>
    <xf numFmtId="0" fontId="6" fillId="44" borderId="10" xfId="0" applyFont="1" applyFill="1" applyBorder="1" applyAlignment="1" applyProtection="1">
      <alignment vertical="center"/>
      <protection/>
    </xf>
    <xf numFmtId="0" fontId="3" fillId="44" borderId="10" xfId="0" applyFont="1" applyFill="1" applyBorder="1" applyAlignment="1" applyProtection="1">
      <alignment vertical="center"/>
      <protection/>
    </xf>
    <xf numFmtId="0" fontId="21" fillId="44" borderId="22" xfId="0" applyFont="1" applyFill="1" applyBorder="1" applyAlignment="1" applyProtection="1">
      <alignment vertical="center"/>
      <protection/>
    </xf>
    <xf numFmtId="0" fontId="21" fillId="41" borderId="15" xfId="0" applyFont="1" applyFill="1" applyBorder="1" applyAlignment="1" applyProtection="1">
      <alignment horizontal="center" vertical="center"/>
      <protection/>
    </xf>
    <xf numFmtId="174" fontId="6" fillId="43" borderId="12" xfId="0" applyNumberFormat="1" applyFont="1" applyFill="1" applyBorder="1" applyAlignment="1" applyProtection="1">
      <alignment horizontal="center" vertical="center"/>
      <protection locked="0"/>
    </xf>
    <xf numFmtId="0" fontId="6" fillId="41" borderId="25" xfId="0" applyFont="1" applyFill="1" applyBorder="1" applyAlignment="1" applyProtection="1">
      <alignment horizontal="left" vertical="center"/>
      <protection/>
    </xf>
    <xf numFmtId="174" fontId="6" fillId="41" borderId="20" xfId="0" applyNumberFormat="1" applyFont="1" applyFill="1" applyBorder="1" applyAlignment="1" applyProtection="1">
      <alignment horizontal="center" vertical="center"/>
      <protection/>
    </xf>
    <xf numFmtId="0" fontId="6" fillId="41" borderId="2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41" borderId="17" xfId="0" applyFill="1" applyBorder="1" applyAlignment="1" applyProtection="1">
      <alignment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6" fillId="41" borderId="11" xfId="0" applyFont="1" applyFill="1" applyBorder="1" applyAlignment="1" applyProtection="1">
      <alignment horizontal="left" vertical="center"/>
      <protection/>
    </xf>
    <xf numFmtId="173" fontId="21" fillId="41" borderId="21" xfId="0" applyNumberFormat="1" applyFont="1" applyFill="1" applyBorder="1" applyAlignment="1" applyProtection="1">
      <alignment horizontal="center" vertical="center"/>
      <protection/>
    </xf>
    <xf numFmtId="0" fontId="3" fillId="44" borderId="15" xfId="0" applyFont="1" applyFill="1" applyBorder="1" applyAlignment="1" applyProtection="1">
      <alignment vertical="center"/>
      <protection/>
    </xf>
    <xf numFmtId="0" fontId="21" fillId="44" borderId="10" xfId="0" applyFont="1" applyFill="1" applyBorder="1" applyAlignment="1" applyProtection="1">
      <alignment vertical="center"/>
      <protection/>
    </xf>
    <xf numFmtId="174" fontId="21" fillId="44" borderId="22" xfId="0" applyNumberFormat="1" applyFont="1" applyFill="1" applyBorder="1" applyAlignment="1" applyProtection="1">
      <alignment horizontal="center" vertical="center"/>
      <protection/>
    </xf>
    <xf numFmtId="174" fontId="6" fillId="41" borderId="25" xfId="0" applyNumberFormat="1" applyFont="1" applyFill="1" applyBorder="1" applyAlignment="1" applyProtection="1">
      <alignment vertical="center"/>
      <protection/>
    </xf>
    <xf numFmtId="174" fontId="6" fillId="41" borderId="22" xfId="0" applyNumberFormat="1" applyFont="1" applyFill="1" applyBorder="1" applyAlignment="1" applyProtection="1">
      <alignment horizontal="center" vertical="center"/>
      <protection/>
    </xf>
    <xf numFmtId="0" fontId="6" fillId="41" borderId="0" xfId="0" applyFont="1" applyFill="1" applyBorder="1" applyAlignment="1" applyProtection="1">
      <alignment vertical="center"/>
      <protection/>
    </xf>
    <xf numFmtId="0" fontId="3" fillId="41" borderId="20" xfId="0" applyFont="1" applyFill="1" applyBorder="1" applyAlignment="1" applyProtection="1">
      <alignment vertical="center"/>
      <protection/>
    </xf>
    <xf numFmtId="0" fontId="3" fillId="41" borderId="0" xfId="0" applyFont="1" applyFill="1" applyBorder="1" applyAlignment="1" applyProtection="1">
      <alignment vertical="center"/>
      <protection/>
    </xf>
    <xf numFmtId="3" fontId="3" fillId="37" borderId="26" xfId="0" applyNumberFormat="1" applyFont="1" applyFill="1" applyBorder="1" applyAlignment="1" applyProtection="1">
      <alignment vertical="center"/>
      <protection/>
    </xf>
    <xf numFmtId="164" fontId="3" fillId="37" borderId="14" xfId="0" applyNumberFormat="1" applyFont="1" applyFill="1" applyBorder="1" applyAlignment="1" applyProtection="1">
      <alignment vertical="center"/>
      <protection/>
    </xf>
    <xf numFmtId="165" fontId="3" fillId="34" borderId="0" xfId="0" applyNumberFormat="1" applyFont="1" applyFill="1" applyAlignment="1" applyProtection="1">
      <alignment horizontal="left" vertical="center"/>
      <protection locked="0"/>
    </xf>
    <xf numFmtId="0" fontId="6" fillId="41" borderId="0" xfId="0" applyFont="1" applyFill="1" applyBorder="1" applyAlignment="1" applyProtection="1">
      <alignment horizontal="left" vertical="center"/>
      <protection/>
    </xf>
    <xf numFmtId="174" fontId="6" fillId="41" borderId="25" xfId="0" applyNumberFormat="1" applyFont="1" applyFill="1" applyBorder="1" applyAlignment="1" applyProtection="1">
      <alignment horizontal="center" vertical="center"/>
      <protection/>
    </xf>
    <xf numFmtId="0" fontId="4" fillId="33" borderId="0" xfId="74" applyFont="1" applyFill="1" applyAlignment="1" applyProtection="1">
      <alignment vertical="center"/>
      <protection/>
    </xf>
    <xf numFmtId="0" fontId="3" fillId="33" borderId="0" xfId="86" applyFont="1" applyFill="1" applyAlignment="1" applyProtection="1">
      <alignment horizontal="right" vertical="center"/>
      <protection/>
    </xf>
    <xf numFmtId="173" fontId="3" fillId="33" borderId="0" xfId="70" applyNumberFormat="1" applyFont="1" applyFill="1" applyAlignment="1" applyProtection="1">
      <alignment horizontal="center" vertical="center"/>
      <protection/>
    </xf>
    <xf numFmtId="37" fontId="3" fillId="33" borderId="0" xfId="70" applyNumberFormat="1" applyFont="1" applyFill="1" applyAlignment="1" applyProtection="1">
      <alignment horizontal="right" vertical="center"/>
      <protection/>
    </xf>
    <xf numFmtId="0" fontId="55" fillId="33" borderId="0" xfId="70" applyFont="1" applyFill="1" applyAlignment="1" applyProtection="1">
      <alignment horizontal="center" vertical="center"/>
      <protection/>
    </xf>
    <xf numFmtId="0" fontId="3" fillId="41" borderId="25" xfId="0" applyFont="1" applyFill="1" applyBorder="1" applyAlignment="1" applyProtection="1">
      <alignment vertical="center"/>
      <protection/>
    </xf>
    <xf numFmtId="37" fontId="3" fillId="35" borderId="0" xfId="0" applyNumberFormat="1" applyFont="1" applyFill="1" applyAlignment="1" applyProtection="1">
      <alignment horizontal="center" vertical="center" wrapText="1"/>
      <protection/>
    </xf>
    <xf numFmtId="0" fontId="0" fillId="35" borderId="10" xfId="0" applyFill="1" applyBorder="1" applyAlignment="1">
      <alignment vertical="center" wrapText="1"/>
    </xf>
    <xf numFmtId="37" fontId="12" fillId="33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1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37" fontId="4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33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37" fontId="11" fillId="33" borderId="0" xfId="0" applyNumberFormat="1" applyFont="1" applyFill="1" applyBorder="1" applyAlignment="1" applyProtection="1">
      <alignment horizontal="center" vertical="center"/>
      <protection/>
    </xf>
    <xf numFmtId="0" fontId="4" fillId="38" borderId="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7" fillId="45" borderId="0" xfId="0" applyFont="1" applyFill="1" applyAlignment="1">
      <alignment horizontal="right" vertical="center" textRotation="180" wrapText="1"/>
    </xf>
    <xf numFmtId="0" fontId="4" fillId="33" borderId="0" xfId="0" applyFont="1" applyFill="1" applyAlignment="1" applyProtection="1">
      <alignment horizontal="center" vertical="center"/>
      <protection/>
    </xf>
    <xf numFmtId="37" fontId="3" fillId="33" borderId="0" xfId="0" applyNumberFormat="1" applyFont="1" applyFill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6" fillId="38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Alignment="1" applyProtection="1">
      <alignment horizontal="center" vertical="center"/>
      <protection/>
    </xf>
    <xf numFmtId="37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37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0" xfId="58" applyNumberFormat="1" applyFont="1" applyFill="1" applyBorder="1" applyAlignment="1" applyProtection="1">
      <alignment horizontal="right" vertical="center"/>
      <protection/>
    </xf>
    <xf numFmtId="0" fontId="3" fillId="0" borderId="0" xfId="58" applyFont="1" applyAlignment="1" applyProtection="1">
      <alignment horizontal="right" vertical="center"/>
      <protection/>
    </xf>
    <xf numFmtId="3" fontId="3" fillId="33" borderId="18" xfId="86" applyNumberFormat="1" applyFont="1" applyFill="1" applyBorder="1" applyAlignment="1" applyProtection="1">
      <alignment horizontal="right" vertical="center"/>
      <protection/>
    </xf>
    <xf numFmtId="0" fontId="0" fillId="0" borderId="27" xfId="86" applyBorder="1" applyAlignment="1">
      <alignment horizontal="right" vertical="center"/>
      <protection/>
    </xf>
    <xf numFmtId="0" fontId="3" fillId="33" borderId="0" xfId="86" applyFont="1" applyFill="1" applyAlignment="1" applyProtection="1">
      <alignment horizontal="right" vertical="center"/>
      <protection/>
    </xf>
    <xf numFmtId="0" fontId="3" fillId="0" borderId="20" xfId="86" applyFont="1" applyBorder="1" applyAlignment="1">
      <alignment horizontal="right" vertical="center"/>
      <protection/>
    </xf>
    <xf numFmtId="0" fontId="19" fillId="41" borderId="24" xfId="0" applyFont="1" applyFill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vertical="center"/>
      <protection/>
    </xf>
    <xf numFmtId="0" fontId="19" fillId="41" borderId="18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" fillId="33" borderId="13" xfId="0" applyFont="1" applyFill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 shrinkToFit="1"/>
    </xf>
    <xf numFmtId="0" fontId="5" fillId="33" borderId="0" xfId="0" applyFont="1" applyFill="1" applyAlignment="1" applyProtection="1">
      <alignment horizontal="center" vertical="center"/>
      <protection/>
    </xf>
    <xf numFmtId="37" fontId="3" fillId="41" borderId="0" xfId="0" applyNumberFormat="1" applyFont="1" applyFill="1" applyAlignment="1" applyProtection="1">
      <alignment horizontal="center" vertical="center"/>
      <protection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6" xfId="44"/>
    <cellStyle name="Comma 16 2" xfId="45"/>
    <cellStyle name="Comma 16 3" xfId="46"/>
    <cellStyle name="Comma 3 2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 2" xfId="59"/>
    <cellStyle name="Hyperlink 3 2" xfId="60"/>
    <cellStyle name="Hyperlink 3 3" xfId="61"/>
    <cellStyle name="Hyperlink 3 4" xfId="62"/>
    <cellStyle name="Hyperlink 4 2" xfId="63"/>
    <cellStyle name="Hyperlink 7" xfId="64"/>
    <cellStyle name="Hyperlink 7 2" xfId="65"/>
    <cellStyle name="Input" xfId="66"/>
    <cellStyle name="Linked Cell" xfId="67"/>
    <cellStyle name="Neutral" xfId="68"/>
    <cellStyle name="Normal 10" xfId="69"/>
    <cellStyle name="Normal 10 2" xfId="70"/>
    <cellStyle name="Normal 10 2 2" xfId="71"/>
    <cellStyle name="Normal 10 3" xfId="72"/>
    <cellStyle name="Normal 10 4" xfId="73"/>
    <cellStyle name="Normal 10 5" xfId="74"/>
    <cellStyle name="Normal 10 6" xfId="75"/>
    <cellStyle name="Normal 11" xfId="76"/>
    <cellStyle name="Normal 11 2" xfId="77"/>
    <cellStyle name="Normal 11 2 2" xfId="78"/>
    <cellStyle name="Normal 11 3" xfId="79"/>
    <cellStyle name="Normal 11 4" xfId="80"/>
    <cellStyle name="Normal 11 5" xfId="81"/>
    <cellStyle name="Normal 12" xfId="82"/>
    <cellStyle name="Normal 12 10" xfId="83"/>
    <cellStyle name="Normal 12 11" xfId="84"/>
    <cellStyle name="Normal 12 12" xfId="85"/>
    <cellStyle name="Normal 12 2" xfId="86"/>
    <cellStyle name="Normal 12 2 2" xfId="87"/>
    <cellStyle name="Normal 12 3" xfId="88"/>
    <cellStyle name="Normal 12 4" xfId="89"/>
    <cellStyle name="Normal 12 5" xfId="90"/>
    <cellStyle name="Normal 12 6" xfId="91"/>
    <cellStyle name="Normal 12 7" xfId="92"/>
    <cellStyle name="Normal 12 8" xfId="93"/>
    <cellStyle name="Normal 12 9" xfId="94"/>
    <cellStyle name="Normal 13" xfId="95"/>
    <cellStyle name="Normal 13 10" xfId="96"/>
    <cellStyle name="Normal 13 11" xfId="97"/>
    <cellStyle name="Normal 13 12" xfId="98"/>
    <cellStyle name="Normal 13 2" xfId="99"/>
    <cellStyle name="Normal 13 2 2" xfId="100"/>
    <cellStyle name="Normal 13 3" xfId="101"/>
    <cellStyle name="Normal 13 4" xfId="102"/>
    <cellStyle name="Normal 13 5" xfId="103"/>
    <cellStyle name="Normal 13 6" xfId="104"/>
    <cellStyle name="Normal 13 7" xfId="105"/>
    <cellStyle name="Normal 13 8" xfId="106"/>
    <cellStyle name="Normal 13 9" xfId="107"/>
    <cellStyle name="Normal 14" xfId="108"/>
    <cellStyle name="Normal 14 2" xfId="109"/>
    <cellStyle name="Normal 14 3" xfId="110"/>
    <cellStyle name="Normal 14 4" xfId="111"/>
    <cellStyle name="Normal 14 5" xfId="112"/>
    <cellStyle name="Normal 14 6" xfId="113"/>
    <cellStyle name="Normal 15" xfId="114"/>
    <cellStyle name="Normal 15 2" xfId="115"/>
    <cellStyle name="Normal 15 3" xfId="116"/>
    <cellStyle name="Normal 15 4" xfId="117"/>
    <cellStyle name="Normal 16" xfId="118"/>
    <cellStyle name="Normal 16 2" xfId="119"/>
    <cellStyle name="Normal 16 3" xfId="120"/>
    <cellStyle name="Normal 16 4" xfId="121"/>
    <cellStyle name="Normal 17" xfId="122"/>
    <cellStyle name="Normal 17 2" xfId="123"/>
    <cellStyle name="Normal 17 3" xfId="124"/>
    <cellStyle name="Normal 17 4" xfId="125"/>
    <cellStyle name="Normal 18" xfId="126"/>
    <cellStyle name="Normal 18 2" xfId="127"/>
    <cellStyle name="Normal 18 2 2" xfId="128"/>
    <cellStyle name="Normal 18 2 3" xfId="129"/>
    <cellStyle name="Normal 18 3" xfId="130"/>
    <cellStyle name="Normal 18 4" xfId="131"/>
    <cellStyle name="Normal 18 5" xfId="132"/>
    <cellStyle name="Normal 18 6" xfId="133"/>
    <cellStyle name="Normal 18 7" xfId="134"/>
    <cellStyle name="Normal 18 8" xfId="135"/>
    <cellStyle name="Normal 19" xfId="136"/>
    <cellStyle name="Normal 19 2" xfId="137"/>
    <cellStyle name="Normal 19 2 2" xfId="138"/>
    <cellStyle name="Normal 19 2 3" xfId="139"/>
    <cellStyle name="Normal 19 3" xfId="140"/>
    <cellStyle name="Normal 19 4" xfId="141"/>
    <cellStyle name="Normal 19 5" xfId="142"/>
    <cellStyle name="Normal 19 6" xfId="143"/>
    <cellStyle name="Normal 19 7" xfId="144"/>
    <cellStyle name="Normal 2 10" xfId="145"/>
    <cellStyle name="Normal 2 10 10" xfId="146"/>
    <cellStyle name="Normal 2 10 11" xfId="147"/>
    <cellStyle name="Normal 2 10 12" xfId="148"/>
    <cellStyle name="Normal 2 10 2" xfId="149"/>
    <cellStyle name="Normal 2 10 2 2" xfId="150"/>
    <cellStyle name="Normal 2 10 3" xfId="151"/>
    <cellStyle name="Normal 2 10 3 2" xfId="152"/>
    <cellStyle name="Normal 2 10 4" xfId="153"/>
    <cellStyle name="Normal 2 10 4 2" xfId="154"/>
    <cellStyle name="Normal 2 10 5" xfId="155"/>
    <cellStyle name="Normal 2 10 5 2" xfId="156"/>
    <cellStyle name="Normal 2 10 6" xfId="157"/>
    <cellStyle name="Normal 2 10 6 2" xfId="158"/>
    <cellStyle name="Normal 2 10 7" xfId="159"/>
    <cellStyle name="Normal 2 10 7 2" xfId="160"/>
    <cellStyle name="Normal 2 10 8" xfId="161"/>
    <cellStyle name="Normal 2 10 8 2" xfId="162"/>
    <cellStyle name="Normal 2 10 9" xfId="163"/>
    <cellStyle name="Normal 2 11" xfId="164"/>
    <cellStyle name="Normal 2 11 10" xfId="165"/>
    <cellStyle name="Normal 2 11 2" xfId="166"/>
    <cellStyle name="Normal 2 11 2 2" xfId="167"/>
    <cellStyle name="Normal 2 11 3" xfId="168"/>
    <cellStyle name="Normal 2 11 3 2" xfId="169"/>
    <cellStyle name="Normal 2 11 4" xfId="170"/>
    <cellStyle name="Normal 2 11 4 2" xfId="171"/>
    <cellStyle name="Normal 2 11 5" xfId="172"/>
    <cellStyle name="Normal 2 11 5 2" xfId="173"/>
    <cellStyle name="Normal 2 11 6" xfId="174"/>
    <cellStyle name="Normal 2 11 6 2" xfId="175"/>
    <cellStyle name="Normal 2 11 7" xfId="176"/>
    <cellStyle name="Normal 2 11 7 2" xfId="177"/>
    <cellStyle name="Normal 2 11 8" xfId="178"/>
    <cellStyle name="Normal 2 11 8 2" xfId="179"/>
    <cellStyle name="Normal 2 11 9" xfId="180"/>
    <cellStyle name="Normal 2 12" xfId="181"/>
    <cellStyle name="Normal 2 13" xfId="182"/>
    <cellStyle name="Normal 2 14" xfId="183"/>
    <cellStyle name="Normal 2 15" xfId="184"/>
    <cellStyle name="Normal 2 16" xfId="185"/>
    <cellStyle name="Normal 2 2" xfId="186"/>
    <cellStyle name="Normal 2 2 10" xfId="187"/>
    <cellStyle name="Normal 2 2 10 2" xfId="188"/>
    <cellStyle name="Normal 2 2 11" xfId="189"/>
    <cellStyle name="Normal 2 2 11 2" xfId="190"/>
    <cellStyle name="Normal 2 2 12" xfId="191"/>
    <cellStyle name="Normal 2 2 12 2" xfId="192"/>
    <cellStyle name="Normal 2 2 12 2 2" xfId="193"/>
    <cellStyle name="Normal 2 2 12 3" xfId="194"/>
    <cellStyle name="Normal 2 2 13" xfId="195"/>
    <cellStyle name="Normal 2 2 13 2" xfId="196"/>
    <cellStyle name="Normal 2 2 13 2 2" xfId="197"/>
    <cellStyle name="Normal 2 2 13 3" xfId="198"/>
    <cellStyle name="Normal 2 2 14" xfId="199"/>
    <cellStyle name="Normal 2 2 14 2" xfId="200"/>
    <cellStyle name="Normal 2 2 15" xfId="201"/>
    <cellStyle name="Normal 2 2 15 2" xfId="202"/>
    <cellStyle name="Normal 2 2 16" xfId="203"/>
    <cellStyle name="Normal 2 2 16 2" xfId="204"/>
    <cellStyle name="Normal 2 2 16 3" xfId="205"/>
    <cellStyle name="Normal 2 2 17" xfId="206"/>
    <cellStyle name="Normal 2 2 18" xfId="207"/>
    <cellStyle name="Normal 2 2 19" xfId="208"/>
    <cellStyle name="Normal 2 2 2" xfId="209"/>
    <cellStyle name="Normal 2 2 2 2" xfId="210"/>
    <cellStyle name="Normal 2 2 2 2 2" xfId="211"/>
    <cellStyle name="Normal 2 2 2 2 3" xfId="212"/>
    <cellStyle name="Normal 2 2 2 3" xfId="213"/>
    <cellStyle name="Normal 2 2 2 3 2" xfId="214"/>
    <cellStyle name="Normal 2 2 2 4" xfId="215"/>
    <cellStyle name="Normal 2 2 2 4 2" xfId="216"/>
    <cellStyle name="Normal 2 2 2 5" xfId="217"/>
    <cellStyle name="Normal 2 2 2 5 2" xfId="218"/>
    <cellStyle name="Normal 2 2 2 6" xfId="219"/>
    <cellStyle name="Normal 2 2 2 6 2" xfId="220"/>
    <cellStyle name="Normal 2 2 2 7" xfId="221"/>
    <cellStyle name="Normal 2 2 2 8" xfId="222"/>
    <cellStyle name="Normal 2 2 20" xfId="223"/>
    <cellStyle name="Normal 2 2 21" xfId="224"/>
    <cellStyle name="Normal 2 2 3" xfId="225"/>
    <cellStyle name="Normal 2 2 3 2" xfId="226"/>
    <cellStyle name="Normal 2 2 4" xfId="227"/>
    <cellStyle name="Normal 2 2 4 2" xfId="228"/>
    <cellStyle name="Normal 2 2 5" xfId="229"/>
    <cellStyle name="Normal 2 2 5 2" xfId="230"/>
    <cellStyle name="Normal 2 2 6" xfId="231"/>
    <cellStyle name="Normal 2 2 6 2" xfId="232"/>
    <cellStyle name="Normal 2 2 7" xfId="233"/>
    <cellStyle name="Normal 2 2 7 2" xfId="234"/>
    <cellStyle name="Normal 2 2 8" xfId="235"/>
    <cellStyle name="Normal 2 2 8 2" xfId="236"/>
    <cellStyle name="Normal 2 2 9" xfId="237"/>
    <cellStyle name="Normal 2 2 9 2" xfId="238"/>
    <cellStyle name="Normal 2 3" xfId="239"/>
    <cellStyle name="Normal 2 3 10" xfId="240"/>
    <cellStyle name="Normal 2 3 11" xfId="241"/>
    <cellStyle name="Normal 2 3 12" xfId="242"/>
    <cellStyle name="Normal 2 3 13" xfId="243"/>
    <cellStyle name="Normal 2 3 14" xfId="244"/>
    <cellStyle name="Normal 2 3 15" xfId="245"/>
    <cellStyle name="Normal 2 3 2" xfId="246"/>
    <cellStyle name="Normal 2 3 2 2" xfId="247"/>
    <cellStyle name="Normal 2 3 2 2 2" xfId="248"/>
    <cellStyle name="Normal 2 3 2 2 3" xfId="249"/>
    <cellStyle name="Normal 2 3 2 3" xfId="250"/>
    <cellStyle name="Normal 2 3 2 4" xfId="251"/>
    <cellStyle name="Normal 2 3 3" xfId="252"/>
    <cellStyle name="Normal 2 3 3 2" xfId="253"/>
    <cellStyle name="Normal 2 3 3 3" xfId="254"/>
    <cellStyle name="Normal 2 3 4" xfId="255"/>
    <cellStyle name="Normal 2 3 5" xfId="256"/>
    <cellStyle name="Normal 2 3 6" xfId="257"/>
    <cellStyle name="Normal 2 3 7" xfId="258"/>
    <cellStyle name="Normal 2 3 8" xfId="259"/>
    <cellStyle name="Normal 2 3 9" xfId="260"/>
    <cellStyle name="Normal 2 4" xfId="261"/>
    <cellStyle name="Normal 2 4 10" xfId="262"/>
    <cellStyle name="Normal 2 4 11" xfId="263"/>
    <cellStyle name="Normal 2 4 12" xfId="264"/>
    <cellStyle name="Normal 2 4 13" xfId="265"/>
    <cellStyle name="Normal 2 4 2" xfId="266"/>
    <cellStyle name="Normal 2 4 2 2" xfId="267"/>
    <cellStyle name="Normal 2 4 2 2 2" xfId="268"/>
    <cellStyle name="Normal 2 4 2 2 3" xfId="269"/>
    <cellStyle name="Normal 2 4 2 3" xfId="270"/>
    <cellStyle name="Normal 2 4 2 4" xfId="271"/>
    <cellStyle name="Normal 2 4 3" xfId="272"/>
    <cellStyle name="Normal 2 4 3 2" xfId="273"/>
    <cellStyle name="Normal 2 4 3 3" xfId="274"/>
    <cellStyle name="Normal 2 4 4" xfId="275"/>
    <cellStyle name="Normal 2 4 5" xfId="276"/>
    <cellStyle name="Normal 2 4 6" xfId="277"/>
    <cellStyle name="Normal 2 4 7" xfId="278"/>
    <cellStyle name="Normal 2 4 8" xfId="279"/>
    <cellStyle name="Normal 2 4 9" xfId="280"/>
    <cellStyle name="Normal 2 5" xfId="281"/>
    <cellStyle name="Normal 2 5 10" xfId="282"/>
    <cellStyle name="Normal 2 5 11" xfId="283"/>
    <cellStyle name="Normal 2 5 12" xfId="284"/>
    <cellStyle name="Normal 2 5 12 2" xfId="285"/>
    <cellStyle name="Normal 2 5 2" xfId="286"/>
    <cellStyle name="Normal 2 5 2 2" xfId="287"/>
    <cellStyle name="Normal 2 5 3" xfId="288"/>
    <cellStyle name="Normal 2 5 3 2" xfId="289"/>
    <cellStyle name="Normal 2 5 4" xfId="290"/>
    <cellStyle name="Normal 2 5 5" xfId="291"/>
    <cellStyle name="Normal 2 5 6" xfId="292"/>
    <cellStyle name="Normal 2 5 7" xfId="293"/>
    <cellStyle name="Normal 2 5 8" xfId="294"/>
    <cellStyle name="Normal 2 5 9" xfId="295"/>
    <cellStyle name="Normal 2 6" xfId="296"/>
    <cellStyle name="Normal 2 6 10" xfId="297"/>
    <cellStyle name="Normal 2 6 11" xfId="298"/>
    <cellStyle name="Normal 2 6 12" xfId="299"/>
    <cellStyle name="Normal 2 6 2" xfId="300"/>
    <cellStyle name="Normal 2 6 2 2" xfId="301"/>
    <cellStyle name="Normal 2 6 3" xfId="302"/>
    <cellStyle name="Normal 2 6 3 2" xfId="303"/>
    <cellStyle name="Normal 2 6 4" xfId="304"/>
    <cellStyle name="Normal 2 6 5" xfId="305"/>
    <cellStyle name="Normal 2 6 6" xfId="306"/>
    <cellStyle name="Normal 2 6 7" xfId="307"/>
    <cellStyle name="Normal 2 6 8" xfId="308"/>
    <cellStyle name="Normal 2 6 9" xfId="309"/>
    <cellStyle name="Normal 2 7" xfId="310"/>
    <cellStyle name="Normal 2 7 10" xfId="311"/>
    <cellStyle name="Normal 2 7 2" xfId="312"/>
    <cellStyle name="Normal 2 7 2 2" xfId="313"/>
    <cellStyle name="Normal 2 7 2 3" xfId="314"/>
    <cellStyle name="Normal 2 7 3" xfId="315"/>
    <cellStyle name="Normal 2 7 3 2" xfId="316"/>
    <cellStyle name="Normal 2 7 4" xfId="317"/>
    <cellStyle name="Normal 2 7 4 2" xfId="318"/>
    <cellStyle name="Normal 2 7 5" xfId="319"/>
    <cellStyle name="Normal 2 7 5 2" xfId="320"/>
    <cellStyle name="Normal 2 7 6" xfId="321"/>
    <cellStyle name="Normal 2 7 6 2" xfId="322"/>
    <cellStyle name="Normal 2 7 7" xfId="323"/>
    <cellStyle name="Normal 2 7 7 2" xfId="324"/>
    <cellStyle name="Normal 2 7 8" xfId="325"/>
    <cellStyle name="Normal 2 7 8 2" xfId="326"/>
    <cellStyle name="Normal 2 7 9" xfId="327"/>
    <cellStyle name="Normal 2 8" xfId="328"/>
    <cellStyle name="Normal 2 8 10" xfId="329"/>
    <cellStyle name="Normal 2 8 2" xfId="330"/>
    <cellStyle name="Normal 2 8 2 2" xfId="331"/>
    <cellStyle name="Normal 2 8 3" xfId="332"/>
    <cellStyle name="Normal 2 8 3 2" xfId="333"/>
    <cellStyle name="Normal 2 8 4" xfId="334"/>
    <cellStyle name="Normal 2 8 4 2" xfId="335"/>
    <cellStyle name="Normal 2 8 5" xfId="336"/>
    <cellStyle name="Normal 2 8 5 2" xfId="337"/>
    <cellStyle name="Normal 2 8 6" xfId="338"/>
    <cellStyle name="Normal 2 8 6 2" xfId="339"/>
    <cellStyle name="Normal 2 8 7" xfId="340"/>
    <cellStyle name="Normal 2 8 7 2" xfId="341"/>
    <cellStyle name="Normal 2 8 8" xfId="342"/>
    <cellStyle name="Normal 2 8 8 2" xfId="343"/>
    <cellStyle name="Normal 2 8 9" xfId="344"/>
    <cellStyle name="Normal 2 9" xfId="345"/>
    <cellStyle name="Normal 2 9 10" xfId="346"/>
    <cellStyle name="Normal 2 9 2" xfId="347"/>
    <cellStyle name="Normal 2 9 2 2" xfId="348"/>
    <cellStyle name="Normal 2 9 3" xfId="349"/>
    <cellStyle name="Normal 2 9 3 2" xfId="350"/>
    <cellStyle name="Normal 2 9 4" xfId="351"/>
    <cellStyle name="Normal 2 9 4 2" xfId="352"/>
    <cellStyle name="Normal 2 9 5" xfId="353"/>
    <cellStyle name="Normal 2 9 5 2" xfId="354"/>
    <cellStyle name="Normal 2 9 6" xfId="355"/>
    <cellStyle name="Normal 2 9 6 2" xfId="356"/>
    <cellStyle name="Normal 2 9 7" xfId="357"/>
    <cellStyle name="Normal 2 9 7 2" xfId="358"/>
    <cellStyle name="Normal 2 9 8" xfId="359"/>
    <cellStyle name="Normal 2 9 8 2" xfId="360"/>
    <cellStyle name="Normal 2 9 9" xfId="361"/>
    <cellStyle name="Normal 20" xfId="362"/>
    <cellStyle name="Normal 20 2" xfId="363"/>
    <cellStyle name="Normal 20 3" xfId="364"/>
    <cellStyle name="Normal 22" xfId="365"/>
    <cellStyle name="Normal 22 2" xfId="366"/>
    <cellStyle name="Normal 22 3" xfId="367"/>
    <cellStyle name="Normal 23" xfId="368"/>
    <cellStyle name="Normal 23 2" xfId="369"/>
    <cellStyle name="Normal 23 3" xfId="370"/>
    <cellStyle name="Normal 24" xfId="371"/>
    <cellStyle name="Normal 24 2" xfId="372"/>
    <cellStyle name="Normal 24 3" xfId="373"/>
    <cellStyle name="Normal 25" xfId="374"/>
    <cellStyle name="Normal 25 2" xfId="375"/>
    <cellStyle name="Normal 25 3" xfId="376"/>
    <cellStyle name="Normal 3 2" xfId="377"/>
    <cellStyle name="Normal 3 2 2" xfId="378"/>
    <cellStyle name="Normal 3 2 2 2" xfId="379"/>
    <cellStyle name="Normal 3 2 2 3" xfId="380"/>
    <cellStyle name="Normal 3 2 3" xfId="381"/>
    <cellStyle name="Normal 3 2 4" xfId="382"/>
    <cellStyle name="Normal 3 3" xfId="383"/>
    <cellStyle name="Normal 3 3 2" xfId="384"/>
    <cellStyle name="Normal 3 3 2 2" xfId="385"/>
    <cellStyle name="Normal 3 3 2 3" xfId="386"/>
    <cellStyle name="Normal 3 3 3" xfId="387"/>
    <cellStyle name="Normal 3 4" xfId="388"/>
    <cellStyle name="Normal 3 5" xfId="389"/>
    <cellStyle name="Normal 3 6" xfId="390"/>
    <cellStyle name="Normal 3 7" xfId="391"/>
    <cellStyle name="Normal 3 8" xfId="392"/>
    <cellStyle name="Normal 3 9" xfId="393"/>
    <cellStyle name="Normal 4 2" xfId="394"/>
    <cellStyle name="Normal 4 2 2" xfId="395"/>
    <cellStyle name="Normal 4 2 2 2" xfId="396"/>
    <cellStyle name="Normal 4 2 2 3" xfId="397"/>
    <cellStyle name="Normal 4 2 3" xfId="398"/>
    <cellStyle name="Normal 4 2 4" xfId="399"/>
    <cellStyle name="Normal 4 3" xfId="400"/>
    <cellStyle name="Normal 4 3 2" xfId="401"/>
    <cellStyle name="Normal 4 3 3" xfId="402"/>
    <cellStyle name="Normal 4 4" xfId="403"/>
    <cellStyle name="Normal 4 5" xfId="404"/>
    <cellStyle name="Normal 4 6" xfId="405"/>
    <cellStyle name="Normal 5 2" xfId="406"/>
    <cellStyle name="Normal 5 3" xfId="407"/>
    <cellStyle name="Normal 5 3 2" xfId="408"/>
    <cellStyle name="Normal 5 3 3" xfId="409"/>
    <cellStyle name="Normal 5 4" xfId="410"/>
    <cellStyle name="Normal 6" xfId="411"/>
    <cellStyle name="Normal 6 2" xfId="412"/>
    <cellStyle name="Normal 6 3" xfId="413"/>
    <cellStyle name="Normal 6 4" xfId="414"/>
    <cellStyle name="Normal 6 5" xfId="415"/>
    <cellStyle name="Normal 7" xfId="416"/>
    <cellStyle name="Normal 7 2" xfId="417"/>
    <cellStyle name="Normal 7 2 2" xfId="418"/>
    <cellStyle name="Normal 7 2 2 2" xfId="419"/>
    <cellStyle name="Normal 7 2 3" xfId="420"/>
    <cellStyle name="Normal 7 2 4" xfId="421"/>
    <cellStyle name="Normal 7 3" xfId="422"/>
    <cellStyle name="Normal 7 4" xfId="423"/>
    <cellStyle name="Normal 7 4 2" xfId="424"/>
    <cellStyle name="Normal 7 4 3" xfId="425"/>
    <cellStyle name="Normal 7 5" xfId="426"/>
    <cellStyle name="Normal 7 5 2" xfId="427"/>
    <cellStyle name="Normal 7 5 3" xfId="428"/>
    <cellStyle name="Normal 7 5 4" xfId="429"/>
    <cellStyle name="Normal 7 6" xfId="430"/>
    <cellStyle name="Normal 8" xfId="431"/>
    <cellStyle name="Normal 8 2" xfId="432"/>
    <cellStyle name="Normal 9" xfId="433"/>
    <cellStyle name="Normal 9 2" xfId="434"/>
    <cellStyle name="Normal 9 2 2" xfId="435"/>
    <cellStyle name="Normal 9 3" xfId="436"/>
    <cellStyle name="Normal 9 4" xfId="437"/>
    <cellStyle name="Normal 9 5" xfId="438"/>
    <cellStyle name="Note" xfId="439"/>
    <cellStyle name="Output" xfId="440"/>
    <cellStyle name="Percent" xfId="441"/>
    <cellStyle name="Title" xfId="442"/>
    <cellStyle name="Total" xfId="443"/>
    <cellStyle name="Warning Text" xfId="444"/>
  </cellStyles>
  <dxfs count="12"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523875</xdr:colOff>
      <xdr:row>58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05875" cy="1114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523875</xdr:colOff>
      <xdr:row>58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05875" cy="1114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35">
      <selection activeCell="E45" sqref="E45"/>
    </sheetView>
  </sheetViews>
  <sheetFormatPr defaultColWidth="8.796875" defaultRowHeight="15"/>
  <cols>
    <col min="1" max="1" width="15.796875" style="1" customWidth="1"/>
    <col min="2" max="2" width="20.796875" style="1" customWidth="1"/>
    <col min="3" max="3" width="9.796875" style="1" customWidth="1"/>
    <col min="4" max="4" width="15.69921875" style="1" customWidth="1"/>
    <col min="5" max="5" width="14.19921875" style="1" customWidth="1"/>
    <col min="6" max="16384" width="8.8984375" style="1" customWidth="1"/>
  </cols>
  <sheetData>
    <row r="1" spans="1:5" ht="15.75">
      <c r="A1" s="257" t="s">
        <v>0</v>
      </c>
      <c r="B1" s="258"/>
      <c r="C1" s="258"/>
      <c r="D1" s="258"/>
      <c r="E1" s="258"/>
    </row>
    <row r="2" spans="1:5" ht="15.75">
      <c r="A2" s="2"/>
      <c r="B2" s="3"/>
      <c r="C2" s="3"/>
      <c r="D2" s="3"/>
      <c r="E2" s="3"/>
    </row>
    <row r="3" spans="1:5" ht="15.75">
      <c r="A3" s="4" t="s">
        <v>92</v>
      </c>
      <c r="B3" s="3"/>
      <c r="C3" s="3"/>
      <c r="D3" s="5" t="s">
        <v>158</v>
      </c>
      <c r="E3" s="6"/>
    </row>
    <row r="4" spans="1:5" ht="15.75">
      <c r="A4" s="4" t="s">
        <v>133</v>
      </c>
      <c r="B4" s="3"/>
      <c r="C4" s="3"/>
      <c r="D4" s="7" t="s">
        <v>156</v>
      </c>
      <c r="E4" s="6"/>
    </row>
    <row r="5" spans="1:5" ht="15.75">
      <c r="A5" s="2"/>
      <c r="B5" s="3"/>
      <c r="C5" s="3"/>
      <c r="D5" s="8"/>
      <c r="E5" s="6"/>
    </row>
    <row r="6" spans="1:5" ht="15.75">
      <c r="A6" s="4" t="s">
        <v>97</v>
      </c>
      <c r="B6" s="3"/>
      <c r="C6" s="3"/>
      <c r="D6" s="9">
        <v>2012</v>
      </c>
      <c r="E6" s="6"/>
    </row>
    <row r="7" spans="1:5" ht="15.75">
      <c r="A7" s="3"/>
      <c r="B7" s="3"/>
      <c r="C7" s="3"/>
      <c r="D7" s="3"/>
      <c r="E7" s="3"/>
    </row>
    <row r="8" spans="1:5" ht="15.75">
      <c r="A8" s="259" t="s">
        <v>122</v>
      </c>
      <c r="B8" s="260"/>
      <c r="C8" s="260"/>
      <c r="D8" s="260"/>
      <c r="E8" s="260"/>
    </row>
    <row r="9" spans="1:5" ht="15.75">
      <c r="A9" s="10" t="s">
        <v>47</v>
      </c>
      <c r="B9" s="11"/>
      <c r="C9" s="11"/>
      <c r="D9" s="11"/>
      <c r="E9" s="11"/>
    </row>
    <row r="10" spans="1:5" ht="15.75">
      <c r="A10" s="261" t="s">
        <v>121</v>
      </c>
      <c r="B10" s="262"/>
      <c r="C10" s="262"/>
      <c r="D10" s="262"/>
      <c r="E10" s="262"/>
    </row>
    <row r="11" spans="1:5" ht="15.75">
      <c r="A11" s="12"/>
      <c r="B11" s="3"/>
      <c r="C11" s="3"/>
      <c r="D11" s="3"/>
      <c r="E11" s="3"/>
    </row>
    <row r="12" spans="1:5" ht="15.75">
      <c r="A12" s="255" t="s">
        <v>113</v>
      </c>
      <c r="B12" s="256"/>
      <c r="C12" s="256"/>
      <c r="D12" s="256"/>
      <c r="E12" s="256"/>
    </row>
    <row r="13" spans="1:5" ht="15.75">
      <c r="A13" s="12"/>
      <c r="B13" s="3"/>
      <c r="C13" s="3"/>
      <c r="D13" s="3"/>
      <c r="E13" s="3"/>
    </row>
    <row r="14" spans="1:5" ht="15.75">
      <c r="A14" s="13" t="s">
        <v>101</v>
      </c>
      <c r="B14" s="14"/>
      <c r="C14" s="3"/>
      <c r="D14" s="3"/>
      <c r="E14" s="3"/>
    </row>
    <row r="15" spans="1:5" ht="15.75">
      <c r="A15" s="15" t="str">
        <f>CONCATENATE("the ",D6-1," Budget, Certificate Page:")</f>
        <v>the 2011 Budget, Certificate Page:</v>
      </c>
      <c r="B15" s="16"/>
      <c r="C15" s="3"/>
      <c r="D15" s="3"/>
      <c r="E15" s="3"/>
    </row>
    <row r="16" spans="1:5" ht="15.75">
      <c r="A16" s="15" t="s">
        <v>140</v>
      </c>
      <c r="B16" s="16"/>
      <c r="C16" s="3"/>
      <c r="D16" s="3"/>
      <c r="E16" s="3"/>
    </row>
    <row r="17" spans="1:5" ht="15.75">
      <c r="A17" s="3"/>
      <c r="B17" s="3"/>
      <c r="C17" s="17"/>
      <c r="D17" s="18">
        <f>D6-1</f>
        <v>2011</v>
      </c>
      <c r="E17" s="263" t="str">
        <f>CONCATENATE("Amount of ",D6-2,"     Ad Valorem Tax")</f>
        <v>Amount of 2010     Ad Valorem Tax</v>
      </c>
    </row>
    <row r="18" spans="1:5" ht="15.75">
      <c r="A18" s="2" t="s">
        <v>1</v>
      </c>
      <c r="B18" s="3"/>
      <c r="C18" s="17" t="s">
        <v>2</v>
      </c>
      <c r="D18" s="19" t="s">
        <v>141</v>
      </c>
      <c r="E18" s="264"/>
    </row>
    <row r="19" spans="1:5" ht="15.75">
      <c r="A19" s="3"/>
      <c r="B19" s="20" t="s">
        <v>3</v>
      </c>
      <c r="C19" s="219"/>
      <c r="D19" s="22">
        <v>3473</v>
      </c>
      <c r="E19" s="22">
        <v>1718</v>
      </c>
    </row>
    <row r="20" spans="1:5" ht="15.75">
      <c r="A20" s="3"/>
      <c r="B20" s="20" t="s">
        <v>139</v>
      </c>
      <c r="C20" s="98" t="s">
        <v>103</v>
      </c>
      <c r="D20" s="22"/>
      <c r="E20" s="22"/>
    </row>
    <row r="21" spans="1:5" ht="15.75">
      <c r="A21" s="2" t="s">
        <v>4</v>
      </c>
      <c r="B21" s="3"/>
      <c r="C21" s="3"/>
      <c r="D21" s="24"/>
      <c r="E21" s="25"/>
    </row>
    <row r="22" spans="1:5" ht="15.75">
      <c r="A22" s="3"/>
      <c r="B22" s="21"/>
      <c r="C22" s="219"/>
      <c r="D22" s="22"/>
      <c r="E22" s="22"/>
    </row>
    <row r="23" spans="1:5" ht="15.75">
      <c r="A23" s="3"/>
      <c r="B23" s="21"/>
      <c r="C23" s="219"/>
      <c r="D23" s="22"/>
      <c r="E23" s="22"/>
    </row>
    <row r="24" spans="1:5" ht="15.75">
      <c r="A24" s="26" t="str">
        <f>CONCATENATE("Total Ad Valorem Tax for ",D6-1," Budgeted Year")</f>
        <v>Total Ad Valorem Tax for 2011 Budgeted Year</v>
      </c>
      <c r="B24" s="27"/>
      <c r="C24" s="27"/>
      <c r="D24" s="28"/>
      <c r="E24" s="29">
        <f>SUM(E19:E20,E22:E23)</f>
        <v>1718</v>
      </c>
    </row>
    <row r="25" spans="1:5" ht="15.75">
      <c r="A25" s="30" t="s">
        <v>5</v>
      </c>
      <c r="B25" s="3"/>
      <c r="C25" s="3"/>
      <c r="D25" s="3"/>
      <c r="E25" s="3"/>
    </row>
    <row r="26" spans="1:5" ht="15.75">
      <c r="A26" s="3"/>
      <c r="B26" s="21"/>
      <c r="C26" s="3"/>
      <c r="D26" s="22"/>
      <c r="E26" s="3"/>
    </row>
    <row r="27" spans="1:5" ht="15.75">
      <c r="A27" s="3"/>
      <c r="B27" s="21"/>
      <c r="C27" s="3"/>
      <c r="D27" s="22"/>
      <c r="E27" s="3"/>
    </row>
    <row r="28" spans="1:5" ht="15.75">
      <c r="A28" s="27" t="str">
        <f>CONCATENATE("Total Expenditures for ",D6-1," Budgeted Year")</f>
        <v>Total Expenditures for 2011 Budgeted Year</v>
      </c>
      <c r="B28" s="27"/>
      <c r="C28" s="31"/>
      <c r="D28" s="32">
        <f>SUM(D19:D20,D22:D23,D26:D27)</f>
        <v>3473</v>
      </c>
      <c r="E28" s="24"/>
    </row>
    <row r="29" spans="1:5" ht="15.75">
      <c r="A29" s="3" t="s">
        <v>135</v>
      </c>
      <c r="B29" s="3"/>
      <c r="C29" s="3"/>
      <c r="D29" s="3"/>
      <c r="E29" s="24"/>
    </row>
    <row r="30" spans="1:5" ht="15.75">
      <c r="A30" s="3">
        <v>1</v>
      </c>
      <c r="B30" s="33"/>
      <c r="C30" s="3"/>
      <c r="D30" s="3"/>
      <c r="E30" s="24"/>
    </row>
    <row r="31" spans="1:5" ht="15.75">
      <c r="A31" s="3">
        <v>2</v>
      </c>
      <c r="B31" s="33"/>
      <c r="C31" s="3"/>
      <c r="D31" s="3"/>
      <c r="E31" s="24"/>
    </row>
    <row r="32" spans="1:5" ht="15.75">
      <c r="A32" s="3">
        <v>3</v>
      </c>
      <c r="B32" s="33"/>
      <c r="C32" s="3"/>
      <c r="D32" s="3"/>
      <c r="E32" s="24"/>
    </row>
    <row r="33" spans="1:5" ht="15.75">
      <c r="A33" s="3">
        <v>4</v>
      </c>
      <c r="B33" s="33"/>
      <c r="C33" s="3"/>
      <c r="D33" s="3"/>
      <c r="E33" s="24"/>
    </row>
    <row r="34" spans="1:5" ht="15.75">
      <c r="A34" s="3">
        <v>5</v>
      </c>
      <c r="B34" s="33"/>
      <c r="C34" s="3"/>
      <c r="D34" s="3"/>
      <c r="E34" s="24"/>
    </row>
    <row r="35" spans="1:5" ht="15.75">
      <c r="A35" s="3"/>
      <c r="B35" s="3"/>
      <c r="C35" s="3"/>
      <c r="D35" s="3"/>
      <c r="E35" s="24"/>
    </row>
    <row r="36" spans="1:5" ht="15.75">
      <c r="A36" s="13" t="s">
        <v>101</v>
      </c>
      <c r="B36" s="14"/>
      <c r="C36" s="3"/>
      <c r="D36" s="253" t="str">
        <f>CONCATENATE("",D6-3," Tax Rate          (",D6-2," Column)")</f>
        <v>2009 Tax Rate          (2010 Column)</v>
      </c>
      <c r="E36" s="24"/>
    </row>
    <row r="37" spans="1:5" ht="15.75">
      <c r="A37" s="15" t="str">
        <f>CONCATENATE("the ",D6-1," Budget, Budget Summary Page:")</f>
        <v>the 2011 Budget, Budget Summary Page:</v>
      </c>
      <c r="B37" s="16"/>
      <c r="C37" s="3"/>
      <c r="D37" s="254"/>
      <c r="E37" s="24"/>
    </row>
    <row r="38" spans="1:5" ht="15.75">
      <c r="A38" s="3"/>
      <c r="B38" s="23" t="str">
        <f>B19</f>
        <v>General</v>
      </c>
      <c r="C38" s="3"/>
      <c r="D38" s="34">
        <v>2.065</v>
      </c>
      <c r="E38" s="24"/>
    </row>
    <row r="39" spans="1:5" ht="15.75">
      <c r="A39" s="3"/>
      <c r="B39" s="23" t="str">
        <f>B20</f>
        <v>Debt Service</v>
      </c>
      <c r="C39" s="3"/>
      <c r="D39" s="34"/>
      <c r="E39" s="24"/>
    </row>
    <row r="40" spans="1:5" ht="15.75">
      <c r="A40" s="3"/>
      <c r="B40" s="23">
        <f>B22</f>
        <v>0</v>
      </c>
      <c r="C40" s="3"/>
      <c r="D40" s="34"/>
      <c r="E40" s="24"/>
    </row>
    <row r="41" spans="1:5" ht="15.75">
      <c r="A41" s="3"/>
      <c r="B41" s="23">
        <f>B23</f>
        <v>0</v>
      </c>
      <c r="C41" s="3"/>
      <c r="D41" s="34"/>
      <c r="E41" s="24"/>
    </row>
    <row r="42" spans="1:5" ht="16.5" thickBot="1">
      <c r="A42" s="2" t="s">
        <v>6</v>
      </c>
      <c r="B42" s="3"/>
      <c r="C42" s="3"/>
      <c r="D42" s="35">
        <f>SUM(D38:D41)</f>
        <v>2.065</v>
      </c>
      <c r="E42" s="24"/>
    </row>
    <row r="43" spans="1:5" ht="16.5" thickTop="1">
      <c r="A43" s="3"/>
      <c r="B43" s="3"/>
      <c r="C43" s="3"/>
      <c r="D43" s="3"/>
      <c r="E43" s="24"/>
    </row>
    <row r="44" spans="1:5" ht="15.75">
      <c r="A44" s="36" t="str">
        <f>CONCATENATE("Total Tax Levied (",D6-2," budget column)")</f>
        <v>Total Tax Levied (2010 budget column)</v>
      </c>
      <c r="B44" s="14"/>
      <c r="C44" s="3"/>
      <c r="D44" s="3"/>
      <c r="E44" s="37">
        <v>1739</v>
      </c>
    </row>
    <row r="45" spans="1:5" ht="15.75">
      <c r="A45" s="36" t="str">
        <f>CONCATENATE("Assessed Valuation (",D6-2," budget column)")</f>
        <v>Assessed Valuation (2010 budget column)</v>
      </c>
      <c r="B45" s="14"/>
      <c r="C45" s="3"/>
      <c r="D45" s="3"/>
      <c r="E45" s="38">
        <v>842284</v>
      </c>
    </row>
    <row r="46" spans="1:5" ht="15.75">
      <c r="A46" s="3"/>
      <c r="B46" s="3"/>
      <c r="C46" s="3"/>
      <c r="D46" s="3"/>
      <c r="E46" s="24"/>
    </row>
    <row r="47" spans="1:5" ht="15.75">
      <c r="A47" s="14" t="s">
        <v>123</v>
      </c>
      <c r="B47" s="14"/>
      <c r="C47" s="39"/>
      <c r="D47" s="40">
        <f>D6-3</f>
        <v>2009</v>
      </c>
      <c r="E47" s="40">
        <f>D6-2</f>
        <v>2010</v>
      </c>
    </row>
    <row r="48" spans="1:5" ht="15.75">
      <c r="A48" s="41" t="s">
        <v>98</v>
      </c>
      <c r="B48" s="41"/>
      <c r="C48" s="42"/>
      <c r="D48" s="43"/>
      <c r="E48" s="43"/>
    </row>
    <row r="49" spans="1:5" ht="15.75">
      <c r="A49" s="44" t="s">
        <v>99</v>
      </c>
      <c r="B49" s="44"/>
      <c r="C49" s="45"/>
      <c r="D49" s="43"/>
      <c r="E49" s="43"/>
    </row>
    <row r="50" spans="1:5" ht="15.75">
      <c r="A50" s="44" t="s">
        <v>153</v>
      </c>
      <c r="B50" s="44"/>
      <c r="C50" s="45"/>
      <c r="D50" s="43"/>
      <c r="E50" s="43"/>
    </row>
    <row r="51" spans="1:5" ht="15.75">
      <c r="A51" s="44" t="s">
        <v>100</v>
      </c>
      <c r="B51" s="44"/>
      <c r="C51" s="45"/>
      <c r="D51" s="43"/>
      <c r="E51" s="43"/>
    </row>
    <row r="52" spans="1:5" ht="15.75">
      <c r="A52" s="44"/>
      <c r="B52" s="44"/>
      <c r="C52" s="46"/>
      <c r="D52" s="43"/>
      <c r="E52" s="43"/>
    </row>
  </sheetData>
  <sheetProtection sheet="1"/>
  <mergeCells count="6">
    <mergeCell ref="D36:D37"/>
    <mergeCell ref="A12:E12"/>
    <mergeCell ref="A1:E1"/>
    <mergeCell ref="A8:E8"/>
    <mergeCell ref="A10:E10"/>
    <mergeCell ref="E17:E18"/>
  </mergeCells>
  <printOptions/>
  <pageMargins left="0.5" right="0.5" top="0.5" bottom="0.5" header="0.5" footer="0.5"/>
  <pageSetup blackAndWhite="1" fitToHeight="1" fitToWidth="1" horizontalDpi="120" verticalDpi="12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3">
      <selection activeCell="B46" sqref="B46"/>
    </sheetView>
  </sheetViews>
  <sheetFormatPr defaultColWidth="8.796875" defaultRowHeight="15"/>
  <cols>
    <col min="1" max="1" width="15.796875" style="48" customWidth="1"/>
    <col min="2" max="2" width="20.796875" style="48" customWidth="1"/>
    <col min="3" max="3" width="10.796875" style="48" customWidth="1"/>
    <col min="4" max="4" width="15.69921875" style="48" customWidth="1"/>
    <col min="5" max="5" width="14.19921875" style="48" customWidth="1"/>
    <col min="6" max="16384" width="8.8984375" style="48" customWidth="1"/>
  </cols>
  <sheetData>
    <row r="1" spans="1:5" ht="15.75">
      <c r="A1" s="47" t="str">
        <f>inputPrYr!D3</f>
        <v>PAINTERHOOD CEMETERY</v>
      </c>
      <c r="B1" s="47"/>
      <c r="C1" s="47"/>
      <c r="D1" s="47"/>
      <c r="E1" s="47">
        <f>inputPrYr!D6</f>
        <v>2012</v>
      </c>
    </row>
    <row r="2" spans="1:5" ht="15.75">
      <c r="A2" s="47" t="str">
        <f>inputPrYr!D4</f>
        <v>ELK COUNTY</v>
      </c>
      <c r="B2" s="47"/>
      <c r="C2" s="47"/>
      <c r="D2" s="47"/>
      <c r="E2" s="47"/>
    </row>
    <row r="3" spans="1:5" ht="15">
      <c r="A3" s="49"/>
      <c r="B3" s="49"/>
      <c r="C3" s="49"/>
      <c r="D3" s="49"/>
      <c r="E3" s="49"/>
    </row>
    <row r="4" spans="1:5" ht="15.75">
      <c r="A4" s="255" t="s">
        <v>113</v>
      </c>
      <c r="B4" s="256"/>
      <c r="C4" s="256"/>
      <c r="D4" s="256"/>
      <c r="E4" s="256"/>
    </row>
    <row r="5" spans="1:5" ht="15">
      <c r="A5" s="49"/>
      <c r="B5" s="49"/>
      <c r="C5" s="49"/>
      <c r="D5" s="49"/>
      <c r="E5" s="49"/>
    </row>
    <row r="6" spans="1:5" ht="15.75">
      <c r="A6" s="50" t="str">
        <f>CONCATENATE("From the County Clerks ",E1," Budget Information:")</f>
        <v>From the County Clerks 2012 Budget Information:</v>
      </c>
      <c r="B6" s="51"/>
      <c r="C6" s="51"/>
      <c r="D6" s="3"/>
      <c r="E6" s="24"/>
    </row>
    <row r="7" spans="1:5" ht="15.75">
      <c r="A7" s="52" t="str">
        <f>CONCATENATE("Total Assessed Valuation for ",inputPrYr!D6-1,"")</f>
        <v>Total Assessed Valuation for 2011</v>
      </c>
      <c r="B7" s="27"/>
      <c r="C7" s="27"/>
      <c r="D7" s="27"/>
      <c r="E7" s="37">
        <v>812556</v>
      </c>
    </row>
    <row r="8" spans="1:5" ht="15.75">
      <c r="A8" s="53" t="str">
        <f>CONCATENATE("New Improvements for ",inputPrYr!D6-1,"")</f>
        <v>New Improvements for 2011</v>
      </c>
      <c r="B8" s="54"/>
      <c r="C8" s="54"/>
      <c r="D8" s="54"/>
      <c r="E8" s="55">
        <v>14129</v>
      </c>
    </row>
    <row r="9" spans="1:5" ht="15.75">
      <c r="A9" s="53" t="str">
        <f>CONCATENATE("Personal Property excluding oil, gas, and mobile homes- ",inputPrYr!D6-1,"")</f>
        <v>Personal Property excluding oil, gas, and mobile homes- 2011</v>
      </c>
      <c r="B9" s="54"/>
      <c r="C9" s="54"/>
      <c r="D9" s="54"/>
      <c r="E9" s="55">
        <v>10654</v>
      </c>
    </row>
    <row r="10" spans="1:5" ht="15.75">
      <c r="A10" s="53" t="str">
        <f>CONCATENATE("Property that has changed in use for ",inputPrYr!D6-1,"")</f>
        <v>Property that has changed in use for 2011</v>
      </c>
      <c r="B10" s="54"/>
      <c r="C10" s="54"/>
      <c r="D10" s="54"/>
      <c r="E10" s="55">
        <v>5011</v>
      </c>
    </row>
    <row r="11" spans="1:5" ht="15.75">
      <c r="A11" s="52" t="str">
        <f>CONCATENATE("Personal Property excluding oil, gas, and mobile homes- ",inputPrYr!D6-2,"")</f>
        <v>Personal Property excluding oil, gas, and mobile homes- 2010</v>
      </c>
      <c r="B11" s="27"/>
      <c r="C11" s="27"/>
      <c r="D11" s="27"/>
      <c r="E11" s="55">
        <v>6460</v>
      </c>
    </row>
    <row r="12" spans="1:5" ht="15.75">
      <c r="A12" s="53" t="str">
        <f>CONCATENATE("Neighborhood Revitalization - ",E1,"")</f>
        <v>Neighborhood Revitalization - 2012</v>
      </c>
      <c r="B12" s="54"/>
      <c r="C12" s="54"/>
      <c r="D12" s="54"/>
      <c r="E12" s="55"/>
    </row>
    <row r="13" spans="1:5" ht="15.75">
      <c r="A13" s="30"/>
      <c r="B13" s="56"/>
      <c r="C13" s="56"/>
      <c r="D13" s="56"/>
      <c r="E13" s="57"/>
    </row>
    <row r="14" spans="1:5" ht="15.75">
      <c r="A14" s="58" t="str">
        <f>CONCATENATE("Actual Tax Rates for the ",E1-1," Budget:")</f>
        <v>Actual Tax Rates for the 2011 Budget:</v>
      </c>
      <c r="B14" s="56"/>
      <c r="C14" s="56"/>
      <c r="D14" s="56"/>
      <c r="E14" s="59"/>
    </row>
    <row r="15" spans="1:5" ht="15.75">
      <c r="A15" s="265" t="s">
        <v>18</v>
      </c>
      <c r="B15" s="260"/>
      <c r="C15" s="49"/>
      <c r="D15" s="60" t="s">
        <v>46</v>
      </c>
      <c r="E15" s="59"/>
    </row>
    <row r="16" spans="1:5" ht="15.75">
      <c r="A16" s="52" t="s">
        <v>3</v>
      </c>
      <c r="B16" s="27"/>
      <c r="C16" s="56"/>
      <c r="D16" s="61">
        <v>2.125</v>
      </c>
      <c r="E16" s="59"/>
    </row>
    <row r="17" spans="1:5" ht="15.75">
      <c r="A17" s="53" t="s">
        <v>139</v>
      </c>
      <c r="B17" s="54"/>
      <c r="C17" s="56"/>
      <c r="D17" s="62"/>
      <c r="E17" s="59"/>
    </row>
    <row r="18" spans="1:5" ht="15.75">
      <c r="A18" s="53">
        <f>inputPrYr!B22</f>
        <v>0</v>
      </c>
      <c r="B18" s="54"/>
      <c r="C18" s="56"/>
      <c r="D18" s="62"/>
      <c r="E18" s="59"/>
    </row>
    <row r="19" spans="1:5" ht="15.75">
      <c r="A19" s="53">
        <f>inputPrYr!B23</f>
        <v>0</v>
      </c>
      <c r="B19" s="54"/>
      <c r="C19" s="56"/>
      <c r="D19" s="62"/>
      <c r="E19" s="59"/>
    </row>
    <row r="20" spans="1:5" ht="15.75">
      <c r="A20" s="53"/>
      <c r="B20" s="54"/>
      <c r="C20" s="56"/>
      <c r="D20" s="62"/>
      <c r="E20" s="59"/>
    </row>
    <row r="21" spans="1:5" ht="15.75">
      <c r="A21" s="53"/>
      <c r="B21" s="54"/>
      <c r="C21" s="56"/>
      <c r="D21" s="63"/>
      <c r="E21" s="59"/>
    </row>
    <row r="22" spans="1:5" ht="15.75">
      <c r="A22" s="64"/>
      <c r="B22" s="27" t="s">
        <v>119</v>
      </c>
      <c r="C22" s="65"/>
      <c r="D22" s="66">
        <f>SUM(D16:D21)</f>
        <v>2.125</v>
      </c>
      <c r="E22" s="64"/>
    </row>
    <row r="23" spans="1:5" ht="15">
      <c r="A23" s="64"/>
      <c r="B23" s="64"/>
      <c r="C23" s="64"/>
      <c r="D23" s="64"/>
      <c r="E23" s="64"/>
    </row>
    <row r="24" spans="1:5" ht="15.75">
      <c r="A24" s="27" t="str">
        <f>CONCATENATE("Final Assessed Valuation from the November 1, ",E1-2," Abstract")</f>
        <v>Final Assessed Valuation from the November 1, 2010 Abstract</v>
      </c>
      <c r="B24" s="67"/>
      <c r="C24" s="67"/>
      <c r="D24" s="67"/>
      <c r="E24" s="43">
        <v>808418</v>
      </c>
    </row>
    <row r="25" spans="1:5" ht="15">
      <c r="A25" s="64"/>
      <c r="B25" s="64"/>
      <c r="C25" s="64"/>
      <c r="D25" s="64"/>
      <c r="E25" s="64"/>
    </row>
    <row r="26" spans="1:5" ht="15.75">
      <c r="A26" s="68" t="str">
        <f>CONCATENATE("From the County Treasurer's Budget Information - ",E1," Budget Year Estimates:")</f>
        <v>From the County Treasurer's Budget Information - 2012 Budget Year Estimates:</v>
      </c>
      <c r="B26" s="14"/>
      <c r="C26" s="14"/>
      <c r="D26" s="69"/>
      <c r="E26" s="24"/>
    </row>
    <row r="27" spans="1:5" ht="15.75">
      <c r="A27" s="52" t="s">
        <v>7</v>
      </c>
      <c r="B27" s="27"/>
      <c r="C27" s="27"/>
      <c r="D27" s="70"/>
      <c r="E27" s="22">
        <v>140</v>
      </c>
    </row>
    <row r="28" spans="1:5" ht="15.75">
      <c r="A28" s="53" t="s">
        <v>8</v>
      </c>
      <c r="B28" s="54"/>
      <c r="C28" s="54"/>
      <c r="D28" s="71"/>
      <c r="E28" s="22">
        <v>5</v>
      </c>
    </row>
    <row r="29" spans="1:5" ht="15.75">
      <c r="A29" s="53" t="s">
        <v>109</v>
      </c>
      <c r="B29" s="54"/>
      <c r="C29" s="54"/>
      <c r="D29" s="71"/>
      <c r="E29" s="22">
        <v>38</v>
      </c>
    </row>
    <row r="30" spans="1:5" ht="15.75">
      <c r="A30" s="53" t="s">
        <v>104</v>
      </c>
      <c r="B30" s="54"/>
      <c r="C30" s="54"/>
      <c r="D30" s="71"/>
      <c r="E30" s="22"/>
    </row>
    <row r="31" spans="1:5" ht="15.75">
      <c r="A31" s="53" t="s">
        <v>105</v>
      </c>
      <c r="B31" s="54"/>
      <c r="C31" s="54"/>
      <c r="D31" s="71"/>
      <c r="E31" s="22"/>
    </row>
    <row r="32" spans="1:5" ht="15.75">
      <c r="A32" s="52"/>
      <c r="B32" s="27"/>
      <c r="C32" s="27"/>
      <c r="D32" s="70"/>
      <c r="E32" s="22"/>
    </row>
    <row r="33" spans="1:5" ht="15.75">
      <c r="A33" s="3" t="s">
        <v>110</v>
      </c>
      <c r="B33" s="3"/>
      <c r="C33" s="3"/>
      <c r="D33" s="3"/>
      <c r="E33" s="3"/>
    </row>
    <row r="34" spans="1:5" ht="15.75">
      <c r="A34" s="72" t="s">
        <v>76</v>
      </c>
      <c r="B34" s="11"/>
      <c r="C34" s="11"/>
      <c r="D34" s="3"/>
      <c r="E34" s="3"/>
    </row>
    <row r="35" spans="1:5" ht="15.75">
      <c r="A35" s="73" t="str">
        <f>CONCATENATE("Actual Delinquency for ",E1-3," Tax (round to three decimal places)")</f>
        <v>Actual Delinquency for 2009 Tax (round to three decimal places)</v>
      </c>
      <c r="B35" s="56"/>
      <c r="C35" s="3"/>
      <c r="D35" s="3"/>
      <c r="E35" s="74">
        <v>0.016</v>
      </c>
    </row>
    <row r="36" spans="1:5" ht="15.75">
      <c r="A36" s="73" t="s">
        <v>120</v>
      </c>
      <c r="B36" s="73"/>
      <c r="C36" s="56"/>
      <c r="D36" s="56"/>
      <c r="E36" s="198"/>
    </row>
    <row r="37" spans="1:5" ht="15.75">
      <c r="A37" s="75" t="s">
        <v>111</v>
      </c>
      <c r="B37" s="75"/>
      <c r="C37" s="76"/>
      <c r="D37" s="76"/>
      <c r="E37" s="77"/>
    </row>
    <row r="38" spans="1:5" ht="15">
      <c r="A38" s="49"/>
      <c r="B38" s="49"/>
      <c r="C38" s="49"/>
      <c r="D38" s="49"/>
      <c r="E38" s="49"/>
    </row>
    <row r="39" spans="1:5" ht="15.75">
      <c r="A39" s="266" t="str">
        <f>CONCATENATE("From the ",E1-2," Budget Certificate Page")</f>
        <v>From the 2010 Budget Certificate Page</v>
      </c>
      <c r="B39" s="267"/>
      <c r="C39" s="49"/>
      <c r="D39" s="49"/>
      <c r="E39" s="49"/>
    </row>
    <row r="40" spans="1:5" ht="15.75">
      <c r="A40" s="78"/>
      <c r="B40" s="78" t="str">
        <f>CONCATENATE("",E1-2," Expenditure Amounts")</f>
        <v>2010 Expenditure Amounts</v>
      </c>
      <c r="C40" s="268" t="str">
        <f>CONCATENATE("Note: If the ",E1-2," budget was amended, then the")</f>
        <v>Note: If the 2010 budget was amended, then the</v>
      </c>
      <c r="D40" s="269"/>
      <c r="E40" s="269"/>
    </row>
    <row r="41" spans="1:5" ht="15.75">
      <c r="A41" s="79" t="s">
        <v>127</v>
      </c>
      <c r="B41" s="79" t="s">
        <v>128</v>
      </c>
      <c r="C41" s="80" t="s">
        <v>129</v>
      </c>
      <c r="D41" s="81"/>
      <c r="E41" s="81"/>
    </row>
    <row r="42" spans="1:5" ht="15.75">
      <c r="A42" s="82" t="str">
        <f>inputPrYr!B19</f>
        <v>General</v>
      </c>
      <c r="B42" s="43">
        <v>3573</v>
      </c>
      <c r="C42" s="80" t="s">
        <v>130</v>
      </c>
      <c r="D42" s="81"/>
      <c r="E42" s="81"/>
    </row>
    <row r="43" spans="1:5" ht="15.75">
      <c r="A43" s="82" t="str">
        <f>inputPrYr!B20</f>
        <v>Debt Service</v>
      </c>
      <c r="B43" s="43"/>
      <c r="C43" s="80"/>
      <c r="D43" s="81"/>
      <c r="E43" s="81"/>
    </row>
    <row r="44" spans="1:5" ht="15.75">
      <c r="A44" s="82">
        <f>inputPrYr!B22</f>
        <v>0</v>
      </c>
      <c r="B44" s="43"/>
      <c r="C44" s="49"/>
      <c r="D44" s="49"/>
      <c r="E44" s="49"/>
    </row>
    <row r="45" spans="1:5" ht="15.75">
      <c r="A45" s="82">
        <f>inputPrYr!B23</f>
        <v>0</v>
      </c>
      <c r="B45" s="43"/>
      <c r="C45" s="49"/>
      <c r="D45" s="49"/>
      <c r="E45" s="49"/>
    </row>
    <row r="46" spans="1:5" ht="15.75">
      <c r="A46" s="82">
        <f>inputPrYr!B26</f>
        <v>0</v>
      </c>
      <c r="B46" s="43"/>
      <c r="C46" s="49"/>
      <c r="D46" s="49"/>
      <c r="E46" s="49"/>
    </row>
    <row r="47" spans="1:5" ht="15.75">
      <c r="A47" s="82">
        <f>inputPrYr!B27</f>
        <v>0</v>
      </c>
      <c r="B47" s="43"/>
      <c r="C47" s="49"/>
      <c r="D47" s="49"/>
      <c r="E47" s="49"/>
    </row>
  </sheetData>
  <sheetProtection sheet="1"/>
  <mergeCells count="4">
    <mergeCell ref="A15:B15"/>
    <mergeCell ref="A4:E4"/>
    <mergeCell ref="A39:B39"/>
    <mergeCell ref="C40:E40"/>
  </mergeCells>
  <printOptions/>
  <pageMargins left="0.75" right="0.75" top="1" bottom="1" header="0.5" footer="0.5"/>
  <pageSetup blackAndWhite="1"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9">
      <selection activeCell="F27" sqref="F27"/>
    </sheetView>
  </sheetViews>
  <sheetFormatPr defaultColWidth="8.796875" defaultRowHeight="15"/>
  <cols>
    <col min="1" max="1" width="11.796875" style="83" customWidth="1"/>
    <col min="2" max="3" width="9.796875" style="83" customWidth="1"/>
    <col min="4" max="4" width="8.796875" style="83" customWidth="1"/>
    <col min="5" max="7" width="14.796875" style="83" customWidth="1"/>
    <col min="8" max="8" width="2.69921875" style="83" customWidth="1"/>
    <col min="9" max="9" width="3.19921875" style="83" customWidth="1"/>
    <col min="10" max="16384" width="8.8984375" style="83" customWidth="1"/>
  </cols>
  <sheetData>
    <row r="1" spans="1:7" ht="15.75">
      <c r="A1" s="47"/>
      <c r="B1" s="47"/>
      <c r="C1" s="47"/>
      <c r="D1" s="47"/>
      <c r="E1" s="47"/>
      <c r="F1" s="47"/>
      <c r="G1" s="47"/>
    </row>
    <row r="2" spans="1:7" ht="15.75">
      <c r="A2" s="271" t="s">
        <v>48</v>
      </c>
      <c r="B2" s="271"/>
      <c r="C2" s="271"/>
      <c r="D2" s="271"/>
      <c r="E2" s="271"/>
      <c r="F2" s="271"/>
      <c r="G2" s="271"/>
    </row>
    <row r="3" spans="1:7" ht="15.75">
      <c r="A3" s="3"/>
      <c r="B3" s="3"/>
      <c r="C3" s="3"/>
      <c r="D3" s="3"/>
      <c r="E3" s="3"/>
      <c r="F3" s="3"/>
      <c r="G3" s="47">
        <f>inputPrYr!D6</f>
        <v>2012</v>
      </c>
    </row>
    <row r="4" spans="1:7" ht="15.75">
      <c r="A4" s="272" t="str">
        <f>CONCATENATE("To the Clerk of ",inputPrYr!D4,", State of Kansas")</f>
        <v>To the Clerk of ELK COUNTY, State of Kansas</v>
      </c>
      <c r="B4" s="272"/>
      <c r="C4" s="272"/>
      <c r="D4" s="272"/>
      <c r="E4" s="272"/>
      <c r="F4" s="272"/>
      <c r="G4" s="272"/>
    </row>
    <row r="5" spans="1:7" ht="15.75">
      <c r="A5" s="85" t="s">
        <v>102</v>
      </c>
      <c r="B5" s="11"/>
      <c r="C5" s="11"/>
      <c r="D5" s="11"/>
      <c r="E5" s="11"/>
      <c r="F5" s="11"/>
      <c r="G5" s="11"/>
    </row>
    <row r="6" spans="1:7" ht="15.75">
      <c r="A6" s="257" t="str">
        <f>inputPrYr!D3</f>
        <v>PAINTERHOOD CEMETERY</v>
      </c>
      <c r="B6" s="257"/>
      <c r="C6" s="257"/>
      <c r="D6" s="257"/>
      <c r="E6" s="257"/>
      <c r="F6" s="257"/>
      <c r="G6" s="257"/>
    </row>
    <row r="7" spans="1:7" ht="15.75">
      <c r="A7" s="3"/>
      <c r="B7" s="3"/>
      <c r="C7" s="3"/>
      <c r="D7" s="3"/>
      <c r="E7" s="3"/>
      <c r="F7" s="3"/>
      <c r="G7" s="3"/>
    </row>
    <row r="8" spans="1:7" ht="15.75">
      <c r="A8" s="85" t="s">
        <v>9</v>
      </c>
      <c r="B8" s="11"/>
      <c r="C8" s="11"/>
      <c r="D8" s="11"/>
      <c r="E8" s="11"/>
      <c r="F8" s="11"/>
      <c r="G8" s="11"/>
    </row>
    <row r="9" spans="1:7" ht="15.75">
      <c r="A9" s="85" t="s">
        <v>10</v>
      </c>
      <c r="B9" s="11"/>
      <c r="C9" s="11"/>
      <c r="D9" s="11"/>
      <c r="E9" s="11"/>
      <c r="F9" s="11"/>
      <c r="G9" s="11"/>
    </row>
    <row r="10" spans="1:7" ht="15.75">
      <c r="A10" s="85" t="str">
        <f>CONCATENATE("maximum expenditures for the various funds for the year ",G3,"; and (3) the")</f>
        <v>maximum expenditures for the various funds for the year 2012; and (3) the</v>
      </c>
      <c r="B10" s="11"/>
      <c r="C10" s="11"/>
      <c r="D10" s="11"/>
      <c r="E10" s="11"/>
      <c r="F10" s="11"/>
      <c r="G10" s="11"/>
    </row>
    <row r="11" spans="1:7" ht="15.75">
      <c r="A11" s="85" t="str">
        <f>CONCATENATE("Amount(s) of ",G3-1," Ad Valorem Tax are within statutory  limitations for the ",G3," Budget.")</f>
        <v>Amount(s) of 2011 Ad Valorem Tax are within statutory  limitations for the 2012 Budget.</v>
      </c>
      <c r="B11" s="11"/>
      <c r="C11" s="11"/>
      <c r="D11" s="11"/>
      <c r="E11" s="11"/>
      <c r="F11" s="11"/>
      <c r="G11" s="11"/>
    </row>
    <row r="12" spans="1:7" ht="15.75">
      <c r="A12" s="2"/>
      <c r="B12" s="3"/>
      <c r="C12" s="3"/>
      <c r="D12" s="86"/>
      <c r="E12" s="87"/>
      <c r="F12" s="87"/>
      <c r="G12" s="87"/>
    </row>
    <row r="13" spans="1:7" ht="15.75">
      <c r="A13" s="3"/>
      <c r="B13" s="3"/>
      <c r="C13" s="3"/>
      <c r="D13" s="3"/>
      <c r="E13" s="273" t="str">
        <f>CONCATENATE("",G3," Adopted Budget")</f>
        <v>2012 Adopted Budget</v>
      </c>
      <c r="F13" s="274"/>
      <c r="G13" s="275"/>
    </row>
    <row r="14" spans="1:8" ht="15.75">
      <c r="A14" s="2"/>
      <c r="B14" s="3"/>
      <c r="C14" s="3"/>
      <c r="D14" s="27"/>
      <c r="E14" s="88" t="s">
        <v>11</v>
      </c>
      <c r="F14" s="89"/>
      <c r="G14" s="90" t="s">
        <v>12</v>
      </c>
      <c r="H14" s="91"/>
    </row>
    <row r="15" spans="1:7" ht="15.75">
      <c r="A15" s="3"/>
      <c r="B15" s="3"/>
      <c r="C15" s="3"/>
      <c r="D15" s="89" t="s">
        <v>13</v>
      </c>
      <c r="E15" s="92" t="s">
        <v>128</v>
      </c>
      <c r="F15" s="276" t="str">
        <f>CONCATENATE("Amount of ",G3-1," Ad Valorem Tax")</f>
        <v>Amount of 2011 Ad Valorem Tax</v>
      </c>
      <c r="G15" s="90" t="s">
        <v>14</v>
      </c>
    </row>
    <row r="16" spans="1:7" ht="15.75">
      <c r="A16" s="2" t="s">
        <v>15</v>
      </c>
      <c r="B16" s="3"/>
      <c r="C16" s="3"/>
      <c r="D16" s="92" t="s">
        <v>16</v>
      </c>
      <c r="E16" s="92" t="s">
        <v>143</v>
      </c>
      <c r="F16" s="276"/>
      <c r="G16" s="90" t="s">
        <v>17</v>
      </c>
    </row>
    <row r="17" spans="1:7" ht="4.5" customHeight="1">
      <c r="A17" s="93"/>
      <c r="B17" s="93"/>
      <c r="C17" s="93"/>
      <c r="D17" s="94"/>
      <c r="E17" s="94"/>
      <c r="F17" s="95"/>
      <c r="G17" s="96"/>
    </row>
    <row r="18" spans="1:7" ht="15.75">
      <c r="A18" s="97" t="str">
        <f>CONCATENATE("Computation to Determine Limit for ",G3,"")</f>
        <v>Computation to Determine Limit for 2012</v>
      </c>
      <c r="B18" s="93"/>
      <c r="C18" s="93"/>
      <c r="D18" s="98">
        <v>2</v>
      </c>
      <c r="E18" s="87"/>
      <c r="F18" s="87"/>
      <c r="G18" s="99"/>
    </row>
    <row r="19" spans="1:7" ht="15.75">
      <c r="A19" s="100" t="s">
        <v>124</v>
      </c>
      <c r="B19" s="93"/>
      <c r="C19" s="93"/>
      <c r="D19" s="98">
        <v>3</v>
      </c>
      <c r="E19" s="87"/>
      <c r="F19" s="87"/>
      <c r="G19" s="99"/>
    </row>
    <row r="20" spans="1:7" ht="15.75">
      <c r="A20" s="100" t="s">
        <v>96</v>
      </c>
      <c r="B20" s="93"/>
      <c r="C20" s="93"/>
      <c r="D20" s="101">
        <v>4</v>
      </c>
      <c r="E20" s="87"/>
      <c r="F20" s="87"/>
      <c r="G20" s="99"/>
    </row>
    <row r="21" spans="1:7" ht="15.75">
      <c r="A21" s="97" t="s">
        <v>95</v>
      </c>
      <c r="B21" s="93"/>
      <c r="C21" s="93"/>
      <c r="D21" s="101">
        <v>5</v>
      </c>
      <c r="E21" s="87"/>
      <c r="F21" s="87"/>
      <c r="G21" s="99"/>
    </row>
    <row r="22" spans="1:7" ht="15.75">
      <c r="A22" s="102" t="s">
        <v>18</v>
      </c>
      <c r="B22" s="103"/>
      <c r="C22" s="104" t="s">
        <v>19</v>
      </c>
      <c r="D22" s="98"/>
      <c r="E22" s="105"/>
      <c r="F22" s="27"/>
      <c r="G22" s="31"/>
    </row>
    <row r="23" spans="1:7" ht="15.75">
      <c r="A23" s="106" t="s">
        <v>3</v>
      </c>
      <c r="B23" s="103"/>
      <c r="C23" s="98">
        <f>inputPrYr!C19</f>
        <v>0</v>
      </c>
      <c r="D23" s="107">
        <v>6</v>
      </c>
      <c r="E23" s="108">
        <f>IF(gen!$E$50&lt;&gt;0,gen!$E$50,"  ")</f>
        <v>2427</v>
      </c>
      <c r="F23" s="108">
        <f>IF(gen!$E$57&lt;&gt;0,gen!$E$57,"  ")</f>
        <v>1718</v>
      </c>
      <c r="G23" s="109" t="str">
        <f>IF(AND(gen!E57=0,$G$27&gt;=0)," ",IF(AND(F23&gt;0,$G$27=0)," ",IF(AND(F23&gt;0,$G$27&gt;0),ROUND(F23/$G$27*1000,3))))</f>
        <v> </v>
      </c>
    </row>
    <row r="24" spans="1:7" ht="15.75">
      <c r="A24" s="106" t="s">
        <v>139</v>
      </c>
      <c r="B24" s="103"/>
      <c r="C24" s="98" t="s">
        <v>103</v>
      </c>
      <c r="D24" s="107"/>
      <c r="E24" s="32">
        <v>0</v>
      </c>
      <c r="F24" s="32">
        <v>0</v>
      </c>
      <c r="G24" s="109">
        <v>0</v>
      </c>
    </row>
    <row r="25" spans="1:7" ht="15.75">
      <c r="A25" s="114" t="s">
        <v>93</v>
      </c>
      <c r="B25" s="54"/>
      <c r="C25" s="103"/>
      <c r="D25" s="115" t="s">
        <v>20</v>
      </c>
      <c r="E25" s="199">
        <f>SUM(E23:E24)</f>
        <v>2427</v>
      </c>
      <c r="F25" s="200">
        <f>SUM(F23:F24)</f>
        <v>1718</v>
      </c>
      <c r="G25" s="204">
        <f>IF(SUM(G23:G24)=0,"",SUM(G23:G24))</f>
      </c>
    </row>
    <row r="26" spans="1:7" ht="15.75">
      <c r="A26" s="106" t="s">
        <v>118</v>
      </c>
      <c r="B26" s="54"/>
      <c r="C26" s="103"/>
      <c r="D26" s="118">
        <f>summ!E24</f>
        <v>5</v>
      </c>
      <c r="E26" s="122" t="s">
        <v>117</v>
      </c>
      <c r="F26" s="203" t="s">
        <v>167</v>
      </c>
      <c r="G26" s="205" t="s">
        <v>94</v>
      </c>
    </row>
    <row r="27" spans="1:7" ht="15.75">
      <c r="A27" s="106" t="s">
        <v>132</v>
      </c>
      <c r="B27" s="120"/>
      <c r="C27" s="121"/>
      <c r="D27" s="118" t="e">
        <f>IF(#REF!=0,"",#REF!)</f>
        <v>#REF!</v>
      </c>
      <c r="E27" s="201"/>
      <c r="F27" s="56"/>
      <c r="G27" s="127"/>
    </row>
    <row r="28" spans="1:7" ht="15.75">
      <c r="A28" s="123" t="s">
        <v>116</v>
      </c>
      <c r="B28" s="54"/>
      <c r="C28" s="103"/>
      <c r="D28" s="118" t="e">
        <f>IF(#REF!=0,"",#REF!)</f>
        <v>#REF!</v>
      </c>
      <c r="E28" s="47"/>
      <c r="F28" s="56"/>
      <c r="G28" s="277" t="str">
        <f>CONCATENATE("Nov. 1, ",G3," Total Assessed Valuation")</f>
        <v>Nov. 1, 2012 Total Assessed Valuation</v>
      </c>
    </row>
    <row r="29" spans="1:7" ht="15.75">
      <c r="A29" s="6"/>
      <c r="B29" s="56"/>
      <c r="C29" s="3"/>
      <c r="D29" s="124"/>
      <c r="E29" s="47"/>
      <c r="F29" s="56"/>
      <c r="G29" s="278"/>
    </row>
    <row r="30" spans="1:7" ht="15.75">
      <c r="A30" s="125" t="s">
        <v>146</v>
      </c>
      <c r="B30" s="56"/>
      <c r="C30" s="56"/>
      <c r="D30" s="56"/>
      <c r="E30" s="119"/>
      <c r="F30" s="56"/>
      <c r="G30" s="3"/>
    </row>
    <row r="31" spans="1:7" ht="15.75">
      <c r="A31" s="212"/>
      <c r="B31" s="212"/>
      <c r="C31" s="56"/>
      <c r="D31" s="56"/>
      <c r="E31" s="126"/>
      <c r="F31" s="56"/>
      <c r="G31" s="3"/>
    </row>
    <row r="32" spans="1:7" ht="15.75">
      <c r="A32" s="213"/>
      <c r="B32" s="214"/>
      <c r="C32" s="56"/>
      <c r="D32" s="56"/>
      <c r="E32" s="217"/>
      <c r="F32" s="56"/>
      <c r="G32" s="3"/>
    </row>
    <row r="33" spans="1:7" ht="15.75">
      <c r="A33" s="128" t="s">
        <v>147</v>
      </c>
      <c r="B33" s="56"/>
      <c r="C33" s="56"/>
      <c r="D33" s="112"/>
      <c r="E33" s="218"/>
      <c r="F33" s="112"/>
      <c r="G33" s="112"/>
    </row>
    <row r="34" spans="1:7" ht="15.75">
      <c r="A34" s="212"/>
      <c r="B34" s="212"/>
      <c r="C34" s="56"/>
      <c r="D34" s="27"/>
      <c r="E34" s="207"/>
      <c r="F34" s="207"/>
      <c r="G34" s="27"/>
    </row>
    <row r="35" spans="1:7" ht="15.75">
      <c r="A35" s="214"/>
      <c r="B35" s="215"/>
      <c r="C35" s="39"/>
      <c r="D35" s="3"/>
      <c r="E35" s="129"/>
      <c r="F35" s="129"/>
      <c r="G35" s="3"/>
    </row>
    <row r="36" spans="1:7" ht="15.75">
      <c r="A36" s="214"/>
      <c r="B36" s="214"/>
      <c r="C36" s="3"/>
      <c r="D36" s="27"/>
      <c r="E36" s="174"/>
      <c r="F36" s="27"/>
      <c r="G36" s="27"/>
    </row>
    <row r="37" spans="1:7" ht="15.75">
      <c r="A37" s="216"/>
      <c r="B37" s="214"/>
      <c r="C37" s="2"/>
      <c r="D37" s="202"/>
      <c r="E37" s="130"/>
      <c r="F37" s="3"/>
      <c r="G37" s="3"/>
    </row>
    <row r="38" spans="1:7" ht="15.75">
      <c r="A38" s="6"/>
      <c r="B38" s="56"/>
      <c r="C38" s="56"/>
      <c r="D38" s="206"/>
      <c r="E38" s="206"/>
      <c r="F38" s="131"/>
      <c r="G38" s="131"/>
    </row>
    <row r="39" spans="1:7" ht="15.75">
      <c r="A39" s="6"/>
      <c r="B39" s="87"/>
      <c r="C39" s="56"/>
      <c r="D39" s="130"/>
      <c r="E39" s="130"/>
      <c r="F39" s="39"/>
      <c r="G39" s="39"/>
    </row>
    <row r="40" spans="1:7" ht="15.75">
      <c r="A40" s="6"/>
      <c r="B40" s="56"/>
      <c r="C40" s="56"/>
      <c r="D40" s="206"/>
      <c r="E40" s="206"/>
      <c r="F40" s="131"/>
      <c r="G40" s="131"/>
    </row>
    <row r="41" spans="1:7" ht="15.75">
      <c r="A41" s="56"/>
      <c r="B41" s="56"/>
      <c r="C41" s="56"/>
      <c r="D41" s="39"/>
      <c r="E41" s="39"/>
      <c r="F41" s="39"/>
      <c r="G41" s="39"/>
    </row>
    <row r="42" spans="1:7" ht="15.75">
      <c r="A42" s="2" t="s">
        <v>114</v>
      </c>
      <c r="B42" s="3"/>
      <c r="C42" s="2">
        <f>G3-1</f>
        <v>2011</v>
      </c>
      <c r="D42" s="27"/>
      <c r="E42" s="27"/>
      <c r="F42" s="131"/>
      <c r="G42" s="131"/>
    </row>
    <row r="43" spans="1:7" ht="15.75">
      <c r="A43" s="130"/>
      <c r="B43" s="56"/>
      <c r="C43" s="2"/>
      <c r="D43" s="3"/>
      <c r="E43" s="3"/>
      <c r="F43" s="11"/>
      <c r="G43" s="11"/>
    </row>
    <row r="44" spans="1:7" ht="15.75">
      <c r="A44" s="279"/>
      <c r="B44" s="280"/>
      <c r="C44" s="3"/>
      <c r="D44" s="27"/>
      <c r="E44" s="27"/>
      <c r="F44" s="27"/>
      <c r="G44" s="27"/>
    </row>
    <row r="45" spans="1:7" ht="15.75">
      <c r="A45" s="11" t="s">
        <v>22</v>
      </c>
      <c r="B45" s="11"/>
      <c r="C45" s="3"/>
      <c r="D45" s="281" t="s">
        <v>21</v>
      </c>
      <c r="E45" s="282"/>
      <c r="F45" s="282"/>
      <c r="G45" s="282"/>
    </row>
    <row r="46" spans="1:7" ht="15.75">
      <c r="A46" s="283"/>
      <c r="B46" s="283"/>
      <c r="C46" s="283"/>
      <c r="D46" s="283"/>
      <c r="E46" s="283"/>
      <c r="F46" s="283"/>
      <c r="G46" s="283"/>
    </row>
    <row r="47" spans="1:7" ht="15.75">
      <c r="A47" s="284"/>
      <c r="B47" s="284"/>
      <c r="C47" s="284"/>
      <c r="D47" s="284"/>
      <c r="E47" s="284"/>
      <c r="F47" s="284"/>
      <c r="G47" s="284"/>
    </row>
    <row r="48" spans="1:7" ht="15.75">
      <c r="A48" s="1"/>
      <c r="B48" s="1"/>
      <c r="C48" s="1"/>
      <c r="D48" s="1"/>
      <c r="E48" s="1"/>
      <c r="F48" s="1"/>
      <c r="G48" s="270"/>
    </row>
    <row r="49" spans="1:7" ht="15.75">
      <c r="A49" s="1"/>
      <c r="B49" s="1"/>
      <c r="C49" s="1"/>
      <c r="D49" s="1"/>
      <c r="E49" s="1"/>
      <c r="F49" s="1"/>
      <c r="G49" s="270"/>
    </row>
    <row r="50" spans="1:7" ht="15.75">
      <c r="A50" s="1"/>
      <c r="B50" s="1"/>
      <c r="C50" s="1"/>
      <c r="D50" s="1"/>
      <c r="E50" s="1"/>
      <c r="F50" s="1"/>
      <c r="G50" s="270"/>
    </row>
    <row r="51" spans="1:7" ht="15.75">
      <c r="A51" s="1"/>
      <c r="B51" s="1"/>
      <c r="C51" s="1"/>
      <c r="D51" s="1"/>
      <c r="E51" s="1"/>
      <c r="F51" s="1"/>
      <c r="G51" s="270"/>
    </row>
    <row r="52" spans="1:7" ht="15.75">
      <c r="A52" s="1"/>
      <c r="B52" s="1"/>
      <c r="C52" s="1"/>
      <c r="D52" s="132"/>
      <c r="E52" s="1"/>
      <c r="F52" s="1"/>
      <c r="G52" s="270"/>
    </row>
    <row r="53" ht="15.75">
      <c r="G53" s="270"/>
    </row>
    <row r="54" ht="15.75">
      <c r="G54" s="270"/>
    </row>
    <row r="55" ht="15.75">
      <c r="G55" s="270"/>
    </row>
    <row r="56" ht="15.75">
      <c r="G56" s="270"/>
    </row>
    <row r="57" ht="15.75">
      <c r="G57" s="270"/>
    </row>
    <row r="58" ht="15.75">
      <c r="G58" s="270"/>
    </row>
    <row r="59" ht="15.75">
      <c r="G59" s="270"/>
    </row>
    <row r="60" ht="15.75">
      <c r="G60" s="270"/>
    </row>
  </sheetData>
  <sheetProtection/>
  <mergeCells count="16">
    <mergeCell ref="A46:A47"/>
    <mergeCell ref="B46:B47"/>
    <mergeCell ref="C46:C47"/>
    <mergeCell ref="D46:D47"/>
    <mergeCell ref="E46:E47"/>
    <mergeCell ref="F46:F47"/>
    <mergeCell ref="G48:G60"/>
    <mergeCell ref="A2:G2"/>
    <mergeCell ref="A4:G4"/>
    <mergeCell ref="A6:G6"/>
    <mergeCell ref="E13:G13"/>
    <mergeCell ref="F15:F16"/>
    <mergeCell ref="G28:G29"/>
    <mergeCell ref="A44:B44"/>
    <mergeCell ref="D45:G45"/>
    <mergeCell ref="G46:G47"/>
  </mergeCells>
  <printOptions/>
  <pageMargins left="1.25" right="0.5" top="0" bottom="0.5" header="0" footer="0.5"/>
  <pageSetup blackAndWhite="1" fitToHeight="1" fitToWidth="1" horizontalDpi="120" verticalDpi="120" orientation="portrait" scale="79" r:id="rId1"/>
  <headerFooter alignWithMargins="0">
    <oddHeader>&amp;RState of Kansas
Special District
</oddHeader>
    <oddFooter>&amp;CPage No.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5" zoomScaleNormal="85" zoomScalePageLayoutView="0" workbookViewId="0" topLeftCell="A10">
      <selection activeCell="J33" sqref="J33"/>
    </sheetView>
  </sheetViews>
  <sheetFormatPr defaultColWidth="8.796875" defaultRowHeight="15.75" customHeight="1"/>
  <cols>
    <col min="1" max="2" width="3.296875" style="133" customWidth="1"/>
    <col min="3" max="3" width="31.296875" style="133" customWidth="1"/>
    <col min="4" max="4" width="2.296875" style="133" customWidth="1"/>
    <col min="5" max="5" width="15.796875" style="133" customWidth="1"/>
    <col min="6" max="6" width="2" style="133" customWidth="1"/>
    <col min="7" max="7" width="15.796875" style="133" customWidth="1"/>
    <col min="8" max="8" width="1.8984375" style="133" customWidth="1"/>
    <col min="9" max="9" width="1.796875" style="133" customWidth="1"/>
    <col min="10" max="10" width="15.796875" style="133" customWidth="1"/>
    <col min="11" max="16384" width="8.8984375" style="133" customWidth="1"/>
  </cols>
  <sheetData>
    <row r="1" spans="1:10" ht="15.75" customHeight="1">
      <c r="A1" s="3"/>
      <c r="B1" s="3"/>
      <c r="C1" s="3" t="str">
        <f>inputPrYr!D3</f>
        <v>PAINTERHOOD CEMETERY</v>
      </c>
      <c r="D1" s="3"/>
      <c r="E1" s="3"/>
      <c r="F1" s="3"/>
      <c r="G1" s="3"/>
      <c r="H1" s="3"/>
      <c r="I1" s="3"/>
      <c r="J1" s="3">
        <f>inputPrYr!D6</f>
        <v>2012</v>
      </c>
    </row>
    <row r="2" spans="1:10" ht="15.75" customHeight="1">
      <c r="A2" s="3"/>
      <c r="B2" s="3"/>
      <c r="C2" s="3" t="str">
        <f>inputPrYr!D4</f>
        <v>ELK COUNTY</v>
      </c>
      <c r="D2" s="3"/>
      <c r="E2" s="3"/>
      <c r="F2" s="3"/>
      <c r="G2" s="3"/>
      <c r="H2" s="3"/>
      <c r="I2" s="3"/>
      <c r="J2" s="3"/>
    </row>
    <row r="3" spans="1:10" ht="15.75">
      <c r="A3" s="259" t="str">
        <f>CONCATENATE("Computation to Determine Limit for ",J1,"")</f>
        <v>Computation to Determine Limit for 2012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ht="15.75">
      <c r="A4" s="3"/>
      <c r="B4" s="3"/>
      <c r="C4" s="3"/>
      <c r="D4" s="3"/>
      <c r="E4" s="271"/>
      <c r="F4" s="271"/>
      <c r="G4" s="271"/>
      <c r="H4" s="84"/>
      <c r="I4" s="3"/>
      <c r="J4" s="134" t="s">
        <v>55</v>
      </c>
    </row>
    <row r="5" spans="1:10" ht="15.75">
      <c r="A5" s="135" t="s">
        <v>56</v>
      </c>
      <c r="B5" s="3" t="str">
        <f>CONCATENATE("Total Tax Levy Amount in ",J1-1," Budget")</f>
        <v>Total Tax Levy Amount in 2011 Budget</v>
      </c>
      <c r="C5" s="3"/>
      <c r="D5" s="3"/>
      <c r="E5" s="24"/>
      <c r="F5" s="24"/>
      <c r="G5" s="24"/>
      <c r="H5" s="136" t="s">
        <v>57</v>
      </c>
      <c r="I5" s="24" t="s">
        <v>58</v>
      </c>
      <c r="J5" s="189">
        <f>inputPrYr!E24</f>
        <v>1718</v>
      </c>
    </row>
    <row r="6" spans="1:10" ht="15.75">
      <c r="A6" s="135" t="s">
        <v>59</v>
      </c>
      <c r="B6" s="3" t="str">
        <f>CONCATENATE("Debt Service Levy in ",J1-1," Budget")</f>
        <v>Debt Service Levy in 2011 Budget</v>
      </c>
      <c r="C6" s="3"/>
      <c r="D6" s="3"/>
      <c r="E6" s="24"/>
      <c r="F6" s="24"/>
      <c r="G6" s="24"/>
      <c r="H6" s="136" t="s">
        <v>60</v>
      </c>
      <c r="I6" s="24" t="s">
        <v>58</v>
      </c>
      <c r="J6" s="137">
        <f>inputPrYr!E20</f>
        <v>0</v>
      </c>
    </row>
    <row r="7" spans="1:10" ht="15.75">
      <c r="A7" s="135" t="s">
        <v>83</v>
      </c>
      <c r="B7" s="12" t="s">
        <v>77</v>
      </c>
      <c r="C7" s="3"/>
      <c r="D7" s="3"/>
      <c r="E7" s="24"/>
      <c r="F7" s="24"/>
      <c r="G7" s="24"/>
      <c r="H7" s="24"/>
      <c r="I7" s="24" t="s">
        <v>58</v>
      </c>
      <c r="J7" s="28">
        <f>J5-J6</f>
        <v>1718</v>
      </c>
    </row>
    <row r="8" spans="1:10" ht="15.75">
      <c r="A8" s="3"/>
      <c r="B8" s="3"/>
      <c r="C8" s="3"/>
      <c r="D8" s="3"/>
      <c r="E8" s="24"/>
      <c r="F8" s="24"/>
      <c r="G8" s="24"/>
      <c r="H8" s="24"/>
      <c r="I8" s="24"/>
      <c r="J8" s="24"/>
    </row>
    <row r="9" spans="1:10" ht="15.75">
      <c r="A9" s="3"/>
      <c r="B9" s="12" t="str">
        <f>CONCATENATE("",J1-1," Valuation Information for Valuation Adjustments:")</f>
        <v>2011 Valuation Information for Valuation Adjustments:</v>
      </c>
      <c r="C9" s="3"/>
      <c r="D9" s="3"/>
      <c r="E9" s="24"/>
      <c r="F9" s="24"/>
      <c r="G9" s="24"/>
      <c r="H9" s="24"/>
      <c r="I9" s="24"/>
      <c r="J9" s="24"/>
    </row>
    <row r="10" spans="1:10" ht="15.75">
      <c r="A10" s="3"/>
      <c r="B10" s="3"/>
      <c r="C10" s="12"/>
      <c r="D10" s="3"/>
      <c r="E10" s="24"/>
      <c r="F10" s="24"/>
      <c r="G10" s="24"/>
      <c r="H10" s="24"/>
      <c r="I10" s="24"/>
      <c r="J10" s="24"/>
    </row>
    <row r="11" spans="1:10" ht="15.75">
      <c r="A11" s="135" t="s">
        <v>61</v>
      </c>
      <c r="B11" s="12" t="str">
        <f>CONCATENATE("New Improvements for ",J1-1,":")</f>
        <v>New Improvements for 2011:</v>
      </c>
      <c r="C11" s="3"/>
      <c r="D11" s="3"/>
      <c r="E11" s="136"/>
      <c r="F11" s="136" t="s">
        <v>57</v>
      </c>
      <c r="G11" s="138">
        <f>inputOth!E8</f>
        <v>14129</v>
      </c>
      <c r="H11" s="139"/>
      <c r="I11" s="24"/>
      <c r="J11" s="24"/>
    </row>
    <row r="12" spans="1:10" ht="15.75">
      <c r="A12" s="135"/>
      <c r="B12" s="135"/>
      <c r="C12" s="3"/>
      <c r="D12" s="3"/>
      <c r="E12" s="136"/>
      <c r="F12" s="136"/>
      <c r="G12" s="139"/>
      <c r="H12" s="139"/>
      <c r="I12" s="24"/>
      <c r="J12" s="24"/>
    </row>
    <row r="13" spans="1:10" ht="15.75">
      <c r="A13" s="135" t="s">
        <v>62</v>
      </c>
      <c r="B13" s="12" t="str">
        <f>CONCATENATE("Increase in Personal Property for ",J1-1,":")</f>
        <v>Increase in Personal Property for 2011:</v>
      </c>
      <c r="C13" s="3"/>
      <c r="D13" s="3"/>
      <c r="E13" s="136"/>
      <c r="F13" s="136"/>
      <c r="G13" s="139"/>
      <c r="H13" s="139"/>
      <c r="I13" s="24"/>
      <c r="J13" s="24"/>
    </row>
    <row r="14" spans="1:10" ht="15.75">
      <c r="A14" s="3"/>
      <c r="B14" s="3" t="s">
        <v>63</v>
      </c>
      <c r="C14" s="3" t="str">
        <f>CONCATENATE("Personal Property ",J1-1,"")</f>
        <v>Personal Property 2011</v>
      </c>
      <c r="D14" s="135" t="s">
        <v>57</v>
      </c>
      <c r="E14" s="138">
        <f>inputOth!E9</f>
        <v>10654</v>
      </c>
      <c r="F14" s="136"/>
      <c r="G14" s="24"/>
      <c r="H14" s="24"/>
      <c r="I14" s="139"/>
      <c r="J14" s="24"/>
    </row>
    <row r="15" spans="1:10" ht="15.75">
      <c r="A15" s="135"/>
      <c r="B15" s="3" t="s">
        <v>64</v>
      </c>
      <c r="C15" s="3" t="str">
        <f>CONCATENATE("Personal Property ",J1-2,"")</f>
        <v>Personal Property 2010</v>
      </c>
      <c r="D15" s="135" t="s">
        <v>60</v>
      </c>
      <c r="E15" s="28">
        <f>inputOth!E11</f>
        <v>6460</v>
      </c>
      <c r="F15" s="136"/>
      <c r="G15" s="139"/>
      <c r="H15" s="139"/>
      <c r="I15" s="24"/>
      <c r="J15" s="24"/>
    </row>
    <row r="16" spans="1:10" ht="15.75">
      <c r="A16" s="135"/>
      <c r="B16" s="3" t="s">
        <v>65</v>
      </c>
      <c r="C16" s="3" t="s">
        <v>78</v>
      </c>
      <c r="D16" s="3"/>
      <c r="E16" s="24"/>
      <c r="F16" s="24" t="s">
        <v>57</v>
      </c>
      <c r="G16" s="138">
        <f>IF(E14&gt;E15,E14-E15,0)</f>
        <v>4194</v>
      </c>
      <c r="H16" s="139"/>
      <c r="I16" s="24"/>
      <c r="J16" s="24"/>
    </row>
    <row r="17" spans="1:10" ht="15.75">
      <c r="A17" s="135"/>
      <c r="B17" s="135"/>
      <c r="C17" s="3"/>
      <c r="D17" s="3"/>
      <c r="E17" s="24"/>
      <c r="F17" s="24"/>
      <c r="G17" s="139" t="s">
        <v>73</v>
      </c>
      <c r="H17" s="139"/>
      <c r="I17" s="24"/>
      <c r="J17" s="24"/>
    </row>
    <row r="18" spans="1:10" ht="15.75">
      <c r="A18" s="135" t="s">
        <v>66</v>
      </c>
      <c r="B18" s="12" t="str">
        <f>CONCATENATE("Valuation of Property that has Changed in Use during ",J1-1,":")</f>
        <v>Valuation of Property that has Changed in Use during 2011:</v>
      </c>
      <c r="C18" s="3"/>
      <c r="D18" s="135"/>
      <c r="E18" s="24"/>
      <c r="F18" s="24"/>
      <c r="G18" s="24">
        <f>inputOth!E10</f>
        <v>5011</v>
      </c>
      <c r="H18" s="24"/>
      <c r="I18" s="24"/>
      <c r="J18" s="24"/>
    </row>
    <row r="19" spans="1:10" ht="15.75">
      <c r="A19" s="3" t="s">
        <v>11</v>
      </c>
      <c r="B19" s="3"/>
      <c r="C19" s="3"/>
      <c r="D19" s="3"/>
      <c r="E19" s="139"/>
      <c r="F19" s="24"/>
      <c r="G19" s="140"/>
      <c r="H19" s="139"/>
      <c r="I19" s="24"/>
      <c r="J19" s="24"/>
    </row>
    <row r="20" spans="1:10" ht="15.75">
      <c r="A20" s="135" t="s">
        <v>67</v>
      </c>
      <c r="B20" s="12" t="s">
        <v>79</v>
      </c>
      <c r="C20" s="3"/>
      <c r="D20" s="135"/>
      <c r="E20" s="24"/>
      <c r="F20" s="24"/>
      <c r="G20" s="138">
        <f>G11+G16+G18</f>
        <v>23334</v>
      </c>
      <c r="H20" s="139"/>
      <c r="I20" s="24"/>
      <c r="J20" s="24"/>
    </row>
    <row r="21" spans="1:10" ht="15.75">
      <c r="A21" s="135"/>
      <c r="B21" s="135"/>
      <c r="C21" s="12"/>
      <c r="D21" s="3"/>
      <c r="E21" s="24"/>
      <c r="F21" s="24"/>
      <c r="G21" s="139"/>
      <c r="H21" s="139"/>
      <c r="I21" s="24"/>
      <c r="J21" s="24"/>
    </row>
    <row r="22" spans="1:10" ht="15.75">
      <c r="A22" s="135" t="s">
        <v>68</v>
      </c>
      <c r="B22" s="3" t="str">
        <f>CONCATENATE("Total Estimated Valuation July, 1,",J1-1,"")</f>
        <v>Total Estimated Valuation July, 1,2011</v>
      </c>
      <c r="C22" s="3"/>
      <c r="D22" s="3"/>
      <c r="E22" s="138">
        <f>inputOth!E7</f>
        <v>812556</v>
      </c>
      <c r="F22" s="24"/>
      <c r="G22" s="24"/>
      <c r="H22" s="24"/>
      <c r="I22" s="136"/>
      <c r="J22" s="24"/>
    </row>
    <row r="23" spans="1:10" ht="15.75">
      <c r="A23" s="135"/>
      <c r="B23" s="135"/>
      <c r="C23" s="3"/>
      <c r="D23" s="3"/>
      <c r="E23" s="139"/>
      <c r="F23" s="24"/>
      <c r="G23" s="24"/>
      <c r="H23" s="24"/>
      <c r="I23" s="136"/>
      <c r="J23" s="24"/>
    </row>
    <row r="24" spans="1:10" ht="15.75">
      <c r="A24" s="135" t="s">
        <v>69</v>
      </c>
      <c r="B24" s="12" t="s">
        <v>80</v>
      </c>
      <c r="C24" s="3"/>
      <c r="D24" s="3"/>
      <c r="E24" s="24"/>
      <c r="F24" s="24"/>
      <c r="G24" s="138">
        <f>E22-G20</f>
        <v>789222</v>
      </c>
      <c r="H24" s="139"/>
      <c r="I24" s="136"/>
      <c r="J24" s="24"/>
    </row>
    <row r="25" spans="1:10" ht="15.75">
      <c r="A25" s="135"/>
      <c r="B25" s="135"/>
      <c r="C25" s="12"/>
      <c r="D25" s="3"/>
      <c r="E25" s="24"/>
      <c r="F25" s="24"/>
      <c r="G25" s="140"/>
      <c r="H25" s="139"/>
      <c r="I25" s="136"/>
      <c r="J25" s="24"/>
    </row>
    <row r="26" spans="1:10" ht="15.75">
      <c r="A26" s="135" t="s">
        <v>70</v>
      </c>
      <c r="B26" s="3" t="s">
        <v>81</v>
      </c>
      <c r="C26" s="3"/>
      <c r="D26" s="3"/>
      <c r="E26" s="3"/>
      <c r="F26" s="3"/>
      <c r="G26" s="141">
        <f>IF(G20&gt;0,G20/G24,0)</f>
        <v>0.029565825585196562</v>
      </c>
      <c r="H26" s="56"/>
      <c r="I26" s="3"/>
      <c r="J26" s="3"/>
    </row>
    <row r="27" spans="1:10" ht="15.75">
      <c r="A27" s="135"/>
      <c r="B27" s="135"/>
      <c r="C27" s="3"/>
      <c r="D27" s="3"/>
      <c r="E27" s="3"/>
      <c r="F27" s="3"/>
      <c r="G27" s="56"/>
      <c r="H27" s="56"/>
      <c r="I27" s="3"/>
      <c r="J27" s="3"/>
    </row>
    <row r="28" spans="1:10" ht="15.75">
      <c r="A28" s="135" t="s">
        <v>71</v>
      </c>
      <c r="B28" s="3" t="s">
        <v>82</v>
      </c>
      <c r="C28" s="3"/>
      <c r="D28" s="3"/>
      <c r="E28" s="3"/>
      <c r="F28" s="3"/>
      <c r="G28" s="56"/>
      <c r="H28" s="142" t="s">
        <v>57</v>
      </c>
      <c r="I28" s="3" t="s">
        <v>58</v>
      </c>
      <c r="J28" s="138">
        <f>ROUND(G26*J7,0)</f>
        <v>51</v>
      </c>
    </row>
    <row r="29" spans="1:10" ht="15.75">
      <c r="A29" s="135"/>
      <c r="B29" s="135"/>
      <c r="C29" s="3"/>
      <c r="D29" s="3"/>
      <c r="E29" s="3"/>
      <c r="F29" s="3"/>
      <c r="G29" s="56"/>
      <c r="H29" s="142"/>
      <c r="I29" s="3"/>
      <c r="J29" s="139"/>
    </row>
    <row r="30" spans="1:10" ht="16.5" thickBot="1">
      <c r="A30" s="135" t="s">
        <v>72</v>
      </c>
      <c r="B30" s="12" t="s">
        <v>87</v>
      </c>
      <c r="C30" s="3"/>
      <c r="D30" s="3"/>
      <c r="E30" s="3"/>
      <c r="F30" s="3"/>
      <c r="G30" s="3"/>
      <c r="H30" s="3"/>
      <c r="I30" s="3" t="s">
        <v>58</v>
      </c>
      <c r="J30" s="143">
        <f>J7+J28</f>
        <v>1769</v>
      </c>
    </row>
    <row r="31" spans="1:10" ht="16.5" thickTop="1">
      <c r="A31" s="135"/>
      <c r="B31" s="12"/>
      <c r="C31" s="3"/>
      <c r="D31" s="3"/>
      <c r="E31" s="3"/>
      <c r="F31" s="3"/>
      <c r="G31" s="3"/>
      <c r="H31" s="3"/>
      <c r="I31" s="3"/>
      <c r="J31" s="3"/>
    </row>
    <row r="32" spans="1:10" ht="15.75">
      <c r="A32" s="135" t="s">
        <v>85</v>
      </c>
      <c r="B32" s="12" t="str">
        <f>CONCATENATE("Debt Service Levy in this ",J1," Budget")</f>
        <v>Debt Service Levy in this 2012 Budget</v>
      </c>
      <c r="C32" s="3"/>
      <c r="D32" s="3"/>
      <c r="E32" s="3"/>
      <c r="F32" s="3"/>
      <c r="G32" s="3"/>
      <c r="H32" s="3"/>
      <c r="I32" s="3"/>
      <c r="J32" s="144">
        <v>0</v>
      </c>
    </row>
    <row r="33" spans="1:10" ht="15.75">
      <c r="A33" s="135"/>
      <c r="B33" s="12"/>
      <c r="C33" s="3"/>
      <c r="D33" s="3"/>
      <c r="E33" s="3"/>
      <c r="F33" s="3"/>
      <c r="G33" s="3"/>
      <c r="H33" s="3"/>
      <c r="I33" s="3"/>
      <c r="J33" s="56"/>
    </row>
    <row r="34" spans="1:10" ht="16.5" thickBot="1">
      <c r="A34" s="135" t="s">
        <v>86</v>
      </c>
      <c r="B34" s="12" t="s">
        <v>88</v>
      </c>
      <c r="C34" s="3"/>
      <c r="D34" s="3"/>
      <c r="E34" s="3"/>
      <c r="F34" s="3"/>
      <c r="G34" s="3"/>
      <c r="H34" s="3"/>
      <c r="I34" s="3"/>
      <c r="J34" s="143">
        <f>J30+J32</f>
        <v>1769</v>
      </c>
    </row>
    <row r="35" spans="1:10" ht="16.5" thickTop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.75">
      <c r="A36" s="285" t="str">
        <f>CONCATENATE("If the ",J1," budget includes tax levies exceeding the total on line 14, you must")</f>
        <v>If the 2012 budget includes tax levies exceeding the total on line 14, you must</v>
      </c>
      <c r="B36" s="285"/>
      <c r="C36" s="285"/>
      <c r="D36" s="285"/>
      <c r="E36" s="285"/>
      <c r="F36" s="285"/>
      <c r="G36" s="285"/>
      <c r="H36" s="285"/>
      <c r="I36" s="285"/>
      <c r="J36" s="285"/>
    </row>
    <row r="37" spans="1:10" ht="15.75">
      <c r="A37" s="285" t="s">
        <v>84</v>
      </c>
      <c r="B37" s="285"/>
      <c r="C37" s="285"/>
      <c r="D37" s="285"/>
      <c r="E37" s="285"/>
      <c r="F37" s="285"/>
      <c r="G37" s="285"/>
      <c r="H37" s="285"/>
      <c r="I37" s="285"/>
      <c r="J37" s="285"/>
    </row>
  </sheetData>
  <sheetProtection/>
  <mergeCells count="4">
    <mergeCell ref="A36:J36"/>
    <mergeCell ref="A37:J37"/>
    <mergeCell ref="A3:J3"/>
    <mergeCell ref="E4:G4"/>
  </mergeCells>
  <printOptions/>
  <pageMargins left="0.5" right="0.5" top="0.75" bottom="0.5" header="0.5" footer="0.5"/>
  <pageSetup blackAndWhite="1" fitToHeight="1" fitToWidth="1" horizontalDpi="600" verticalDpi="600" orientation="portrait" scale="80" r:id="rId1"/>
  <headerFooter alignWithMargins="0">
    <oddHeader>&amp;RState of Kansas
Special District
</oddHeader>
    <oddFooter>&amp;CPage No.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B1">
      <selection activeCell="C11" sqref="C11"/>
    </sheetView>
  </sheetViews>
  <sheetFormatPr defaultColWidth="8.796875" defaultRowHeight="15"/>
  <cols>
    <col min="1" max="1" width="8.8984375" style="153" customWidth="1"/>
    <col min="2" max="2" width="17.796875" style="1" customWidth="1"/>
    <col min="3" max="3" width="15.796875" style="1" customWidth="1"/>
    <col min="4" max="4" width="11.796875" style="1" customWidth="1"/>
    <col min="5" max="5" width="12.296875" style="1" customWidth="1"/>
    <col min="6" max="6" width="11.796875" style="1" customWidth="1"/>
    <col min="7" max="10" width="10.796875" style="1" customWidth="1"/>
    <col min="11" max="16384" width="8.8984375" style="1" customWidth="1"/>
  </cols>
  <sheetData>
    <row r="1" spans="1:10" ht="15.75">
      <c r="A1" s="3"/>
      <c r="B1" s="3" t="str">
        <f>inputPrYr!D3</f>
        <v>PAINTERHOOD CEMETERY</v>
      </c>
      <c r="C1" s="3"/>
      <c r="D1" s="3"/>
      <c r="E1" s="3"/>
      <c r="F1" s="3"/>
      <c r="G1" s="3"/>
      <c r="H1" s="3"/>
      <c r="I1" s="145"/>
      <c r="J1" s="3"/>
    </row>
    <row r="2" spans="1:10" ht="15.75">
      <c r="A2" s="3"/>
      <c r="B2" s="3" t="str">
        <f>inputPrYr!D4</f>
        <v>ELK COUNTY</v>
      </c>
      <c r="C2" s="3"/>
      <c r="D2" s="3"/>
      <c r="E2" s="3"/>
      <c r="F2" s="3"/>
      <c r="G2" s="3"/>
      <c r="H2" s="3"/>
      <c r="I2" s="125"/>
      <c r="J2" s="3">
        <f>inputPrYr!D6</f>
        <v>2012</v>
      </c>
    </row>
    <row r="3" spans="1:10" ht="15.75">
      <c r="A3" s="3"/>
      <c r="B3" s="3"/>
      <c r="C3" s="146"/>
      <c r="D3" s="146"/>
      <c r="E3" s="146"/>
      <c r="F3" s="146"/>
      <c r="G3" s="146"/>
      <c r="H3" s="146"/>
      <c r="I3" s="146"/>
      <c r="J3" s="3"/>
    </row>
    <row r="4" spans="1:10" ht="15.75">
      <c r="A4" s="39"/>
      <c r="B4" s="3"/>
      <c r="C4" s="3"/>
      <c r="D4" s="3"/>
      <c r="E4" s="3"/>
      <c r="F4" s="3"/>
      <c r="G4" s="3"/>
      <c r="H4" s="3"/>
      <c r="I4" s="146"/>
      <c r="J4" s="3"/>
    </row>
    <row r="5" spans="1:10" ht="15.75">
      <c r="A5" s="39"/>
      <c r="B5" s="3"/>
      <c r="C5" s="11"/>
      <c r="D5" s="11"/>
      <c r="E5" s="11"/>
      <c r="F5" s="3"/>
      <c r="G5" s="3"/>
      <c r="H5" s="3"/>
      <c r="I5" s="3"/>
      <c r="J5" s="3"/>
    </row>
    <row r="6" spans="1:10" ht="15.75">
      <c r="A6" s="39"/>
      <c r="B6" s="286" t="s">
        <v>134</v>
      </c>
      <c r="C6" s="286"/>
      <c r="D6" s="286"/>
      <c r="E6" s="286"/>
      <c r="F6" s="286"/>
      <c r="G6" s="3"/>
      <c r="H6" s="3"/>
      <c r="I6" s="3"/>
      <c r="J6" s="3"/>
    </row>
    <row r="7" spans="1:10" ht="15.75">
      <c r="A7" s="39"/>
      <c r="B7" s="147"/>
      <c r="C7" s="147"/>
      <c r="D7" s="147"/>
      <c r="E7" s="147"/>
      <c r="F7" s="147"/>
      <c r="G7" s="3"/>
      <c r="H7" s="3"/>
      <c r="I7" s="3"/>
      <c r="J7" s="3"/>
    </row>
    <row r="8" spans="1:10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>
      <c r="A9" s="3"/>
      <c r="B9" s="289" t="str">
        <f>CONCATENATE("",J2-1,"                    Budgeted Funds")</f>
        <v>2011                    Budgeted Funds</v>
      </c>
      <c r="C9" s="287" t="str">
        <f>CONCATENATE("Tax Levy Amount in ",J2-2," Budget")</f>
        <v>Tax Levy Amount in 2010 Budget</v>
      </c>
      <c r="D9" s="273" t="str">
        <f>CONCATENATE("Allocation for Year ",J2,"")</f>
        <v>Allocation for Year 2012</v>
      </c>
      <c r="E9" s="290"/>
      <c r="F9" s="290"/>
      <c r="G9" s="275"/>
      <c r="H9" s="3"/>
      <c r="I9" s="3"/>
      <c r="J9" s="3"/>
    </row>
    <row r="10" spans="1:10" ht="15.75">
      <c r="A10" s="3"/>
      <c r="B10" s="288"/>
      <c r="C10" s="288"/>
      <c r="D10" s="101" t="s">
        <v>35</v>
      </c>
      <c r="E10" s="101" t="s">
        <v>36</v>
      </c>
      <c r="F10" s="101" t="s">
        <v>52</v>
      </c>
      <c r="G10" s="98" t="s">
        <v>105</v>
      </c>
      <c r="H10" s="3"/>
      <c r="I10" s="3"/>
      <c r="J10" s="3"/>
    </row>
    <row r="11" spans="1:10" ht="15.75">
      <c r="A11" s="3"/>
      <c r="B11" s="23" t="str">
        <f>inputPrYr!B19</f>
        <v>General</v>
      </c>
      <c r="C11" s="111">
        <f>inputPrYr!E19</f>
        <v>1718</v>
      </c>
      <c r="D11" s="111">
        <f>IF(E17=0,0,E17-D12-D13-D14)</f>
        <v>140</v>
      </c>
      <c r="E11" s="111">
        <f>IF(E19=0,0,E19-E12-E13-E14)</f>
        <v>5</v>
      </c>
      <c r="F11" s="111">
        <f>IF(E21=0,0,E21-F12-F13-F14)</f>
        <v>38</v>
      </c>
      <c r="G11" s="111">
        <f>IF(E23=0,0,E23-G12-G13-G14)</f>
        <v>0</v>
      </c>
      <c r="H11" s="3"/>
      <c r="I11" s="3"/>
      <c r="J11" s="3"/>
    </row>
    <row r="12" spans="1:10" ht="15.75">
      <c r="A12" s="3"/>
      <c r="B12" s="23" t="str">
        <f>inputPrYr!B20</f>
        <v>Debt Service</v>
      </c>
      <c r="C12" s="111">
        <f>inputPrYr!E20</f>
        <v>0</v>
      </c>
      <c r="D12" s="111">
        <f>IF($E$17=0,0,ROUND(C12*$C$25,0))</f>
        <v>0</v>
      </c>
      <c r="E12" s="111">
        <f>IF($E$19=0,0,ROUND(C12*$D$27,0))</f>
        <v>0</v>
      </c>
      <c r="F12" s="111">
        <f>IF($E21=0,0,ROUND(C12*$E$29,0))</f>
        <v>0</v>
      </c>
      <c r="G12" s="111">
        <f>IF($E23=0,0,ROUND(C12*$F$31,0))</f>
        <v>0</v>
      </c>
      <c r="H12" s="3"/>
      <c r="I12" s="3"/>
      <c r="J12" s="3"/>
    </row>
    <row r="13" spans="1:10" ht="15.75">
      <c r="A13" s="3"/>
      <c r="B13" s="23" t="str">
        <f>IF(inputPrYr!$B$22&gt;"  ",inputPrYr!$B$22,"  ")</f>
        <v>  </v>
      </c>
      <c r="C13" s="111">
        <f>inputPrYr!E22</f>
        <v>0</v>
      </c>
      <c r="D13" s="111">
        <f>IF($E$17=0,0,ROUND(C13*$C$25,0))</f>
        <v>0</v>
      </c>
      <c r="E13" s="111">
        <f>IF($E$19=0,0,ROUND(C13*$D$27,0))</f>
        <v>0</v>
      </c>
      <c r="F13" s="111">
        <f>IF($E21=0,0,ROUND(C13*$E$29,0))</f>
        <v>0</v>
      </c>
      <c r="G13" s="111">
        <f>IF($E23=0,0,ROUND(C13*$F$31,0))</f>
        <v>0</v>
      </c>
      <c r="H13" s="86"/>
      <c r="I13" s="86"/>
      <c r="J13" s="3"/>
    </row>
    <row r="14" spans="1:10" ht="15.75">
      <c r="A14" s="3"/>
      <c r="B14" s="23" t="str">
        <f>IF(inputPrYr!$B$23&gt;"  ",inputPrYr!$B$23,"  ")</f>
        <v>  </v>
      </c>
      <c r="C14" s="111">
        <f>inputPrYr!E23</f>
        <v>0</v>
      </c>
      <c r="D14" s="111">
        <f>IF($E$17=0,0,ROUND(C14*$C$25,0))</f>
        <v>0</v>
      </c>
      <c r="E14" s="111">
        <f>IF($E$19=0,0,ROUND(C14*$D$27,0))</f>
        <v>0</v>
      </c>
      <c r="F14" s="111">
        <f>IF($E21=0,0,ROUND(C14*$E$29,0))</f>
        <v>0</v>
      </c>
      <c r="G14" s="111">
        <f>IF($E23=0,0,ROUND(C14*$F$31,0))</f>
        <v>0</v>
      </c>
      <c r="H14" s="3"/>
      <c r="I14" s="3"/>
      <c r="J14" s="3"/>
    </row>
    <row r="15" spans="1:10" ht="16.5" thickBot="1">
      <c r="A15" s="3"/>
      <c r="B15" s="20" t="s">
        <v>6</v>
      </c>
      <c r="C15" s="117">
        <f>SUM(C11:C14)</f>
        <v>1718</v>
      </c>
      <c r="D15" s="117">
        <f>SUM(D11:D14)</f>
        <v>140</v>
      </c>
      <c r="E15" s="117">
        <f>SUM(E11:E14)</f>
        <v>5</v>
      </c>
      <c r="F15" s="117">
        <f>SUM(F11:F14)</f>
        <v>38</v>
      </c>
      <c r="G15" s="116">
        <f>SUM(G11:G14)</f>
        <v>0</v>
      </c>
      <c r="H15" s="3"/>
      <c r="I15" s="3"/>
      <c r="J15" s="3"/>
    </row>
    <row r="16" spans="1:10" ht="16.5" thickTop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75">
      <c r="A17" s="3"/>
      <c r="B17" s="2" t="s">
        <v>37</v>
      </c>
      <c r="C17" s="3"/>
      <c r="D17" s="3"/>
      <c r="E17" s="148">
        <f>inputOth!E27</f>
        <v>140</v>
      </c>
      <c r="F17" s="3"/>
      <c r="G17" s="3"/>
      <c r="H17" s="3"/>
      <c r="I17" s="3"/>
      <c r="J17" s="3"/>
    </row>
    <row r="18" spans="1:10" ht="15.75">
      <c r="A18" s="3"/>
      <c r="B18" s="3"/>
      <c r="C18" s="3"/>
      <c r="D18" s="146"/>
      <c r="E18" s="146"/>
      <c r="F18" s="3"/>
      <c r="G18" s="3"/>
      <c r="H18" s="3"/>
      <c r="I18" s="3"/>
      <c r="J18" s="3"/>
    </row>
    <row r="19" spans="1:10" ht="15.75">
      <c r="A19" s="3"/>
      <c r="B19" s="2" t="s">
        <v>38</v>
      </c>
      <c r="C19" s="3"/>
      <c r="D19" s="146"/>
      <c r="E19" s="148">
        <f>inputOth!E28</f>
        <v>5</v>
      </c>
      <c r="F19" s="3"/>
      <c r="G19" s="3"/>
      <c r="H19" s="3"/>
      <c r="I19" s="3"/>
      <c r="J19" s="3"/>
    </row>
    <row r="20" spans="1:10" ht="15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.75">
      <c r="A21" s="3"/>
      <c r="B21" s="2" t="s">
        <v>53</v>
      </c>
      <c r="C21" s="3"/>
      <c r="D21" s="3"/>
      <c r="E21" s="148">
        <f>inputOth!E29</f>
        <v>38</v>
      </c>
      <c r="F21" s="3"/>
      <c r="G21" s="3"/>
      <c r="H21" s="3"/>
      <c r="I21" s="3"/>
      <c r="J21" s="3"/>
    </row>
    <row r="22" spans="1:10" ht="15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.75">
      <c r="A23" s="3"/>
      <c r="B23" s="3" t="s">
        <v>125</v>
      </c>
      <c r="C23" s="3"/>
      <c r="D23" s="3"/>
      <c r="E23" s="138">
        <f>inputOth!E31</f>
        <v>0</v>
      </c>
      <c r="F23" s="3"/>
      <c r="G23" s="3"/>
      <c r="H23" s="3"/>
      <c r="I23" s="3"/>
      <c r="J23" s="3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.75">
      <c r="A25" s="3"/>
      <c r="B25" s="125" t="s">
        <v>39</v>
      </c>
      <c r="C25" s="149">
        <f>IF(C15=0,0,E17/C15)</f>
        <v>0.08149010477299184</v>
      </c>
      <c r="D25" s="3"/>
      <c r="E25" s="3"/>
      <c r="F25" s="3"/>
      <c r="G25" s="3"/>
      <c r="H25" s="3"/>
      <c r="I25" s="3"/>
      <c r="J25" s="3"/>
    </row>
    <row r="26" spans="1:10" ht="15.75">
      <c r="A26" s="3"/>
      <c r="B26" s="2"/>
      <c r="C26" s="150"/>
      <c r="D26" s="3"/>
      <c r="E26" s="3"/>
      <c r="F26" s="3"/>
      <c r="G26" s="3"/>
      <c r="H26" s="3"/>
      <c r="I26" s="3"/>
      <c r="J26" s="3"/>
    </row>
    <row r="27" spans="1:10" ht="15.75">
      <c r="A27" s="3"/>
      <c r="B27" s="3"/>
      <c r="C27" s="125" t="s">
        <v>40</v>
      </c>
      <c r="D27" s="151">
        <f>IF(C15=0,0,E19/C15)</f>
        <v>0.002910360884749709</v>
      </c>
      <c r="E27" s="3"/>
      <c r="F27" s="3"/>
      <c r="G27" s="3"/>
      <c r="H27" s="3"/>
      <c r="I27" s="3"/>
      <c r="J27" s="3"/>
    </row>
    <row r="28" spans="1:10" ht="15.75">
      <c r="A28" s="3"/>
      <c r="B28" s="3"/>
      <c r="C28" s="2"/>
      <c r="D28" s="152"/>
      <c r="E28" s="3"/>
      <c r="F28" s="3"/>
      <c r="G28" s="3"/>
      <c r="H28" s="3"/>
      <c r="I28" s="3"/>
      <c r="J28" s="3"/>
    </row>
    <row r="29" spans="1:10" ht="15.75">
      <c r="A29" s="3"/>
      <c r="B29" s="3"/>
      <c r="C29" s="3"/>
      <c r="D29" s="125" t="s">
        <v>54</v>
      </c>
      <c r="E29" s="151">
        <f>IF(C15=0,0,E21/C15)</f>
        <v>0.02211874272409779</v>
      </c>
      <c r="F29" s="3"/>
      <c r="G29" s="3"/>
      <c r="H29" s="3"/>
      <c r="I29" s="3"/>
      <c r="J29" s="3"/>
    </row>
    <row r="30" spans="1:10" ht="15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.75">
      <c r="A31" s="3"/>
      <c r="B31" s="3"/>
      <c r="C31" s="39"/>
      <c r="D31" s="39"/>
      <c r="E31" s="39" t="s">
        <v>126</v>
      </c>
      <c r="F31" s="151">
        <f>IF(C15=0,0,E23/C15)</f>
        <v>0</v>
      </c>
      <c r="G31" s="39"/>
      <c r="H31" s="39"/>
      <c r="I31" s="3"/>
      <c r="J31" s="3"/>
    </row>
    <row r="32" spans="1:10" ht="15.75">
      <c r="A32" s="3"/>
      <c r="B32" s="3"/>
      <c r="C32" s="39"/>
      <c r="D32" s="39"/>
      <c r="E32" s="39"/>
      <c r="F32" s="39"/>
      <c r="G32" s="39"/>
      <c r="H32" s="39"/>
      <c r="I32" s="3"/>
      <c r="J32" s="3"/>
    </row>
    <row r="33" spans="1:10" ht="15.75">
      <c r="A33" s="3"/>
      <c r="B33" s="3"/>
      <c r="C33" s="39"/>
      <c r="D33" s="39"/>
      <c r="E33" s="39"/>
      <c r="F33" s="39"/>
      <c r="G33" s="39"/>
      <c r="H33" s="39"/>
      <c r="I33" s="3"/>
      <c r="J33" s="3"/>
    </row>
  </sheetData>
  <sheetProtection/>
  <mergeCells count="4">
    <mergeCell ref="B6:F6"/>
    <mergeCell ref="C9:C10"/>
    <mergeCell ref="B9:B10"/>
    <mergeCell ref="D9:G9"/>
  </mergeCells>
  <printOptions/>
  <pageMargins left="0.5" right="0.5" top="1" bottom="0.5" header="0.5" footer="0.5"/>
  <pageSetup blackAndWhite="1" fitToHeight="1" fitToWidth="1" horizontalDpi="120" verticalDpi="120" orientation="landscape" scale="82" r:id="rId1"/>
  <headerFooter alignWithMargins="0">
    <oddHeader>&amp;RState of Kansas
Special District
</oddHeader>
    <oddFooter>&amp;CPage No.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1"/>
  <sheetViews>
    <sheetView zoomScalePageLayoutView="0" workbookViewId="0" topLeftCell="A37">
      <selection activeCell="E48" sqref="E48"/>
    </sheetView>
  </sheetViews>
  <sheetFormatPr defaultColWidth="8.796875" defaultRowHeight="15"/>
  <cols>
    <col min="1" max="1" width="2.3984375" style="83" customWidth="1"/>
    <col min="2" max="2" width="31.09765625" style="83" customWidth="1"/>
    <col min="3" max="5" width="15.796875" style="83" customWidth="1"/>
    <col min="6" max="16384" width="8.8984375" style="83" customWidth="1"/>
  </cols>
  <sheetData>
    <row r="1" spans="2:5" ht="15.75">
      <c r="B1" s="3" t="str">
        <f>inputPrYr!D3</f>
        <v>PAINTERHOOD CEMETERY</v>
      </c>
      <c r="C1" s="160"/>
      <c r="D1" s="3"/>
      <c r="E1" s="155"/>
    </row>
    <row r="2" spans="2:5" ht="15.75">
      <c r="B2" s="3" t="str">
        <f>inputPrYr!D4</f>
        <v>ELK COUNTY</v>
      </c>
      <c r="C2" s="160"/>
      <c r="D2" s="3"/>
      <c r="E2" s="125"/>
    </row>
    <row r="3" spans="2:6" ht="15.75">
      <c r="B3" s="247" t="s">
        <v>49</v>
      </c>
      <c r="C3" s="160"/>
      <c r="D3" s="3"/>
      <c r="E3" s="161"/>
      <c r="F3" s="155">
        <f>inputPrYr!$D$6</f>
        <v>2012</v>
      </c>
    </row>
    <row r="4" spans="2:5" ht="15.75">
      <c r="B4" s="3"/>
      <c r="C4" s="87"/>
      <c r="D4" s="87"/>
      <c r="E4" s="87"/>
    </row>
    <row r="5" spans="2:5" ht="15.75">
      <c r="B5" s="2" t="s">
        <v>23</v>
      </c>
      <c r="C5" s="194" t="s">
        <v>138</v>
      </c>
      <c r="D5" s="195" t="s">
        <v>137</v>
      </c>
      <c r="E5" s="162" t="s">
        <v>136</v>
      </c>
    </row>
    <row r="6" spans="2:5" ht="15.75">
      <c r="B6" s="211" t="str">
        <f>inputPrYr!B19</f>
        <v>General</v>
      </c>
      <c r="C6" s="196" t="str">
        <f>CONCATENATE("Actual ",F3-2,"")</f>
        <v>Actual 2010</v>
      </c>
      <c r="D6" s="196" t="str">
        <f>CONCATENATE("Estimate ",F3-1,"")</f>
        <v>Estimate 2011</v>
      </c>
      <c r="E6" s="163" t="str">
        <f>CONCATENATE("Year ",F3,"")</f>
        <v>Year 2012</v>
      </c>
    </row>
    <row r="7" spans="2:5" ht="15.75">
      <c r="B7" s="106" t="s">
        <v>89</v>
      </c>
      <c r="C7" s="190">
        <v>2120</v>
      </c>
      <c r="D7" s="197">
        <f>C51</f>
        <v>1923</v>
      </c>
      <c r="E7" s="32">
        <f>D51</f>
        <v>526</v>
      </c>
    </row>
    <row r="8" spans="2:5" ht="15.75">
      <c r="B8" s="164" t="s">
        <v>91</v>
      </c>
      <c r="C8" s="165"/>
      <c r="D8" s="165"/>
      <c r="E8" s="111"/>
    </row>
    <row r="9" spans="2:5" ht="15.75">
      <c r="B9" s="106" t="s">
        <v>24</v>
      </c>
      <c r="C9" s="190">
        <v>1715</v>
      </c>
      <c r="D9" s="197">
        <f>inputPrYr!E19</f>
        <v>1718</v>
      </c>
      <c r="E9" s="115" t="s">
        <v>20</v>
      </c>
    </row>
    <row r="10" spans="2:5" ht="15.75">
      <c r="B10" s="106" t="s">
        <v>25</v>
      </c>
      <c r="C10" s="190">
        <v>29</v>
      </c>
      <c r="D10" s="190"/>
      <c r="E10" s="156"/>
    </row>
    <row r="11" spans="2:5" ht="15.75">
      <c r="B11" s="106" t="s">
        <v>26</v>
      </c>
      <c r="C11" s="190">
        <v>125</v>
      </c>
      <c r="D11" s="190">
        <v>172</v>
      </c>
      <c r="E11" s="32">
        <f>mvalloc!D11</f>
        <v>140</v>
      </c>
    </row>
    <row r="12" spans="2:5" ht="15.75">
      <c r="B12" s="106" t="s">
        <v>27</v>
      </c>
      <c r="C12" s="190">
        <v>5</v>
      </c>
      <c r="D12" s="190">
        <v>2</v>
      </c>
      <c r="E12" s="32">
        <f>mvalloc!E11</f>
        <v>5</v>
      </c>
    </row>
    <row r="13" spans="2:5" ht="15.75">
      <c r="B13" s="165" t="s">
        <v>74</v>
      </c>
      <c r="C13" s="190">
        <v>30</v>
      </c>
      <c r="D13" s="190">
        <v>32</v>
      </c>
      <c r="E13" s="32">
        <f>mvalloc!F11</f>
        <v>38</v>
      </c>
    </row>
    <row r="14" spans="2:5" ht="15.75">
      <c r="B14" s="165" t="s">
        <v>104</v>
      </c>
      <c r="C14" s="190"/>
      <c r="D14" s="190"/>
      <c r="E14" s="32">
        <f>inputOth!E30</f>
        <v>0</v>
      </c>
    </row>
    <row r="15" spans="2:5" ht="15.75">
      <c r="B15" s="165" t="s">
        <v>105</v>
      </c>
      <c r="C15" s="190"/>
      <c r="D15" s="190"/>
      <c r="E15" s="32">
        <f>mvalloc!G11</f>
        <v>0</v>
      </c>
    </row>
    <row r="16" spans="2:5" ht="15.75">
      <c r="B16" s="166" t="s">
        <v>28</v>
      </c>
      <c r="C16" s="190"/>
      <c r="D16" s="190"/>
      <c r="E16" s="156"/>
    </row>
    <row r="17" spans="2:5" ht="15.75">
      <c r="B17" s="166"/>
      <c r="C17" s="190"/>
      <c r="D17" s="190"/>
      <c r="E17" s="156"/>
    </row>
    <row r="18" spans="2:5" ht="15.75">
      <c r="B18" s="166" t="s">
        <v>160</v>
      </c>
      <c r="C18" s="190">
        <v>801</v>
      </c>
      <c r="D18" s="190">
        <v>152</v>
      </c>
      <c r="E18" s="156"/>
    </row>
    <row r="19" spans="2:5" ht="15.75">
      <c r="B19" s="166" t="s">
        <v>159</v>
      </c>
      <c r="C19" s="190">
        <v>-152</v>
      </c>
      <c r="D19" s="190"/>
      <c r="E19" s="156"/>
    </row>
    <row r="20" spans="2:5" ht="15.75">
      <c r="B20" s="166"/>
      <c r="C20" s="190"/>
      <c r="D20" s="190"/>
      <c r="E20" s="156"/>
    </row>
    <row r="21" spans="2:5" ht="15.75">
      <c r="B21" s="166"/>
      <c r="C21" s="190"/>
      <c r="D21" s="190"/>
      <c r="E21" s="156"/>
    </row>
    <row r="22" spans="2:5" ht="15.75">
      <c r="B22" s="166"/>
      <c r="C22" s="190"/>
      <c r="D22" s="190"/>
      <c r="E22" s="156"/>
    </row>
    <row r="23" spans="2:5" ht="15.75">
      <c r="B23" s="166"/>
      <c r="C23" s="190"/>
      <c r="D23" s="190"/>
      <c r="E23" s="156"/>
    </row>
    <row r="24" spans="2:5" ht="15.75">
      <c r="B24" s="167"/>
      <c r="C24" s="190"/>
      <c r="D24" s="190"/>
      <c r="E24" s="156"/>
    </row>
    <row r="25" spans="2:5" ht="15.75">
      <c r="B25" s="167" t="s">
        <v>29</v>
      </c>
      <c r="C25" s="190"/>
      <c r="D25" s="190"/>
      <c r="E25" s="156"/>
    </row>
    <row r="26" spans="2:5" ht="15.75">
      <c r="B26" s="168" t="s">
        <v>131</v>
      </c>
      <c r="C26" s="166"/>
      <c r="D26" s="166"/>
      <c r="E26" s="156"/>
    </row>
    <row r="27" spans="2:5" ht="15.75">
      <c r="B27" s="168" t="s">
        <v>145</v>
      </c>
      <c r="C27" s="191">
        <f>IF(C28*0.1&lt;C26,"Exceed 10% Rule","")</f>
      </c>
      <c r="D27" s="191">
        <f>IF(D28*0.1&lt;D26,"Exceed 10% Rule","")</f>
      </c>
      <c r="E27" s="209">
        <f>IF(E28*0.1+E57&lt;E26,"Exceed 10% Rule","")</f>
      </c>
    </row>
    <row r="28" spans="2:5" ht="15.75">
      <c r="B28" s="169" t="s">
        <v>30</v>
      </c>
      <c r="C28" s="192">
        <f>SUM(C9:C26)</f>
        <v>2553</v>
      </c>
      <c r="D28" s="192">
        <f>SUM(D9:D26)</f>
        <v>2076</v>
      </c>
      <c r="E28" s="170">
        <f>SUM(E9:E26)</f>
        <v>183</v>
      </c>
    </row>
    <row r="29" spans="2:5" ht="15.75">
      <c r="B29" s="169" t="s">
        <v>31</v>
      </c>
      <c r="C29" s="192">
        <f>C7+C28</f>
        <v>4673</v>
      </c>
      <c r="D29" s="192">
        <f>D7+D28</f>
        <v>3999</v>
      </c>
      <c r="E29" s="170">
        <f>E7+E28</f>
        <v>709</v>
      </c>
    </row>
    <row r="30" spans="2:5" ht="15.75">
      <c r="B30" s="106" t="s">
        <v>32</v>
      </c>
      <c r="C30" s="110"/>
      <c r="D30" s="110"/>
      <c r="E30" s="23"/>
    </row>
    <row r="31" spans="2:5" ht="15.75">
      <c r="B31" s="166"/>
      <c r="C31" s="190"/>
      <c r="D31" s="190"/>
      <c r="E31" s="156"/>
    </row>
    <row r="32" spans="2:5" ht="15.75">
      <c r="B32" s="166" t="s">
        <v>161</v>
      </c>
      <c r="C32" s="190">
        <v>2500</v>
      </c>
      <c r="D32" s="190">
        <v>2500</v>
      </c>
      <c r="E32" s="156">
        <v>2349</v>
      </c>
    </row>
    <row r="33" spans="2:5" ht="15.75">
      <c r="B33" s="166" t="s">
        <v>162</v>
      </c>
      <c r="C33" s="190">
        <v>250</v>
      </c>
      <c r="D33" s="190">
        <v>500</v>
      </c>
      <c r="E33" s="156"/>
    </row>
    <row r="34" spans="2:5" ht="15.75">
      <c r="B34" s="166" t="s">
        <v>163</v>
      </c>
      <c r="C34" s="190"/>
      <c r="D34" s="190">
        <v>73</v>
      </c>
      <c r="E34" s="156">
        <v>78</v>
      </c>
    </row>
    <row r="35" spans="2:5" ht="15.75">
      <c r="B35" s="166"/>
      <c r="C35" s="190"/>
      <c r="D35" s="190"/>
      <c r="E35" s="156"/>
    </row>
    <row r="36" spans="2:5" ht="15.75">
      <c r="B36" s="166" t="s">
        <v>164</v>
      </c>
      <c r="C36" s="190"/>
      <c r="D36" s="190">
        <v>400</v>
      </c>
      <c r="E36" s="156"/>
    </row>
    <row r="37" spans="2:5" ht="15.75">
      <c r="B37" s="166"/>
      <c r="C37" s="190"/>
      <c r="D37" s="190"/>
      <c r="E37" s="156"/>
    </row>
    <row r="38" spans="2:5" ht="15.75">
      <c r="B38" s="166"/>
      <c r="C38" s="190"/>
      <c r="D38" s="190"/>
      <c r="E38" s="156"/>
    </row>
    <row r="39" spans="2:5" ht="15.75">
      <c r="B39" s="166"/>
      <c r="C39" s="190"/>
      <c r="D39" s="190"/>
      <c r="E39" s="156"/>
    </row>
    <row r="40" spans="2:5" ht="15.75">
      <c r="B40" s="166"/>
      <c r="C40" s="190"/>
      <c r="D40" s="190"/>
      <c r="E40" s="156"/>
    </row>
    <row r="41" spans="2:5" ht="15.75">
      <c r="B41" s="166"/>
      <c r="C41" s="190"/>
      <c r="D41" s="190"/>
      <c r="E41" s="156"/>
    </row>
    <row r="42" spans="2:5" ht="15.75">
      <c r="B42" s="166"/>
      <c r="C42" s="190"/>
      <c r="D42" s="190"/>
      <c r="E42" s="156"/>
    </row>
    <row r="43" spans="2:10" ht="15.75">
      <c r="B43" s="166"/>
      <c r="C43" s="190"/>
      <c r="D43" s="190"/>
      <c r="E43" s="156"/>
      <c r="G43" s="297" t="str">
        <f>CONCATENATE("Projected Carryover Into ",F3+1,"")</f>
        <v>Projected Carryover Into 2013</v>
      </c>
      <c r="H43" s="298"/>
      <c r="I43" s="298"/>
      <c r="J43" s="299"/>
    </row>
    <row r="44" spans="2:10" ht="15.75">
      <c r="B44" s="166"/>
      <c r="C44" s="190"/>
      <c r="D44" s="190"/>
      <c r="E44" s="156"/>
      <c r="G44" s="252"/>
      <c r="H44" s="241"/>
      <c r="I44" s="241"/>
      <c r="J44" s="240"/>
    </row>
    <row r="45" spans="2:10" ht="15.75">
      <c r="B45" s="166"/>
      <c r="C45" s="190"/>
      <c r="D45" s="190"/>
      <c r="E45" s="156"/>
      <c r="G45" s="246">
        <f>D51</f>
        <v>526</v>
      </c>
      <c r="H45" s="245" t="str">
        <f>CONCATENATE("",F3-1," Ending Cash Balance (est.)")</f>
        <v>2011 Ending Cash Balance (est.)</v>
      </c>
      <c r="I45" s="239"/>
      <c r="J45" s="240"/>
    </row>
    <row r="46" spans="2:10" ht="15.75">
      <c r="B46" s="166"/>
      <c r="C46" s="190"/>
      <c r="D46" s="190"/>
      <c r="E46" s="156"/>
      <c r="G46" s="246">
        <f>E28</f>
        <v>183</v>
      </c>
      <c r="H46" s="239" t="str">
        <f>CONCATENATE("",F3," Non-AV Receipts (est.)")</f>
        <v>2012 Non-AV Receipts (est.)</v>
      </c>
      <c r="I46" s="239"/>
      <c r="J46" s="240"/>
    </row>
    <row r="47" spans="2:10" ht="15.75">
      <c r="B47" s="110" t="s">
        <v>132</v>
      </c>
      <c r="C47" s="190"/>
      <c r="D47" s="190"/>
      <c r="E47" s="157">
        <v>0</v>
      </c>
      <c r="G47" s="238">
        <f>E57</f>
        <v>1718</v>
      </c>
      <c r="H47" s="239" t="str">
        <f>CONCATENATE("",F3," Ad Valorem Tax (est.)")</f>
        <v>2012 Ad Valorem Tax (est.)</v>
      </c>
      <c r="I47" s="239"/>
      <c r="J47" s="240"/>
    </row>
    <row r="48" spans="2:10" ht="15.75">
      <c r="B48" s="110" t="s">
        <v>131</v>
      </c>
      <c r="C48" s="190"/>
      <c r="D48" s="190"/>
      <c r="E48" s="22"/>
      <c r="G48" s="246">
        <f>SUM(G45:G47)</f>
        <v>2427</v>
      </c>
      <c r="H48" s="239" t="str">
        <f>CONCATENATE("Total ",E4," Resources Available")</f>
        <v>Total  Resources Available</v>
      </c>
      <c r="I48" s="239"/>
      <c r="J48" s="240"/>
    </row>
    <row r="49" spans="2:10" ht="15.75">
      <c r="B49" s="110" t="s">
        <v>144</v>
      </c>
      <c r="C49" s="191">
        <f>IF(C50*0.1&lt;C48,"Exceed 10% Rule","")</f>
      </c>
      <c r="D49" s="191">
        <f>IF(D50*0.1&lt;D48,"Exceed 10% Rule","")</f>
      </c>
      <c r="E49" s="209">
        <f>IF(E50*0.1&lt;E48,"Exceed 10% Rule","")</f>
      </c>
      <c r="G49" s="237"/>
      <c r="H49" s="239"/>
      <c r="I49" s="239"/>
      <c r="J49" s="240"/>
    </row>
    <row r="50" spans="2:10" ht="15.75">
      <c r="B50" s="169" t="s">
        <v>33</v>
      </c>
      <c r="C50" s="192">
        <f>SUM(C31:C48)</f>
        <v>2750</v>
      </c>
      <c r="D50" s="192">
        <f>SUM(D31:D48)</f>
        <v>3473</v>
      </c>
      <c r="E50" s="170">
        <f>SUM(E31:E48)</f>
        <v>2427</v>
      </c>
      <c r="G50" s="238">
        <f>C50*0.05+C50</f>
        <v>2887.5</v>
      </c>
      <c r="H50" s="239" t="str">
        <f>CONCATENATE("Less ",F3-2," Expenditures + 5%")</f>
        <v>Less 2010 Expenditures + 5%</v>
      </c>
      <c r="I50" s="239"/>
      <c r="J50" s="240"/>
    </row>
    <row r="51" spans="2:10" ht="15.75">
      <c r="B51" s="106" t="s">
        <v>90</v>
      </c>
      <c r="C51" s="193">
        <f>C29-C50</f>
        <v>1923</v>
      </c>
      <c r="D51" s="193">
        <f>D29-D50</f>
        <v>526</v>
      </c>
      <c r="E51" s="115" t="s">
        <v>20</v>
      </c>
      <c r="G51" s="236">
        <f>G48-G50</f>
        <v>-460.5</v>
      </c>
      <c r="H51" s="235" t="str">
        <f>CONCATENATE("Projected ",F3+1," Carryover (est.)")</f>
        <v>Projected 2013 Carryover (est.)</v>
      </c>
      <c r="I51" s="221"/>
      <c r="J51" s="234"/>
    </row>
    <row r="52" spans="2:10" ht="15.75">
      <c r="B52" s="125" t="str">
        <f>CONCATENATE("",F3-2,"/",F3-1," Budget Authority Amount:")</f>
        <v>2010/2011 Budget Authority Amount:</v>
      </c>
      <c r="C52" s="107">
        <f>inputOth!B42</f>
        <v>3573</v>
      </c>
      <c r="D52" s="210">
        <f>inputPrYr!D19</f>
        <v>3473</v>
      </c>
      <c r="E52" s="115" t="s">
        <v>20</v>
      </c>
      <c r="F52" s="171"/>
      <c r="G52" s="1"/>
      <c r="H52" s="1"/>
      <c r="I52" s="1"/>
      <c r="J52" s="1"/>
    </row>
    <row r="53" spans="2:10" ht="15.75">
      <c r="B53" s="125"/>
      <c r="C53" s="293" t="s">
        <v>149</v>
      </c>
      <c r="D53" s="294"/>
      <c r="E53" s="22"/>
      <c r="F53" s="171">
        <f>IF(E50/0.95-E50&lt;E53,"Exceeds 5%","")</f>
      </c>
      <c r="G53" s="233">
        <f>IF(inputOth!E7=0,"",ROUND(gen!E57/inputOth!E7*1000,3))</f>
        <v>2.114</v>
      </c>
      <c r="H53" s="232" t="str">
        <f>CONCATENATE("Projected ",F3-1," Mill Rate (est.)")</f>
        <v>Projected 2011 Mill Rate (est.)</v>
      </c>
      <c r="I53" s="231"/>
      <c r="J53" s="230"/>
    </row>
    <row r="54" spans="2:10" ht="15.75">
      <c r="B54" s="208" t="str">
        <f>CONCATENATE(C70,"     ",D70)</f>
        <v>     </v>
      </c>
      <c r="C54" s="295" t="s">
        <v>150</v>
      </c>
      <c r="D54" s="296"/>
      <c r="E54" s="32">
        <f>E50+E53</f>
        <v>2427</v>
      </c>
      <c r="G54" s="229"/>
      <c r="H54" s="229"/>
      <c r="I54" s="229"/>
      <c r="J54" s="229"/>
    </row>
    <row r="55" spans="2:10" ht="15.75">
      <c r="B55" s="208" t="str">
        <f>CONCATENATE(C71,"     ",D71)</f>
        <v>     </v>
      </c>
      <c r="C55" s="251"/>
      <c r="D55" s="250" t="s">
        <v>151</v>
      </c>
      <c r="E55" s="29">
        <f>IF(E54-E29&gt;0,E54-E29,0)</f>
        <v>1718</v>
      </c>
      <c r="G55" s="297" t="str">
        <f>CONCATENATE("Desired Carryover Into ",F3+1,"")</f>
        <v>Desired Carryover Into 2013</v>
      </c>
      <c r="H55" s="300"/>
      <c r="I55" s="300"/>
      <c r="J55" s="299"/>
    </row>
    <row r="56" spans="2:10" ht="15.75">
      <c r="B56" s="145"/>
      <c r="C56" s="248" t="s">
        <v>152</v>
      </c>
      <c r="D56" s="249">
        <f>inputOth!$E$36</f>
        <v>0</v>
      </c>
      <c r="E56" s="32">
        <f>ROUND(IF(D56&gt;0,(E55*D56),0),0)</f>
        <v>0</v>
      </c>
      <c r="G56" s="228"/>
      <c r="H56" s="241"/>
      <c r="I56" s="239"/>
      <c r="J56" s="227"/>
    </row>
    <row r="57" spans="2:10" ht="15.75">
      <c r="B57" s="3"/>
      <c r="C57" s="291" t="str">
        <f>CONCATENATE("Amount of  ",$F$3-1," Ad Valorem Tax")</f>
        <v>Amount of  2011 Ad Valorem Tax</v>
      </c>
      <c r="D57" s="292"/>
      <c r="E57" s="29">
        <f>E55+E56</f>
        <v>1718</v>
      </c>
      <c r="G57" s="226" t="s">
        <v>154</v>
      </c>
      <c r="H57" s="239"/>
      <c r="I57" s="239"/>
      <c r="J57" s="225"/>
    </row>
    <row r="58" spans="2:10" ht="15.75">
      <c r="B58" s="3"/>
      <c r="C58" s="3"/>
      <c r="D58" s="3"/>
      <c r="E58" s="3"/>
      <c r="G58" s="228" t="s">
        <v>155</v>
      </c>
      <c r="H58" s="241"/>
      <c r="I58" s="241"/>
      <c r="J58" s="224">
        <f>IF(gen!J57=0,"",ROUND((J57+E57-G51)/inputOth!E7*1000,3)-G53)</f>
      </c>
    </row>
    <row r="59" spans="2:10" ht="15.75">
      <c r="B59" s="3"/>
      <c r="C59" s="3"/>
      <c r="D59" s="3"/>
      <c r="E59" s="3"/>
      <c r="G59" s="223" t="str">
        <f>CONCATENATE("",F3," Total Expenditures Must Be:")</f>
        <v>2012 Total Expenditures Must Be:</v>
      </c>
      <c r="H59" s="222"/>
      <c r="I59" s="221"/>
      <c r="J59" s="220">
        <f>IF((J57&gt;0),(E50+J57-G51),0)</f>
        <v>0</v>
      </c>
    </row>
    <row r="60" spans="2:5" ht="15.75">
      <c r="B60" s="3"/>
      <c r="C60" s="3"/>
      <c r="D60" s="3"/>
      <c r="E60" s="3"/>
    </row>
    <row r="61" spans="2:5" ht="15.75">
      <c r="B61" s="3"/>
      <c r="C61" s="3"/>
      <c r="D61" s="3"/>
      <c r="E61" s="3"/>
    </row>
    <row r="62" spans="2:5" ht="15.75">
      <c r="B62" s="3"/>
      <c r="C62" s="160"/>
      <c r="D62" s="160"/>
      <c r="E62" s="160"/>
    </row>
    <row r="63" spans="2:5" ht="15.75">
      <c r="B63" s="125"/>
      <c r="C63" s="3" t="s">
        <v>157</v>
      </c>
      <c r="D63" s="3"/>
      <c r="E63" s="3"/>
    </row>
    <row r="65" ht="15.75">
      <c r="B65" s="48"/>
    </row>
    <row r="70" spans="3:4" ht="15.75" hidden="1">
      <c r="C70" s="83">
        <f>IF(C50&gt;C52,"See Tab A","")</f>
      </c>
      <c r="D70" s="83">
        <f>IF(D50&gt;D52,"See Tab C","")</f>
      </c>
    </row>
    <row r="71" spans="3:4" ht="15.75" hidden="1">
      <c r="C71" s="83">
        <f>IF(C51&lt;0,"See Tab B","")</f>
      </c>
      <c r="D71" s="83">
        <f>IF(D51&lt;0,"See Tab D","")</f>
      </c>
    </row>
  </sheetData>
  <sheetProtection/>
  <mergeCells count="5">
    <mergeCell ref="C57:D57"/>
    <mergeCell ref="C53:D53"/>
    <mergeCell ref="C54:D54"/>
    <mergeCell ref="G43:J43"/>
    <mergeCell ref="G55:J55"/>
  </mergeCells>
  <conditionalFormatting sqref="E53">
    <cfRule type="cellIs" priority="2" dxfId="11" operator="greaterThan" stopIfTrue="1">
      <formula>$E$50/0.95-$E$50</formula>
    </cfRule>
  </conditionalFormatting>
  <conditionalFormatting sqref="C48">
    <cfRule type="cellIs" priority="3" dxfId="11" operator="greaterThan" stopIfTrue="1">
      <formula>$C$50*0.1</formula>
    </cfRule>
  </conditionalFormatting>
  <conditionalFormatting sqref="D48">
    <cfRule type="cellIs" priority="4" dxfId="11" operator="greaterThan" stopIfTrue="1">
      <formula>$D$50*0.1</formula>
    </cfRule>
  </conditionalFormatting>
  <conditionalFormatting sqref="E48">
    <cfRule type="cellIs" priority="5" dxfId="11" operator="greaterThan" stopIfTrue="1">
      <formula>$E$50*0.1</formula>
    </cfRule>
  </conditionalFormatting>
  <conditionalFormatting sqref="C26">
    <cfRule type="cellIs" priority="6" dxfId="11" operator="greaterThan" stopIfTrue="1">
      <formula>$C$28*0.1</formula>
    </cfRule>
  </conditionalFormatting>
  <conditionalFormatting sqref="D26">
    <cfRule type="cellIs" priority="7" dxfId="11" operator="greaterThan" stopIfTrue="1">
      <formula>$D$28*0.1</formula>
    </cfRule>
  </conditionalFormatting>
  <conditionalFormatting sqref="C51">
    <cfRule type="cellIs" priority="8" dxfId="11" operator="lessThan" stopIfTrue="1">
      <formula>0</formula>
    </cfRule>
  </conditionalFormatting>
  <conditionalFormatting sqref="E26">
    <cfRule type="cellIs" priority="11" dxfId="11" operator="greaterThan" stopIfTrue="1">
      <formula>$E$28*0.1+$E$57</formula>
    </cfRule>
  </conditionalFormatting>
  <conditionalFormatting sqref="D51">
    <cfRule type="cellIs" priority="1" dxfId="2" operator="lessThan" stopIfTrue="1">
      <formula>0</formula>
    </cfRule>
  </conditionalFormatting>
  <conditionalFormatting sqref="D50">
    <cfRule type="cellIs" priority="20" dxfId="0" operator="greaterThan" stopIfTrue="1">
      <formula>$D$52</formula>
    </cfRule>
  </conditionalFormatting>
  <conditionalFormatting sqref="C50">
    <cfRule type="cellIs" priority="28" dxfId="11" operator="greaterThan" stopIfTrue="1">
      <formula>$C$52</formula>
    </cfRule>
  </conditionalFormatting>
  <printOptions/>
  <pageMargins left="1" right="1" top="0.5" bottom="0.5" header="0.5" footer="0.5"/>
  <pageSetup blackAndWhite="1" fitToHeight="1" fitToWidth="1" horizontalDpi="120" verticalDpi="120" orientation="portrait" scale="74" r:id="rId1"/>
  <headerFooter alignWithMargins="0">
    <oddHeader>&amp;RState of Kansas
Special District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5">
      <selection activeCell="B27" sqref="B27"/>
    </sheetView>
  </sheetViews>
  <sheetFormatPr defaultColWidth="8.796875" defaultRowHeight="15"/>
  <cols>
    <col min="1" max="1" width="15.796875" style="83" customWidth="1"/>
    <col min="2" max="2" width="12.796875" style="83" customWidth="1"/>
    <col min="3" max="3" width="8.796875" style="83" customWidth="1"/>
    <col min="4" max="4" width="12.796875" style="83" customWidth="1"/>
    <col min="5" max="5" width="9.19921875" style="83" customWidth="1"/>
    <col min="6" max="6" width="12.796875" style="83" customWidth="1"/>
    <col min="7" max="7" width="10.796875" style="83" customWidth="1"/>
    <col min="8" max="8" width="8.796875" style="83" customWidth="1"/>
    <col min="9" max="9" width="8.8984375" style="83" customWidth="1"/>
    <col min="10" max="10" width="12.3984375" style="83" customWidth="1"/>
    <col min="11" max="11" width="12.296875" style="83" customWidth="1"/>
    <col min="12" max="12" width="5.796875" style="83" customWidth="1"/>
    <col min="13" max="13" width="12" style="83" customWidth="1"/>
    <col min="14" max="16384" width="8.8984375" style="83" customWidth="1"/>
  </cols>
  <sheetData>
    <row r="1" spans="1:8" ht="15.75">
      <c r="A1" s="259" t="s">
        <v>50</v>
      </c>
      <c r="B1" s="259"/>
      <c r="C1" s="259"/>
      <c r="D1" s="259"/>
      <c r="E1" s="259"/>
      <c r="F1" s="259"/>
      <c r="G1" s="259"/>
      <c r="H1" s="301"/>
    </row>
    <row r="2" spans="1:8" ht="15.75">
      <c r="A2" s="3"/>
      <c r="B2" s="3"/>
      <c r="C2" s="3"/>
      <c r="D2" s="3"/>
      <c r="E2" s="3"/>
      <c r="F2" s="3"/>
      <c r="G2" s="3"/>
      <c r="H2" s="3"/>
    </row>
    <row r="3" spans="1:9" ht="15.75">
      <c r="A3" s="285" t="s">
        <v>75</v>
      </c>
      <c r="B3" s="285"/>
      <c r="C3" s="285"/>
      <c r="D3" s="285"/>
      <c r="E3" s="285"/>
      <c r="F3" s="285"/>
      <c r="G3" s="285"/>
      <c r="H3" s="285"/>
      <c r="I3" s="39">
        <f>inputPrYr!D6</f>
        <v>2012</v>
      </c>
    </row>
    <row r="4" spans="1:8" ht="15.75">
      <c r="A4" s="257" t="str">
        <f>inputPrYr!D3</f>
        <v>PAINTERHOOD CEMETERY</v>
      </c>
      <c r="B4" s="257"/>
      <c r="C4" s="257"/>
      <c r="D4" s="257"/>
      <c r="E4" s="257"/>
      <c r="F4" s="257"/>
      <c r="G4" s="257"/>
      <c r="H4" s="257"/>
    </row>
    <row r="5" spans="1:8" ht="15.75">
      <c r="A5" s="304" t="str">
        <f>inputPrYr!D4</f>
        <v>ELK COUNTY</v>
      </c>
      <c r="B5" s="304"/>
      <c r="C5" s="304"/>
      <c r="D5" s="304"/>
      <c r="E5" s="304"/>
      <c r="F5" s="304"/>
      <c r="G5" s="304"/>
      <c r="H5" s="304"/>
    </row>
    <row r="6" spans="1:8" ht="15.75">
      <c r="A6" s="305" t="e">
        <f>CONCATENATE("will meet on ",#REF!," at ",#REF!," at ",#REF!," for the purpose of hearing and")</f>
        <v>#REF!</v>
      </c>
      <c r="B6" s="305"/>
      <c r="C6" s="305"/>
      <c r="D6" s="305"/>
      <c r="E6" s="305"/>
      <c r="F6" s="305"/>
      <c r="G6" s="305"/>
      <c r="H6" s="305"/>
    </row>
    <row r="7" spans="1:8" ht="15.75">
      <c r="A7" s="85" t="s">
        <v>142</v>
      </c>
      <c r="B7" s="11"/>
      <c r="C7" s="11"/>
      <c r="D7" s="11"/>
      <c r="E7" s="11"/>
      <c r="F7" s="11"/>
      <c r="G7" s="11"/>
      <c r="H7" s="11"/>
    </row>
    <row r="8" spans="1:8" ht="15.75">
      <c r="A8" s="187" t="e">
        <f>CONCATENATE("Detailed budget information is available at ",#REF!," and will be available at this hearing.")</f>
        <v>#REF!</v>
      </c>
      <c r="B8" s="188"/>
      <c r="C8" s="188"/>
      <c r="D8" s="188"/>
      <c r="E8" s="188"/>
      <c r="F8" s="188"/>
      <c r="G8" s="11"/>
      <c r="H8" s="11"/>
    </row>
    <row r="9" spans="1:8" ht="15.75">
      <c r="A9" s="10" t="s">
        <v>51</v>
      </c>
      <c r="B9" s="11"/>
      <c r="C9" s="11"/>
      <c r="D9" s="11"/>
      <c r="E9" s="11"/>
      <c r="F9" s="11"/>
      <c r="G9" s="11"/>
      <c r="H9" s="11"/>
    </row>
    <row r="10" spans="1:8" ht="15.75">
      <c r="A10" s="85" t="str">
        <f>CONCATENATE("Proposed Budget ",I3," Expenditures and Amount of ",I3-1," Ad Valorem Tax establish the maximum limits")</f>
        <v>Proposed Budget 2012 Expenditures and Amount of 2011 Ad Valorem Tax establish the maximum limits</v>
      </c>
      <c r="B10" s="11"/>
      <c r="C10" s="11"/>
      <c r="D10" s="11"/>
      <c r="E10" s="11"/>
      <c r="F10" s="11"/>
      <c r="G10" s="11"/>
      <c r="H10" s="11"/>
    </row>
    <row r="11" spans="1:8" ht="15.75">
      <c r="A11" s="85" t="str">
        <f>CONCATENATE("of the ",I3," budget.  Estimated Tax Rate is subject to change depending on the final assessed valuation.")</f>
        <v>of the 2012 budget.  Estimated Tax Rate is subject to change depending on the final assessed valuation.</v>
      </c>
      <c r="B11" s="11"/>
      <c r="C11" s="11"/>
      <c r="D11" s="11"/>
      <c r="E11" s="11"/>
      <c r="F11" s="11"/>
      <c r="G11" s="11"/>
      <c r="H11" s="11"/>
    </row>
    <row r="12" spans="1:8" ht="15.75">
      <c r="A12" s="3"/>
      <c r="B12" s="86"/>
      <c r="C12" s="86"/>
      <c r="D12" s="86"/>
      <c r="E12" s="86"/>
      <c r="F12" s="86"/>
      <c r="G12" s="86"/>
      <c r="H12" s="86"/>
    </row>
    <row r="13" spans="1:8" ht="15.75">
      <c r="A13" s="158"/>
      <c r="B13" s="176" t="str">
        <f>CONCATENATE("Prior Year Actual ",I3-2,"")</f>
        <v>Prior Year Actual 2010</v>
      </c>
      <c r="C13" s="177"/>
      <c r="D13" s="178" t="str">
        <f>CONCATENATE("Current Year Estimate for ",I3-1,"")</f>
        <v>Current Year Estimate for 2011</v>
      </c>
      <c r="E13" s="177"/>
      <c r="F13" s="176" t="str">
        <f>CONCATENATE("Proposed Budget Year for ",I3,"")</f>
        <v>Proposed Budget Year for 2012</v>
      </c>
      <c r="G13" s="179"/>
      <c r="H13" s="177"/>
    </row>
    <row r="14" spans="1:8" ht="15.75">
      <c r="A14" s="159"/>
      <c r="B14" s="92"/>
      <c r="C14" s="180" t="s">
        <v>41</v>
      </c>
      <c r="D14" s="92"/>
      <c r="E14" s="180" t="s">
        <v>41</v>
      </c>
      <c r="F14" s="159" t="s">
        <v>128</v>
      </c>
      <c r="G14" s="302" t="str">
        <f>CONCATENATE("Amount of ",I3-1," Ad Valorem Tax")</f>
        <v>Amount of 2011 Ad Valorem Tax</v>
      </c>
      <c r="H14" s="180" t="s">
        <v>148</v>
      </c>
    </row>
    <row r="15" spans="1:8" ht="15.75">
      <c r="A15" s="154" t="s">
        <v>42</v>
      </c>
      <c r="B15" s="101" t="s">
        <v>43</v>
      </c>
      <c r="C15" s="181" t="s">
        <v>115</v>
      </c>
      <c r="D15" s="101" t="s">
        <v>43</v>
      </c>
      <c r="E15" s="181" t="s">
        <v>115</v>
      </c>
      <c r="F15" s="101" t="s">
        <v>143</v>
      </c>
      <c r="G15" s="303"/>
      <c r="H15" s="181" t="s">
        <v>115</v>
      </c>
    </row>
    <row r="16" spans="1:8" ht="15.75">
      <c r="A16" s="23" t="str">
        <f>inputPrYr!B19</f>
        <v>General</v>
      </c>
      <c r="B16" s="111">
        <f>IF(gen!$C$50&lt;&gt;0,gen!$C$50,"  ")</f>
        <v>2750</v>
      </c>
      <c r="C16" s="109">
        <f>IF(inputPrYr!D38&gt;0,inputPrYr!D38,"  ")</f>
        <v>2.065</v>
      </c>
      <c r="D16" s="111">
        <f>IF(gen!$D$50&lt;&gt;0,gen!$D$50,"  ")</f>
        <v>3473</v>
      </c>
      <c r="E16" s="109">
        <f>IF(inputOth!D16&gt;0,inputOth!D16,"  ")</f>
        <v>2.125</v>
      </c>
      <c r="F16" s="111">
        <f>IF(gen!$E$50&lt;&gt;0,gen!$E$50,"  ")</f>
        <v>2427</v>
      </c>
      <c r="G16" s="111">
        <f>IF(gen!$E$57&lt;&gt;0,gen!$E$57,"  ")</f>
        <v>1718</v>
      </c>
      <c r="H16" s="109">
        <f>IF(gen!E57&gt;0,ROUND(G16/$F$21*1000,3)," ")</f>
        <v>2.114</v>
      </c>
    </row>
    <row r="17" spans="1:8" ht="15.75">
      <c r="A17" s="20" t="s">
        <v>93</v>
      </c>
      <c r="B17" s="185">
        <f aca="true" t="shared" si="0" ref="B17:H17">SUM(B16:B16)</f>
        <v>2750</v>
      </c>
      <c r="C17" s="243">
        <f t="shared" si="0"/>
        <v>2.065</v>
      </c>
      <c r="D17" s="185">
        <f t="shared" si="0"/>
        <v>3473</v>
      </c>
      <c r="E17" s="243">
        <f t="shared" si="0"/>
        <v>2.125</v>
      </c>
      <c r="F17" s="185">
        <f t="shared" si="0"/>
        <v>2427</v>
      </c>
      <c r="G17" s="185">
        <f t="shared" si="0"/>
        <v>1718</v>
      </c>
      <c r="H17" s="243">
        <f t="shared" si="0"/>
        <v>2.114</v>
      </c>
    </row>
    <row r="18" spans="1:8" ht="15.75">
      <c r="A18" s="20" t="s">
        <v>106</v>
      </c>
      <c r="B18" s="157">
        <v>0</v>
      </c>
      <c r="C18" s="113"/>
      <c r="D18" s="157">
        <v>0</v>
      </c>
      <c r="E18" s="113"/>
      <c r="F18" s="182">
        <v>0</v>
      </c>
      <c r="G18" s="172"/>
      <c r="H18" s="183"/>
    </row>
    <row r="19" spans="1:8" ht="16.5" thickBot="1">
      <c r="A19" s="20" t="s">
        <v>107</v>
      </c>
      <c r="B19" s="116">
        <f>SUM(B17-B18)</f>
        <v>2750</v>
      </c>
      <c r="C19" s="184"/>
      <c r="D19" s="116">
        <f>SUM(D17-D18)</f>
        <v>3473</v>
      </c>
      <c r="E19" s="184"/>
      <c r="F19" s="242">
        <f>SUM(F17-F18)</f>
        <v>2427</v>
      </c>
      <c r="G19" s="172"/>
      <c r="H19" s="183"/>
    </row>
    <row r="20" spans="1:8" ht="16.5" thickTop="1">
      <c r="A20" s="20" t="s">
        <v>44</v>
      </c>
      <c r="B20" s="185">
        <f>inputPrYr!E44</f>
        <v>1739</v>
      </c>
      <c r="C20" s="159"/>
      <c r="D20" s="185">
        <f>inputPrYr!E24</f>
        <v>1718</v>
      </c>
      <c r="E20" s="159"/>
      <c r="F20" s="186" t="s">
        <v>112</v>
      </c>
      <c r="G20" s="3"/>
      <c r="H20" s="3"/>
    </row>
    <row r="21" spans="1:8" ht="15.75">
      <c r="A21" s="20" t="s">
        <v>108</v>
      </c>
      <c r="B21" s="157">
        <f>inputPrYr!E45</f>
        <v>842284</v>
      </c>
      <c r="C21" s="159"/>
      <c r="D21" s="157">
        <f>inputOth!E24</f>
        <v>808418</v>
      </c>
      <c r="E21" s="159"/>
      <c r="F21" s="157">
        <f>inputOth!E7</f>
        <v>812556</v>
      </c>
      <c r="G21" s="3"/>
      <c r="H21" s="3"/>
    </row>
    <row r="22" spans="1:8" ht="15.75">
      <c r="A22" s="173" t="s">
        <v>45</v>
      </c>
      <c r="B22" s="3"/>
      <c r="C22" s="3"/>
      <c r="D22" s="3"/>
      <c r="E22" s="160"/>
      <c r="F22" s="160"/>
      <c r="G22" s="3"/>
      <c r="H22" s="39"/>
    </row>
    <row r="23" spans="1:8" ht="15.75">
      <c r="A23" s="279" t="s">
        <v>165</v>
      </c>
      <c r="B23" s="280"/>
      <c r="C23" s="86"/>
      <c r="D23" s="3"/>
      <c r="E23" s="3"/>
      <c r="F23" s="3"/>
      <c r="G23" s="3"/>
      <c r="H23" s="39"/>
    </row>
    <row r="24" spans="1:8" ht="15.75">
      <c r="A24" s="175" t="s">
        <v>166</v>
      </c>
      <c r="B24" s="11"/>
      <c r="C24" s="3"/>
      <c r="D24" s="125" t="s">
        <v>34</v>
      </c>
      <c r="E24" s="244">
        <v>5</v>
      </c>
      <c r="F24" s="3"/>
      <c r="G24" s="3"/>
      <c r="H24" s="39"/>
    </row>
    <row r="26" spans="1:8" ht="15.75">
      <c r="A26" s="1"/>
      <c r="B26" s="1"/>
      <c r="C26" s="1"/>
      <c r="D26" s="1"/>
      <c r="E26" s="1"/>
      <c r="F26" s="1"/>
      <c r="G26" s="1"/>
      <c r="H26" s="1"/>
    </row>
    <row r="28" spans="1:8" ht="15.75">
      <c r="A28" s="1"/>
      <c r="B28" s="1"/>
      <c r="C28" s="1"/>
      <c r="D28" s="1"/>
      <c r="E28" s="1"/>
      <c r="F28" s="1"/>
      <c r="G28" s="1"/>
      <c r="H28" s="1"/>
    </row>
    <row r="29" spans="1:8" ht="15.75">
      <c r="A29" s="1"/>
      <c r="B29" s="1"/>
      <c r="C29" s="1"/>
      <c r="D29" s="1"/>
      <c r="E29" s="1"/>
      <c r="F29" s="1"/>
      <c r="G29" s="1"/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</sheetData>
  <sheetProtection/>
  <mergeCells count="7">
    <mergeCell ref="A23:B23"/>
    <mergeCell ref="A1:H1"/>
    <mergeCell ref="G14:G15"/>
    <mergeCell ref="A3:H3"/>
    <mergeCell ref="A4:H4"/>
    <mergeCell ref="A5:H5"/>
    <mergeCell ref="A6:H6"/>
  </mergeCells>
  <printOptions/>
  <pageMargins left="1" right="1" top="0.5" bottom="0.5" header="0.5" footer="0.5"/>
  <pageSetup blackAndWhite="1" fitToHeight="1" fitToWidth="1" horizontalDpi="120" verticalDpi="120" orientation="portrait" scale="64" r:id="rId1"/>
  <headerFooter alignWithMargins="0">
    <oddHeader>&amp;RState of Kansas
Special District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district</dc:title>
  <dc:subject/>
  <dc:creator>Valued Customer of</dc:creator>
  <cp:keywords/>
  <dc:description/>
  <cp:lastModifiedBy>dkaminska</cp:lastModifiedBy>
  <cp:lastPrinted>2011-08-11T21:09:05Z</cp:lastPrinted>
  <dcterms:created xsi:type="dcterms:W3CDTF">1999-08-06T13:59:57Z</dcterms:created>
  <dcterms:modified xsi:type="dcterms:W3CDTF">2012-02-15T14:52:58Z</dcterms:modified>
  <cp:category/>
  <cp:version/>
  <cp:contentType/>
  <cp:contentStatus/>
</cp:coreProperties>
</file>