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9630" windowHeight="2715" tabRatio="869" activeTab="4"/>
  </bookViews>
  <sheets>
    <sheet name="inputPrYr" sheetId="2" r:id="rId1"/>
    <sheet name="inputOth" sheetId="14" r:id="rId2"/>
    <sheet name="inputBudSum" sheetId="25" r:id="rId3"/>
    <sheet name="SignCert" sheetId="26" r:id="rId4"/>
    <sheet name="PubNotice" sheetId="27" r:id="rId5"/>
    <sheet name="cert" sheetId="3" r:id="rId6"/>
    <sheet name="gen" sheetId="4" r:id="rId7"/>
    <sheet name="computation" sheetId="10" r:id="rId8"/>
    <sheet name="mvalloc" sheetId="7" r:id="rId9"/>
    <sheet name="summ" sheetId="8" r:id="rId10"/>
    <sheet name="Resolution" sheetId="12" r:id="rId11"/>
    <sheet name="Tab A" sheetId="20" r:id="rId12"/>
    <sheet name="Tab B" sheetId="21" r:id="rId13"/>
    <sheet name="Tab C" sheetId="22" r:id="rId14"/>
    <sheet name="Tab D" sheetId="23" r:id="rId15"/>
    <sheet name="Tab E" sheetId="24" r:id="rId16"/>
    <sheet name="legend" sheetId="11" r:id="rId17"/>
  </sheets>
  <externalReferences>
    <externalReference r:id="rId18"/>
  </externalReferences>
  <definedNames>
    <definedName name="_xlnm.Print_Area" localSheetId="0">inputPrYr!$A$1:$E$46</definedName>
  </definedNames>
  <calcPr calcId="124519"/>
</workbook>
</file>

<file path=xl/calcChain.xml><?xml version="1.0" encoding="utf-8"?>
<calcChain xmlns="http://schemas.openxmlformats.org/spreadsheetml/2006/main">
  <c r="J59" i="4"/>
  <c r="J58"/>
  <c r="D56"/>
  <c r="E56" s="1"/>
  <c r="B55"/>
  <c r="B54"/>
  <c r="G53"/>
  <c r="D52"/>
  <c r="C52"/>
  <c r="G50"/>
  <c r="E50"/>
  <c r="E54" s="1"/>
  <c r="D50"/>
  <c r="D49" s="1"/>
  <c r="C50"/>
  <c r="E49"/>
  <c r="C49"/>
  <c r="H48"/>
  <c r="C29"/>
  <c r="C51" s="1"/>
  <c r="D7" s="1"/>
  <c r="C28"/>
  <c r="C27"/>
  <c r="E15"/>
  <c r="E14"/>
  <c r="E13"/>
  <c r="E12"/>
  <c r="E11"/>
  <c r="D9"/>
  <c r="D28" s="1"/>
  <c r="D27" s="1"/>
  <c r="B6"/>
  <c r="F3"/>
  <c r="G59" s="1"/>
  <c r="B2"/>
  <c r="B1"/>
  <c r="D6" l="1"/>
  <c r="E28"/>
  <c r="G46"/>
  <c r="D29"/>
  <c r="D51" s="1"/>
  <c r="C6"/>
  <c r="E6"/>
  <c r="G43"/>
  <c r="H45"/>
  <c r="H46"/>
  <c r="H47"/>
  <c r="H50"/>
  <c r="H51"/>
  <c r="F53"/>
  <c r="H53"/>
  <c r="C57"/>
  <c r="B52"/>
  <c r="G55"/>
  <c r="G45" l="1"/>
  <c r="E7"/>
  <c r="E29" s="1"/>
  <c r="E55" s="1"/>
  <c r="E57" s="1"/>
  <c r="G48" l="1"/>
  <c r="G51" s="1"/>
  <c r="G47"/>
  <c r="E27"/>
  <c r="E22" i="10" l="1"/>
  <c r="G18"/>
  <c r="E15"/>
  <c r="E14"/>
  <c r="G11"/>
  <c r="J6"/>
  <c r="J5"/>
  <c r="J7" s="1"/>
  <c r="C2"/>
  <c r="J1"/>
  <c r="B18" s="1"/>
  <c r="C1"/>
  <c r="D26" i="3"/>
  <c r="G25"/>
  <c r="F25"/>
  <c r="F26" s="1"/>
  <c r="E25"/>
  <c r="C23"/>
  <c r="A6"/>
  <c r="A4"/>
  <c r="G3"/>
  <c r="G28" s="1"/>
  <c r="G16" i="10" l="1"/>
  <c r="G20" s="1"/>
  <c r="G24" s="1"/>
  <c r="G26" s="1"/>
  <c r="J28" s="1"/>
  <c r="J30" s="1"/>
  <c r="J34" s="1"/>
  <c r="A3"/>
  <c r="B9"/>
  <c r="C14"/>
  <c r="C15"/>
  <c r="B22"/>
  <c r="B32"/>
  <c r="A36"/>
  <c r="B5"/>
  <c r="B6"/>
  <c r="B11"/>
  <c r="B13"/>
  <c r="A10" i="3"/>
  <c r="E13"/>
  <c r="A18"/>
  <c r="C42"/>
  <c r="A11"/>
  <c r="F15"/>
  <c r="A47" i="14" l="1"/>
  <c r="A46"/>
  <c r="A45"/>
  <c r="A44"/>
  <c r="A43"/>
  <c r="A42"/>
  <c r="D22"/>
  <c r="A19"/>
  <c r="A18"/>
  <c r="A11"/>
  <c r="A10"/>
  <c r="A9"/>
  <c r="A8"/>
  <c r="A7"/>
  <c r="A2"/>
  <c r="E1"/>
  <c r="B40" s="1"/>
  <c r="A1"/>
  <c r="E47" i="2"/>
  <c r="D47"/>
  <c r="A45"/>
  <c r="A44"/>
  <c r="D42"/>
  <c r="B41"/>
  <c r="B40"/>
  <c r="B39"/>
  <c r="B38"/>
  <c r="A37"/>
  <c r="D36"/>
  <c r="D28"/>
  <c r="A28"/>
  <c r="E24"/>
  <c r="A24"/>
  <c r="E17"/>
  <c r="D17"/>
  <c r="A15"/>
  <c r="A6" i="14" l="1"/>
  <c r="A12"/>
  <c r="A26"/>
  <c r="A39"/>
  <c r="C40"/>
  <c r="A14"/>
  <c r="A24"/>
  <c r="A35"/>
  <c r="J2" i="7" l="1"/>
  <c r="C9" s="1"/>
  <c r="A8" i="24"/>
  <c r="A46" i="23"/>
  <c r="A41"/>
  <c r="A6"/>
  <c r="A38" i="22"/>
  <c r="A33"/>
  <c r="A19"/>
  <c r="A6"/>
  <c r="A34" i="21"/>
  <c r="A33"/>
  <c r="A6"/>
  <c r="A64" i="20"/>
  <c r="A61"/>
  <c r="A33"/>
  <c r="A28"/>
  <c r="A25"/>
  <c r="A16"/>
  <c r="A6"/>
  <c r="A6" i="8"/>
  <c r="A8"/>
  <c r="C14" i="7"/>
  <c r="C13"/>
  <c r="C12"/>
  <c r="C11"/>
  <c r="D18" i="8"/>
  <c r="E17" i="7"/>
  <c r="E19"/>
  <c r="E21"/>
  <c r="E23"/>
  <c r="G13" s="1"/>
  <c r="G14"/>
  <c r="G11"/>
  <c r="I3" i="8"/>
  <c r="F13"/>
  <c r="F19"/>
  <c r="E16"/>
  <c r="E17" s="1"/>
  <c r="B19"/>
  <c r="B5" i="12"/>
  <c r="B27"/>
  <c r="B31"/>
  <c r="B10"/>
  <c r="B9"/>
  <c r="B19"/>
  <c r="B23"/>
  <c r="D19" i="8"/>
  <c r="D16"/>
  <c r="D17" s="1"/>
  <c r="B16"/>
  <c r="B17"/>
  <c r="A10"/>
  <c r="B9" i="7"/>
  <c r="D9"/>
  <c r="B12"/>
  <c r="J6" i="12"/>
  <c r="A5" i="8"/>
  <c r="C16"/>
  <c r="C17"/>
  <c r="B18"/>
  <c r="A16"/>
  <c r="A4"/>
  <c r="B14" i="7"/>
  <c r="B13"/>
  <c r="B2"/>
  <c r="B1"/>
  <c r="B11"/>
  <c r="A11" i="8"/>
  <c r="D13"/>
  <c r="G14"/>
  <c r="G12" i="7"/>
  <c r="F16" i="8"/>
  <c r="F17" s="1"/>
  <c r="B13"/>
  <c r="G15" i="7" l="1"/>
  <c r="C15"/>
  <c r="F31"/>
  <c r="E29"/>
  <c r="C25"/>
  <c r="D27"/>
  <c r="D13"/>
  <c r="E13"/>
  <c r="D12" l="1"/>
  <c r="D14"/>
  <c r="E14"/>
  <c r="E12"/>
  <c r="F12"/>
  <c r="F14"/>
  <c r="F13"/>
  <c r="D11" l="1"/>
  <c r="F11"/>
  <c r="F15" s="1"/>
  <c r="D15"/>
  <c r="E11"/>
  <c r="E15" l="1"/>
  <c r="G16" i="8" l="1"/>
  <c r="G17" s="1"/>
  <c r="H16" l="1"/>
  <c r="H17" s="1"/>
</calcChain>
</file>

<file path=xl/sharedStrings.xml><?xml version="1.0" encoding="utf-8"?>
<sst xmlns="http://schemas.openxmlformats.org/spreadsheetml/2006/main" count="541" uniqueCount="463">
  <si>
    <t>7. Added tab 'TransferStatutes</t>
  </si>
  <si>
    <t>8. Added tab 'NonBudFunds'</t>
  </si>
  <si>
    <t>9. Added 'See Tab A - E' for violations</t>
  </si>
  <si>
    <t>10. Instruction tab added 10e and 7c, and changed 10c, 10d, and 10h</t>
  </si>
  <si>
    <t>11. Changed each fund page taking out the 'Yes' and 'No' and replacing with See Tab for violation</t>
  </si>
  <si>
    <t>12. Nhood tab changed the Net valuation to July 1</t>
  </si>
  <si>
    <t>This tab will put the date and time and location of the budget hearing on the Budget Summary page.  Also, provide the location where as the budget can be reveiwed.  Please input information in the green areas.</t>
  </si>
  <si>
    <t>Date:</t>
  </si>
  <si>
    <t>Must be at least 10 days between date published and hearing held.</t>
  </si>
  <si>
    <t>Time:</t>
  </si>
  <si>
    <t>Location:</t>
  </si>
  <si>
    <t>Available at:</t>
  </si>
  <si>
    <t>Examples</t>
  </si>
  <si>
    <t>August 12, 2010</t>
  </si>
  <si>
    <t>7:00 PM or 7:00 AM</t>
  </si>
  <si>
    <t xml:space="preserve">Shawnee County Clerk's Office </t>
  </si>
  <si>
    <t>Shawnee County Clerk's Office/Some one residence/Township Hall/Local Library</t>
  </si>
  <si>
    <t>answering objections of taxpayers relating  to the proposed use of all funds and the amount of tax to levied.</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</si>
  <si>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</si>
  <si>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</si>
  <si>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</si>
  <si>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</si>
  <si>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</si>
  <si>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</si>
  <si>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</si>
  <si>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</si>
  <si>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</si>
  <si>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</si>
  <si>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</si>
  <si>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</si>
  <si>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</si>
  <si>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</si>
  <si>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</si>
  <si>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</si>
  <si>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</si>
  <si>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</si>
  <si>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</si>
  <si>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</si>
  <si>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</si>
  <si>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</si>
  <si>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</si>
  <si>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</si>
  <si>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</si>
  <si>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</si>
  <si>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</si>
  <si>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</si>
  <si>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</si>
  <si>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</si>
  <si>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</si>
  <si>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</si>
  <si>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</si>
  <si>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</si>
  <si>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</si>
  <si>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</si>
  <si>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</si>
  <si>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</si>
  <si>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</si>
  <si>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</si>
  <si>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</si>
  <si>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</si>
  <si>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</si>
  <si>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</si>
  <si>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</si>
  <si>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</si>
  <si>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</si>
  <si>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</si>
  <si>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</si>
  <si>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</si>
  <si>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</si>
  <si>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</si>
  <si>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</si>
  <si>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</si>
  <si>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</si>
  <si>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</si>
  <si>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</si>
  <si>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</si>
  <si>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</si>
  <si>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</si>
  <si>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</si>
  <si>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</si>
  <si>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</si>
  <si>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</si>
  <si>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</si>
  <si>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</si>
  <si>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</si>
  <si>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</si>
  <si>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</si>
  <si>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</si>
  <si>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</si>
  <si>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</si>
  <si>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</si>
  <si>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</si>
  <si>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</si>
  <si>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</si>
  <si>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</si>
  <si>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</si>
  <si>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</si>
  <si>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</si>
  <si>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</si>
  <si>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</si>
  <si>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</si>
  <si>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</si>
  <si>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</si>
  <si>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</si>
  <si>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</si>
  <si>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</si>
  <si>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</si>
  <si>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</si>
  <si>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</si>
  <si>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</si>
  <si>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</si>
  <si>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</si>
  <si>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</si>
  <si>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</si>
  <si>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</si>
  <si>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</si>
  <si>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</si>
  <si>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</si>
  <si>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</si>
  <si>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</si>
  <si>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</si>
  <si>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</si>
  <si>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</si>
  <si>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</si>
  <si>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</si>
  <si>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</si>
  <si>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</si>
  <si>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</si>
  <si>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</si>
  <si>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</si>
  <si>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</si>
  <si>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</si>
  <si>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</si>
  <si>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</si>
  <si>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</si>
  <si>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</si>
  <si>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</si>
  <si>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</si>
  <si>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</si>
  <si>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</si>
  <si>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</si>
  <si>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</si>
  <si>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</si>
  <si>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</si>
  <si>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</si>
  <si>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</si>
  <si>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</si>
  <si>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</si>
  <si>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</si>
  <si>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</si>
  <si>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</si>
  <si>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</si>
  <si>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</si>
  <si>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</si>
  <si>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</si>
  <si>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</si>
  <si>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</si>
  <si>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</si>
  <si>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</si>
  <si>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</si>
  <si>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</si>
  <si>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</si>
  <si>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</si>
  <si>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</si>
  <si>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</si>
  <si>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</si>
  <si>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</si>
  <si>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</si>
  <si>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</si>
  <si>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</si>
  <si>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</si>
  <si>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</si>
  <si>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</si>
  <si>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</si>
  <si>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</si>
  <si>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</si>
  <si>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</si>
  <si>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</si>
  <si>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</si>
  <si>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</si>
  <si>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</si>
  <si>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</si>
  <si>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</si>
  <si>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</si>
  <si>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</si>
  <si>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</si>
  <si>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</si>
  <si>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</si>
  <si>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</si>
  <si>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</si>
  <si>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</si>
  <si>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</si>
  <si>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</si>
  <si>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</si>
  <si>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</si>
  <si>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</si>
  <si>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</si>
  <si>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</si>
  <si>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</si>
  <si>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</si>
  <si>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</si>
  <si>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</si>
  <si>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</si>
  <si>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</si>
  <si>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</si>
  <si>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</si>
  <si>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</si>
  <si>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</si>
  <si>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</si>
  <si>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</si>
  <si>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</si>
  <si>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</si>
  <si>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Contract Labor</t>
  </si>
  <si>
    <t>Capital Improvements</t>
  </si>
  <si>
    <t>Page No. 4</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</si>
  <si>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</si>
  <si>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</si>
  <si>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</si>
  <si>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</si>
  <si>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</si>
  <si>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</si>
  <si>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</si>
  <si>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The following were changed to this spreadsheet on 12/28/09</t>
  </si>
  <si>
    <t>1. Nhood tab added note for computing table</t>
  </si>
  <si>
    <t>The following were changed to this spreadsheet on 1/05/10</t>
  </si>
  <si>
    <t>2. Transfers tab changed note so to identify current and proposed columns for non-budgeted funds transfers</t>
  </si>
  <si>
    <t>3. Transfers tab changed first two column heading adding 'expenditures' and 'receipts'</t>
  </si>
  <si>
    <t>1. Instruction tab added line 8b concerning schedule of transfers adjustments</t>
  </si>
  <si>
    <t>16. Added Neighborhood Revitalization table and linked to the tax levy fund pages.</t>
  </si>
  <si>
    <t>17. Added Neighborhood Revitalization expenditure to all tax levy fund pages.</t>
  </si>
  <si>
    <t>18. Added Neighborhood Revitalization rebate page number to the table of contents on the Certificate page.</t>
  </si>
  <si>
    <t>22. Added 'miscellaneous' category to the receipt/expenditure for all fund pages and set error message.</t>
  </si>
  <si>
    <t>23. Added to the instruction about correct the error message for the miscellaneous.</t>
  </si>
  <si>
    <t>Input sheet for Special District budget form</t>
  </si>
  <si>
    <t>Fund Names:</t>
  </si>
  <si>
    <t>Statute</t>
  </si>
  <si>
    <t>General</t>
  </si>
  <si>
    <t>Fund name for all funds with a tax levy:</t>
  </si>
  <si>
    <t>Other (non-tax levy) fund names:</t>
  </si>
  <si>
    <t>Total</t>
  </si>
  <si>
    <t>Motor Vehicle Tax Estimate</t>
  </si>
  <si>
    <t>Recreational Vehicle Tax Estimate</t>
  </si>
  <si>
    <t>certify that: (1) the hearing mentioned in the attached publication was held;</t>
  </si>
  <si>
    <t>(2) after the Budget Hearing this budget was duly approved and adopted</t>
  </si>
  <si>
    <t xml:space="preserve"> </t>
  </si>
  <si>
    <t>County</t>
  </si>
  <si>
    <t>Page</t>
  </si>
  <si>
    <t>Clerk's</t>
  </si>
  <si>
    <t>Table of Contents:</t>
  </si>
  <si>
    <t>No.</t>
  </si>
  <si>
    <t>Use Only</t>
  </si>
  <si>
    <t>Fund</t>
  </si>
  <si>
    <t>K.S.A.</t>
  </si>
  <si>
    <t>x</t>
  </si>
  <si>
    <t>County Clerk</t>
  </si>
  <si>
    <t>Adopted Budget</t>
  </si>
  <si>
    <t>Ad Valorem Tax</t>
  </si>
  <si>
    <t>Delinquent Tax</t>
  </si>
  <si>
    <t>Motor Vehicle Tax</t>
  </si>
  <si>
    <t>Recreational Vehicle Tax</t>
  </si>
  <si>
    <t>In Lieu of Taxes</t>
  </si>
  <si>
    <t>Interest on Idle Funds</t>
  </si>
  <si>
    <t>Total Receipts</t>
  </si>
  <si>
    <t>Resources Available:</t>
  </si>
  <si>
    <t>Expenditures:</t>
  </si>
  <si>
    <t>Total Expenditures</t>
  </si>
  <si>
    <t>Tax Required</t>
  </si>
  <si>
    <t>Page No.</t>
  </si>
  <si>
    <t>MVT</t>
  </si>
  <si>
    <t>RVT</t>
  </si>
  <si>
    <t>County Treas MVT Estimate</t>
  </si>
  <si>
    <t>County Treas RVT Estimate</t>
  </si>
  <si>
    <t>MVT Factor</t>
  </si>
  <si>
    <t>RVT Factor</t>
  </si>
  <si>
    <t>Actual</t>
  </si>
  <si>
    <t>FUND</t>
  </si>
  <si>
    <t>Expenditures</t>
  </si>
  <si>
    <t>Total Tax Levied</t>
  </si>
  <si>
    <t xml:space="preserve">  *Tax rates are expressed in mills.</t>
  </si>
  <si>
    <t>Clerk</t>
  </si>
  <si>
    <t>Rate</t>
  </si>
  <si>
    <t xml:space="preserve">on the budget forms in the appropriate locations.  If any of the numbers are wrong, change  </t>
  </si>
  <si>
    <t>CERTIFICATE</t>
  </si>
  <si>
    <t>NOTICE OF BUDGET HEARING</t>
  </si>
  <si>
    <t>BUDGET SUMMARY</t>
  </si>
  <si>
    <t>16/20M Veh</t>
  </si>
  <si>
    <t>County Treas 16/20 M Vehicle Tax Estimate</t>
  </si>
  <si>
    <t>16/20M Factor</t>
  </si>
  <si>
    <t>Amount of Levy</t>
  </si>
  <si>
    <t xml:space="preserve"> 1.</t>
  </si>
  <si>
    <t>+</t>
  </si>
  <si>
    <t>$</t>
  </si>
  <si>
    <t xml:space="preserve"> 2.</t>
  </si>
  <si>
    <t>-</t>
  </si>
  <si>
    <t xml:space="preserve"> 4.</t>
  </si>
  <si>
    <t xml:space="preserve"> 5.</t>
  </si>
  <si>
    <t>5a.</t>
  </si>
  <si>
    <t>5b.</t>
  </si>
  <si>
    <t>5c.</t>
  </si>
  <si>
    <t>6.</t>
  </si>
  <si>
    <t>7.</t>
  </si>
  <si>
    <t>8.</t>
  </si>
  <si>
    <t>9.</t>
  </si>
  <si>
    <t>10.</t>
  </si>
  <si>
    <t>11.</t>
  </si>
  <si>
    <t>12.</t>
  </si>
  <si>
    <t>(Use Only if &gt; 0)</t>
  </si>
  <si>
    <t>16/20M Vehicle Tax</t>
  </si>
  <si>
    <t xml:space="preserve">The governing body of </t>
  </si>
  <si>
    <t>Computation of Delinquency</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</si>
  <si>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</si>
  <si>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</si>
  <si>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</si>
  <si>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</si>
  <si>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</si>
  <si>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</si>
  <si>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 xml:space="preserve">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</si>
  <si>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</si>
  <si>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</si>
  <si>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</si>
  <si>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</si>
  <si>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</si>
  <si>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 1</t>
  </si>
  <si>
    <t>Unencumbered Cash Balance Dec 31</t>
  </si>
  <si>
    <t>Receipts:</t>
  </si>
  <si>
    <t>Enter Special District Name (Can be Longer than green cell)</t>
  </si>
  <si>
    <t>Totals</t>
  </si>
  <si>
    <t>County Clerk's Use Only</t>
  </si>
  <si>
    <t>RESOLUTION NO.__________________</t>
  </si>
  <si>
    <t>___________________________________.</t>
  </si>
  <si>
    <t>(Attach a signed copy to the budget)</t>
  </si>
  <si>
    <t>SPECIAL DISTRICT RESOLUTION</t>
  </si>
  <si>
    <t xml:space="preserve"> , Chair/President</t>
  </si>
  <si>
    <t xml:space="preserve"> , Member</t>
  </si>
  <si>
    <t>, Member</t>
  </si>
  <si>
    <t>Whereas, budgeting, taxing and service level decisions for all district services are the responsibility of the district board; and</t>
  </si>
  <si>
    <t>Whereas, the cost of provision of these services continues to increase.</t>
  </si>
  <si>
    <t xml:space="preserve">Enter year being budgeted (YYYY) </t>
  </si>
  <si>
    <t xml:space="preserve">  G.O. Bonds</t>
  </si>
  <si>
    <t xml:space="preserve">  Revenue Bonds</t>
  </si>
  <si>
    <t xml:space="preserve">  Lease Purchase Principal</t>
  </si>
  <si>
    <t xml:space="preserve">The input for the following comes directly from </t>
  </si>
  <si>
    <t>We, the undersigned, officers of</t>
  </si>
  <si>
    <t>10-113</t>
  </si>
  <si>
    <t>LAVTR</t>
  </si>
  <si>
    <t>Slider</t>
  </si>
  <si>
    <t>Assessed Valuation</t>
  </si>
  <si>
    <t>16\20 M Vehicle Tax</t>
  </si>
  <si>
    <t xml:space="preserve">   </t>
  </si>
  <si>
    <r>
      <t>**</t>
    </r>
    <r>
      <rPr>
        <b/>
        <u/>
        <sz val="12"/>
        <rFont val="Times New Roman"/>
        <family val="1"/>
      </rPr>
      <t>Note</t>
    </r>
    <r>
      <rPr>
        <sz val="12"/>
        <rFont val="Times New Roman"/>
        <family val="1"/>
      </rPr>
      <t>: The delinquency rate can be up to 5% more than the actual delinquency rate from the previous year.</t>
    </r>
  </si>
  <si>
    <t>xxxxxxxxxxxxxxxx</t>
  </si>
  <si>
    <t>Whereas, K.S.A. 79-2925b provides that a resolution be adopted if property taxes levied to finance the</t>
  </si>
  <si>
    <t>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t>
  </si>
  <si>
    <t>The following were changed to this spreadsheet on 8/06/2007</t>
  </si>
  <si>
    <t>1. All dates are linked to the inputpryr page</t>
  </si>
  <si>
    <t>2. Instruction page changed the POC, electronic submission, blue area, and transfers expended</t>
  </si>
  <si>
    <t>3. Split the input page to inputpryr and inputoth</t>
  </si>
  <si>
    <t>5. Added the Outstanding Indebtedness info to the input page and link to Budget Summary page</t>
  </si>
  <si>
    <t>6. Added note about Delinquency Rate on input and changed all computation on the fund pages</t>
  </si>
  <si>
    <t>7. Added debt links to the Computation Determine Limit</t>
  </si>
  <si>
    <t>8. Transfers page added links to the Budget Summary page and allows for adjustments to the transfers</t>
  </si>
  <si>
    <t xml:space="preserve">10. Hard coded the Bond &amp; Interest fund to the Certificate and Budget Summary pages. Also made the </t>
  </si>
  <si>
    <t>Bond &amp; Interest its own fund page</t>
  </si>
  <si>
    <t>11. Budget Summary added transfers adjustments and linked them along with the indebtedness info</t>
  </si>
  <si>
    <t>Note:  All amounts are to be entered in as whole numbers only.</t>
  </si>
  <si>
    <t>Attest: _________________,</t>
  </si>
  <si>
    <t>Tax Rate*</t>
  </si>
  <si>
    <t>Resolution</t>
  </si>
  <si>
    <t>Is a Resolution required?</t>
  </si>
  <si>
    <t>4. Moved the mil rates from prior budget to Clerk info section</t>
  </si>
  <si>
    <t>9. Added links from the indebtedness page to the Budget Summary page by separating bonds</t>
  </si>
  <si>
    <t>12. Added "is a resolution required" statement with either yes or no automatic shown on Certificate</t>
  </si>
  <si>
    <t>13. moved the assisted blocks from center to left side on Certificate</t>
  </si>
  <si>
    <t>Budget Summary</t>
  </si>
  <si>
    <t>Total Tax Rates</t>
  </si>
  <si>
    <t>Rate used in this budget will be shown on all fund pages with a tax levy**</t>
  </si>
  <si>
    <t xml:space="preserve">          the information on this input sheet.</t>
  </si>
  <si>
    <t>Enter the following information from the sources shown.  This information will be entered</t>
  </si>
  <si>
    <t>Outstanding Indebtedness, January 1:</t>
  </si>
  <si>
    <t>14. Added to instructions about non-appropriated funds limit of 5%.</t>
  </si>
  <si>
    <t>Allocation MVT, RVT,16/20M Veh &amp; Slider</t>
  </si>
  <si>
    <t>County Treas Slider Estimate</t>
  </si>
  <si>
    <t>Slider Factor</t>
  </si>
  <si>
    <t>Funds</t>
  </si>
  <si>
    <t>Budget Authority</t>
  </si>
  <si>
    <t xml:space="preserve">expenditure amounts should reflect the amended </t>
  </si>
  <si>
    <t>expenditure amounts.</t>
  </si>
  <si>
    <t>20. Added to all budgeted fund pages the budget authority for the actual year, budget violation, and cash violation.</t>
  </si>
  <si>
    <t>21. Added instruction on the addition for item 20.</t>
  </si>
  <si>
    <t>Miscellaneous</t>
  </si>
  <si>
    <t>Neighborhood Revitalization Rebate</t>
  </si>
  <si>
    <t>24. Expanded on the preparation of budget note 12 for instructions for the Notice of Budget Hearing.</t>
  </si>
  <si>
    <t>25. Added to instruction for submission that deadline for submission to clerk Aug 25.</t>
  </si>
  <si>
    <t>Enter County Name followed by 'County'</t>
  </si>
  <si>
    <t>ALLOCATION OF MOTOR, RECREATIONAL ,16/20M VEHICLE TAXES &amp; SLIDER</t>
  </si>
  <si>
    <t>26. Added 'excluding oil, gas, and mobile homes' to lines 9 and 11 on Clerks budget info on tab inputoth.</t>
  </si>
  <si>
    <t>Non-budgeted funds:</t>
  </si>
  <si>
    <t xml:space="preserve">Proposed Budget </t>
  </si>
  <si>
    <t xml:space="preserve">Current Year </t>
  </si>
  <si>
    <t>Prior Year</t>
  </si>
  <si>
    <t>The following were changed to this spreadsheet on 10/23/2008</t>
  </si>
  <si>
    <t>1. Input tab (inputPrYr) added column for the current year expenditures.</t>
  </si>
  <si>
    <t>2. Added to all tax levy fund pages the miscellaneous receipt for the proposed year comparison takes into account the ad valorem taxes for the 10% Rule.</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</si>
  <si>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</si>
  <si>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</si>
  <si>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</si>
  <si>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</si>
  <si>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</si>
  <si>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</si>
  <si>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</si>
  <si>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</si>
  <si>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</si>
  <si>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</si>
  <si>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</si>
  <si>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</si>
  <si>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</si>
  <si>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Added Non-budgeted fund form and link to certificate and summary pages.</t>
  </si>
  <si>
    <t>The following were changed to this spreadsheet on 2/23/09</t>
  </si>
  <si>
    <t>1. Instruction under Submitting of Budget ….required electronic submission.</t>
  </si>
  <si>
    <t>2. Input other tab line 39 change from Budget Summary to Budget Certificate.</t>
  </si>
  <si>
    <t>Debt Service</t>
  </si>
  <si>
    <t>The following were changed to this spreadsheet on 3/19/09</t>
  </si>
  <si>
    <t>2. Debt Service page change the fund name from Bond &amp; Interest to Debt Service</t>
  </si>
  <si>
    <t>3. Budget Summary change the fund name from Bond &amp; Interest to Debt Service</t>
  </si>
  <si>
    <r>
      <rPr>
        <b/>
        <sz val="12"/>
        <color indexed="10"/>
        <rFont val="Times New Roman"/>
        <family val="1"/>
      </rPr>
      <t>*</t>
    </r>
    <r>
      <rPr>
        <b/>
        <sz val="12"/>
        <rFont val="Times New Roman"/>
        <family val="1"/>
      </rPr>
      <t>If amended, then use the amended figures.</t>
    </r>
    <r>
      <rPr>
        <b/>
        <sz val="12"/>
        <color indexed="10"/>
        <rFont val="Times New Roman"/>
        <family val="1"/>
      </rPr>
      <t>*</t>
    </r>
  </si>
  <si>
    <t>1. InputPryr tab added line a16 'If amend…..'</t>
  </si>
  <si>
    <t>2. InputPryr tab change Bond &amp; Interest to Debt Service</t>
  </si>
  <si>
    <t>3. InputOth tab change Bond &amp; Interest to Debt Service</t>
  </si>
  <si>
    <t>4. Levypage8 tab cell C31, C32, E31 added rule</t>
  </si>
  <si>
    <t xml:space="preserve">5. Nolevypage9 tab cell C31, C32, D31 add rule </t>
  </si>
  <si>
    <t>6. Mvalloc tab change cells C11-14 from D to E reference inputpryr tab for ad valorem tax</t>
  </si>
  <si>
    <t>1. Certificate page change Bond &amp; Interest to Debt Service and Adopted to Adopted</t>
  </si>
  <si>
    <t>15. Added warning "Exceeds 5%" on all fund pages for the non-appropriated balance.</t>
  </si>
  <si>
    <t>19. Added Slider on the Vehicle Allocation table and linked to fund pages.</t>
  </si>
  <si>
    <t>The following were changed to this spreadsheet on 9/25/09</t>
  </si>
  <si>
    <t>August 17, 2010</t>
  </si>
  <si>
    <t>7:00 P.M.</t>
  </si>
  <si>
    <t>Home of Carolyn Corle in Elk Falls</t>
  </si>
  <si>
    <t>Elk County Clerk's Office</t>
  </si>
  <si>
    <t>Carolyn Corle</t>
  </si>
  <si>
    <t>ELK FALLS CEMETERY</t>
  </si>
  <si>
    <t>ELK COUNTY</t>
  </si>
  <si>
    <r>
      <rPr>
        <sz val="12"/>
        <color indexed="10"/>
        <rFont val="Times New Roman"/>
        <family val="1"/>
      </rPr>
      <t>*</t>
    </r>
    <r>
      <rPr>
        <sz val="12"/>
        <rFont val="Times New Roman"/>
        <family val="1"/>
      </rPr>
      <t>Expenditures</t>
    </r>
    <r>
      <rPr>
        <sz val="12"/>
        <color indexed="10"/>
        <rFont val="Times New Roman"/>
        <family val="1"/>
      </rPr>
      <t>*</t>
    </r>
  </si>
  <si>
    <t xml:space="preserve">  Other</t>
  </si>
  <si>
    <t>for Expenditures</t>
  </si>
  <si>
    <t>Schedule of Transfers</t>
  </si>
  <si>
    <t>Statement of Indebt. &amp; Lease/Purchase</t>
  </si>
  <si>
    <t>Assisted by:</t>
  </si>
  <si>
    <t>Address:</t>
  </si>
  <si>
    <t>FUND PAGE FOR FUNDS WITH A TAX LEVY</t>
  </si>
  <si>
    <t>Treasurer's Beginning Balance</t>
  </si>
  <si>
    <t>Treasurer's Ending Balance</t>
  </si>
  <si>
    <t>Staking Fees and Sale of Lots</t>
  </si>
  <si>
    <t>Does misc. exceed 10% of Total Receipts</t>
  </si>
  <si>
    <t>Publications</t>
  </si>
  <si>
    <t>Insurance &amp; Bond</t>
  </si>
  <si>
    <t>Operations</t>
  </si>
  <si>
    <t>Does misc. exceed 10% Total Expenditures</t>
  </si>
  <si>
    <t>Non-Appropriated Balance</t>
  </si>
  <si>
    <t>Total Expenditure/Non-Appr Balance</t>
  </si>
  <si>
    <t>Delinquent Comp Rate:</t>
  </si>
  <si>
    <t>Desired Carryover Amount:</t>
  </si>
  <si>
    <t>Estimated Mill Rate Impact:</t>
  </si>
</sst>
</file>

<file path=xl/styles.xml><?xml version="1.0" encoding="utf-8"?>
<styleSheet xmlns="http://schemas.openxmlformats.org/spreadsheetml/2006/main">
  <numFmts count="14">
    <numFmt numFmtId="43" formatCode="_(* #,##0.00_);_(* \(#,##0.00\);_(* &quot;-&quot;??_);_(@_)"/>
    <numFmt numFmtId="164" formatCode="0.000_)"/>
    <numFmt numFmtId="165" formatCode="0_)"/>
    <numFmt numFmtId="166" formatCode="0.00000_)"/>
    <numFmt numFmtId="167" formatCode="#,##0.00000_);\(#,##0.00000\)"/>
    <numFmt numFmtId="168" formatCode="0.00000"/>
    <numFmt numFmtId="169" formatCode="_(* #,##0_);_(* \(#,##0\);_(* &quot;-&quot;??_);_(@_)"/>
    <numFmt numFmtId="170" formatCode="#,##0.000_);\(#,##0.000\)"/>
    <numFmt numFmtId="171" formatCode="0.000%"/>
    <numFmt numFmtId="172" formatCode="0.000"/>
    <numFmt numFmtId="173" formatCode="#,##0.000"/>
    <numFmt numFmtId="174" formatCode="[$-409]mmmm\ d\,\ yyyy;@"/>
    <numFmt numFmtId="175" formatCode="[$-409]h:mm\ AM/PM;@"/>
    <numFmt numFmtId="176" formatCode="&quot;$&quot;#,##0"/>
  </numFmts>
  <fonts count="37">
    <font>
      <sz val="12"/>
      <name val="Courier"/>
    </font>
    <font>
      <b/>
      <sz val="12"/>
      <name val="Courier"/>
    </font>
    <font>
      <sz val="12"/>
      <name val="Courier"/>
      <family val="3"/>
    </font>
    <font>
      <sz val="12"/>
      <name val="Times New Roman"/>
      <family val="1"/>
    </font>
    <font>
      <b/>
      <sz val="12"/>
      <name val="Times New Roman"/>
      <family val="1"/>
    </font>
    <font>
      <u/>
      <sz val="12"/>
      <name val="Times New Roman"/>
      <family val="1"/>
    </font>
    <font>
      <sz val="11"/>
      <name val="Times New Roman"/>
      <family val="1"/>
    </font>
    <font>
      <sz val="10"/>
      <name val="Times New Roman"/>
      <family val="1"/>
    </font>
    <font>
      <sz val="14"/>
      <name val="Times New Roman"/>
      <family val="1"/>
    </font>
    <font>
      <sz val="12"/>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8"/>
      <name val="Courier"/>
      <family val="3"/>
    </font>
    <font>
      <sz val="12"/>
      <name val="Courier"/>
      <family val="3"/>
    </font>
    <font>
      <b/>
      <u/>
      <sz val="12"/>
      <name val="Times New Roman"/>
      <family val="1"/>
    </font>
    <font>
      <b/>
      <u/>
      <sz val="12"/>
      <color indexed="10"/>
      <name val="Times New Roman"/>
      <family val="1"/>
    </font>
    <font>
      <b/>
      <u/>
      <sz val="12"/>
      <name val="Courier"/>
      <family val="3"/>
    </font>
    <font>
      <sz val="10"/>
      <name val="Courier"/>
      <family val="3"/>
    </font>
    <font>
      <sz val="12"/>
      <color indexed="10"/>
      <name val="Times New Roman"/>
      <family val="1"/>
    </font>
    <font>
      <sz val="12"/>
      <color indexed="10"/>
      <name val="Courier"/>
      <family val="3"/>
    </font>
    <font>
      <sz val="8"/>
      <name val="Times New Roman"/>
      <family val="1"/>
    </font>
    <font>
      <b/>
      <sz val="12"/>
      <color indexed="10"/>
      <name val="Times New Roman"/>
      <family val="1"/>
    </font>
    <font>
      <sz val="12"/>
      <name val="Courier"/>
      <family val="3"/>
    </font>
    <font>
      <sz val="12"/>
      <name val="Courier New"/>
      <family val="3"/>
    </font>
    <font>
      <b/>
      <sz val="12"/>
      <name val="Courier"/>
      <family val="3"/>
    </font>
    <font>
      <i/>
      <sz val="12"/>
      <name val="Courier"/>
      <family val="3"/>
    </font>
    <font>
      <i/>
      <u/>
      <sz val="12"/>
      <name val="Courier"/>
      <family val="3"/>
    </font>
    <font>
      <sz val="12"/>
      <name val="Courier"/>
      <family val="3"/>
    </font>
    <font>
      <sz val="8"/>
      <name val="Courier"/>
    </font>
    <font>
      <b/>
      <u/>
      <sz val="10"/>
      <name val="Times New Roman"/>
      <family val="1"/>
    </font>
    <font>
      <b/>
      <u/>
      <sz val="10"/>
      <name val="Courier"/>
      <family val="3"/>
    </font>
    <font>
      <b/>
      <sz val="10"/>
      <name val="Times New Roman"/>
      <family val="1"/>
    </font>
    <font>
      <b/>
      <sz val="12"/>
      <color rgb="FFFF0000"/>
      <name val="Times New Roman"/>
      <family val="1"/>
    </font>
    <font>
      <b/>
      <u/>
      <sz val="12"/>
      <color rgb="FFFF0000"/>
      <name val="Times New Roman"/>
      <family val="1"/>
    </font>
  </fonts>
  <fills count="16">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15"/>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rgb="FFFFFFC0"/>
        <bgColor indexed="64"/>
      </patternFill>
    </fill>
    <fill>
      <patternFill patternType="solid">
        <fgColor rgb="FF00FF00"/>
        <bgColor indexed="64"/>
      </patternFill>
    </fill>
    <fill>
      <patternFill patternType="solid">
        <fgColor rgb="FFFFFF99"/>
        <bgColor indexed="64"/>
      </patternFill>
    </fill>
    <fill>
      <patternFill patternType="solid">
        <fgColor rgb="FFFFFF00"/>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ouble">
        <color indexed="64"/>
      </bottom>
      <diagonal/>
    </border>
  </borders>
  <cellStyleXfs count="178">
    <xf numFmtId="0" fontId="0" fillId="0" borderId="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26" fillId="0" borderId="0"/>
    <xf numFmtId="0" fontId="9" fillId="0" borderId="0"/>
    <xf numFmtId="0" fontId="9" fillId="0" borderId="0"/>
    <xf numFmtId="0" fontId="9" fillId="0" borderId="0"/>
    <xf numFmtId="0" fontId="26" fillId="0" borderId="0"/>
    <xf numFmtId="0" fontId="9" fillId="0" borderId="0"/>
    <xf numFmtId="0" fontId="9" fillId="0" borderId="0"/>
    <xf numFmtId="0" fontId="9"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9" fillId="0" borderId="0"/>
    <xf numFmtId="0" fontId="9" fillId="0" borderId="0"/>
    <xf numFmtId="0" fontId="9" fillId="0" borderId="0"/>
    <xf numFmtId="0" fontId="26" fillId="0" borderId="0"/>
    <xf numFmtId="0" fontId="9" fillId="0" borderId="0"/>
    <xf numFmtId="0" fontId="9" fillId="0" borderId="0"/>
    <xf numFmtId="0" fontId="9" fillId="0" borderId="0"/>
    <xf numFmtId="0" fontId="26" fillId="0" borderId="0"/>
    <xf numFmtId="0" fontId="9" fillId="0" borderId="0"/>
    <xf numFmtId="0" fontId="9" fillId="0" borderId="0"/>
    <xf numFmtId="0" fontId="9" fillId="0" borderId="0"/>
    <xf numFmtId="0" fontId="26" fillId="0" borderId="0"/>
    <xf numFmtId="0" fontId="9" fillId="0" borderId="0"/>
    <xf numFmtId="0" fontId="9" fillId="0" borderId="0"/>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5"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6" fillId="0" borderId="0"/>
    <xf numFmtId="0" fontId="9" fillId="0" borderId="0"/>
    <xf numFmtId="0" fontId="9" fillId="0" borderId="0"/>
    <xf numFmtId="0" fontId="9" fillId="0" borderId="0"/>
    <xf numFmtId="0" fontId="9" fillId="0" borderId="0"/>
    <xf numFmtId="0" fontId="26" fillId="0" borderId="0"/>
    <xf numFmtId="0" fontId="2" fillId="0" borderId="0"/>
    <xf numFmtId="0" fontId="26" fillId="0" borderId="0"/>
    <xf numFmtId="0" fontId="9" fillId="0" borderId="0"/>
    <xf numFmtId="0" fontId="9" fillId="0" borderId="0"/>
    <xf numFmtId="0" fontId="9" fillId="0" borderId="0"/>
    <xf numFmtId="0" fontId="9" fillId="0" borderId="0"/>
    <xf numFmtId="0" fontId="2" fillId="0" borderId="0"/>
  </cellStyleXfs>
  <cellXfs count="345">
    <xf numFmtId="0" fontId="0" fillId="0" borderId="0" xfId="0"/>
    <xf numFmtId="0" fontId="0" fillId="0" borderId="0" xfId="0" applyAlignment="1">
      <alignment vertical="top"/>
    </xf>
    <xf numFmtId="0" fontId="9" fillId="0" borderId="0" xfId="176"/>
    <xf numFmtId="0" fontId="6" fillId="0" borderId="0" xfId="176" applyFont="1"/>
    <xf numFmtId="0" fontId="6" fillId="0" borderId="0" xfId="176" applyFont="1" applyAlignment="1">
      <alignment horizontal="left" indent="1"/>
    </xf>
    <xf numFmtId="0" fontId="14" fillId="0" borderId="0" xfId="176" applyFont="1"/>
    <xf numFmtId="0" fontId="12" fillId="0" borderId="0" xfId="0" applyFont="1" applyAlignment="1">
      <alignment horizontal="center"/>
    </xf>
    <xf numFmtId="0" fontId="6" fillId="0" borderId="0" xfId="0" applyFont="1" applyAlignment="1">
      <alignment horizontal="center"/>
    </xf>
    <xf numFmtId="0" fontId="6" fillId="0" borderId="0" xfId="0" applyFont="1"/>
    <xf numFmtId="0" fontId="6" fillId="0" borderId="0" xfId="0" applyFont="1" applyAlignment="1">
      <alignment horizontal="left" indent="9"/>
    </xf>
    <xf numFmtId="0" fontId="14" fillId="0" borderId="0" xfId="0" applyFont="1"/>
    <xf numFmtId="0" fontId="12" fillId="0" borderId="0" xfId="0" applyFont="1" applyAlignment="1">
      <alignment horizontal="left"/>
    </xf>
    <xf numFmtId="0" fontId="6" fillId="0" borderId="0" xfId="0" applyFont="1" applyAlignment="1">
      <alignment horizontal="left"/>
    </xf>
    <xf numFmtId="0" fontId="6" fillId="0" borderId="0" xfId="176" applyFont="1" applyAlignment="1">
      <alignment horizontal="center"/>
    </xf>
    <xf numFmtId="0" fontId="3" fillId="0" borderId="0" xfId="176" applyFont="1" applyAlignment="1">
      <alignment horizontal="right"/>
    </xf>
    <xf numFmtId="0" fontId="6" fillId="2" borderId="0" xfId="176" applyFont="1" applyFill="1" applyAlignment="1" applyProtection="1">
      <alignment horizontal="center"/>
      <protection locked="0"/>
    </xf>
    <xf numFmtId="0" fontId="3" fillId="0" borderId="0" xfId="0" applyFont="1" applyAlignment="1" applyProtection="1">
      <alignment vertical="center"/>
      <protection locked="0"/>
    </xf>
    <xf numFmtId="0" fontId="3" fillId="3" borderId="0" xfId="0" applyFont="1" applyFill="1" applyAlignment="1" applyProtection="1">
      <alignment horizontal="left" vertical="center"/>
    </xf>
    <xf numFmtId="0" fontId="3" fillId="3" borderId="0" xfId="0" applyFont="1" applyFill="1" applyAlignment="1" applyProtection="1">
      <alignment vertical="center"/>
    </xf>
    <xf numFmtId="0" fontId="4" fillId="3" borderId="0" xfId="0" applyFont="1" applyFill="1" applyAlignment="1" applyProtection="1">
      <alignment horizontal="left" vertical="center"/>
    </xf>
    <xf numFmtId="0" fontId="3" fillId="4" borderId="1"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xf>
    <xf numFmtId="0" fontId="3" fillId="4" borderId="2"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4" fillId="4" borderId="3"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3" borderId="0" xfId="0" applyFont="1" applyFill="1" applyAlignment="1" applyProtection="1">
      <alignment vertical="center"/>
    </xf>
    <xf numFmtId="0" fontId="4" fillId="5" borderId="0" xfId="0" applyFont="1" applyFill="1" applyAlignment="1" applyProtection="1">
      <alignment vertical="center"/>
    </xf>
    <xf numFmtId="0" fontId="3" fillId="5" borderId="0" xfId="0" applyFont="1" applyFill="1" applyAlignment="1" applyProtection="1">
      <alignment vertical="center"/>
    </xf>
    <xf numFmtId="37" fontId="4" fillId="6" borderId="0" xfId="0" applyNumberFormat="1" applyFont="1" applyFill="1" applyAlignment="1" applyProtection="1">
      <alignment horizontal="left" vertical="center"/>
    </xf>
    <xf numFmtId="0" fontId="3" fillId="6" borderId="0" xfId="0" applyFont="1" applyFill="1" applyAlignment="1" applyProtection="1">
      <alignment vertical="center"/>
    </xf>
    <xf numFmtId="0" fontId="3" fillId="3" borderId="0" xfId="0" applyFont="1" applyFill="1" applyAlignment="1" applyProtection="1">
      <alignment horizontal="center" vertical="center"/>
    </xf>
    <xf numFmtId="0" fontId="5" fillId="5" borderId="4"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3" fillId="3" borderId="3" xfId="0" applyFont="1" applyFill="1" applyBorder="1" applyAlignment="1" applyProtection="1">
      <alignment horizontal="left" vertical="center"/>
    </xf>
    <xf numFmtId="0" fontId="3" fillId="4" borderId="3" xfId="0" applyFont="1" applyFill="1" applyBorder="1" applyAlignment="1" applyProtection="1">
      <alignment vertical="center"/>
      <protection locked="0"/>
    </xf>
    <xf numFmtId="3" fontId="3" fillId="4" borderId="3" xfId="0" applyNumberFormat="1" applyFont="1" applyFill="1" applyBorder="1" applyAlignment="1" applyProtection="1">
      <alignment vertical="center"/>
      <protection locked="0"/>
    </xf>
    <xf numFmtId="0" fontId="3" fillId="3" borderId="3" xfId="0" applyFont="1" applyFill="1" applyBorder="1" applyAlignment="1" applyProtection="1">
      <alignment vertical="center"/>
    </xf>
    <xf numFmtId="3" fontId="3" fillId="3" borderId="0" xfId="0" applyNumberFormat="1" applyFont="1" applyFill="1" applyAlignment="1" applyProtection="1">
      <alignment vertical="center"/>
    </xf>
    <xf numFmtId="164" fontId="3" fillId="3" borderId="0" xfId="0" applyNumberFormat="1" applyFont="1" applyFill="1" applyAlignment="1" applyProtection="1">
      <alignmen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vertical="center"/>
    </xf>
    <xf numFmtId="3" fontId="3" fillId="3" borderId="2" xfId="0" applyNumberFormat="1" applyFont="1" applyFill="1" applyBorder="1" applyAlignment="1" applyProtection="1">
      <alignment vertical="center"/>
    </xf>
    <xf numFmtId="3" fontId="3" fillId="7" borderId="3" xfId="0" applyNumberFormat="1" applyFont="1" applyFill="1" applyBorder="1" applyAlignment="1" applyProtection="1">
      <alignment vertical="center"/>
    </xf>
    <xf numFmtId="37" fontId="3" fillId="3" borderId="0" xfId="0" applyNumberFormat="1" applyFont="1" applyFill="1" applyAlignment="1" applyProtection="1">
      <alignment horizontal="left" vertical="center"/>
    </xf>
    <xf numFmtId="0" fontId="3" fillId="3" borderId="6" xfId="0" applyFont="1" applyFill="1" applyBorder="1" applyAlignment="1" applyProtection="1">
      <alignment vertical="center"/>
    </xf>
    <xf numFmtId="3" fontId="3" fillId="3" borderId="3" xfId="0" applyNumberFormat="1" applyFont="1" applyFill="1" applyBorder="1" applyAlignment="1" applyProtection="1">
      <alignment vertical="center"/>
    </xf>
    <xf numFmtId="0" fontId="3" fillId="2" borderId="3" xfId="0" applyFont="1" applyFill="1" applyBorder="1" applyAlignment="1" applyProtection="1">
      <alignment vertical="center"/>
      <protection locked="0"/>
    </xf>
    <xf numFmtId="164" fontId="3" fillId="4" borderId="3" xfId="0" applyNumberFormat="1" applyFont="1" applyFill="1" applyBorder="1" applyAlignment="1" applyProtection="1">
      <alignment vertical="center"/>
      <protection locked="0"/>
    </xf>
    <xf numFmtId="164" fontId="3" fillId="7" borderId="7" xfId="0" applyNumberFormat="1" applyFont="1" applyFill="1" applyBorder="1" applyAlignment="1" applyProtection="1">
      <alignment vertical="center"/>
    </xf>
    <xf numFmtId="37" fontId="3" fillId="5" borderId="0" xfId="0" applyNumberFormat="1" applyFont="1" applyFill="1" applyAlignment="1" applyProtection="1">
      <alignment horizontal="left" vertical="center"/>
    </xf>
    <xf numFmtId="3" fontId="3" fillId="4" borderId="1" xfId="0" applyNumberFormat="1" applyFont="1" applyFill="1" applyBorder="1" applyAlignment="1" applyProtection="1">
      <alignment vertical="center"/>
      <protection locked="0"/>
    </xf>
    <xf numFmtId="3" fontId="3" fillId="4" borderId="2" xfId="0" applyNumberFormat="1" applyFont="1" applyFill="1" applyBorder="1" applyAlignment="1" applyProtection="1">
      <alignment vertical="center"/>
      <protection locked="0"/>
    </xf>
    <xf numFmtId="0" fontId="3" fillId="3" borderId="0" xfId="0" applyFont="1" applyFill="1" applyAlignment="1" applyProtection="1">
      <alignment vertical="center"/>
      <protection locked="0"/>
    </xf>
    <xf numFmtId="0" fontId="3" fillId="3" borderId="1" xfId="0" applyFont="1" applyFill="1" applyBorder="1" applyAlignment="1" applyProtection="1">
      <alignment horizontal="center" vertical="center"/>
    </xf>
    <xf numFmtId="0" fontId="3" fillId="5" borderId="1" xfId="0" applyFont="1" applyFill="1" applyBorder="1" applyAlignment="1" applyProtection="1">
      <alignment vertical="center"/>
    </xf>
    <xf numFmtId="0" fontId="3" fillId="3" borderId="6" xfId="0" applyFont="1" applyFill="1" applyBorder="1" applyAlignment="1" applyProtection="1">
      <alignment vertical="center"/>
      <protection locked="0"/>
    </xf>
    <xf numFmtId="3" fontId="3" fillId="2" borderId="3" xfId="0" applyNumberFormat="1" applyFont="1" applyFill="1" applyBorder="1" applyAlignment="1" applyProtection="1">
      <alignment vertical="center"/>
      <protection locked="0"/>
    </xf>
    <xf numFmtId="0" fontId="3" fillId="5" borderId="2" xfId="0" applyFont="1" applyFill="1" applyBorder="1" applyAlignment="1" applyProtection="1">
      <alignment vertical="center"/>
    </xf>
    <xf numFmtId="0" fontId="3" fillId="3" borderId="8"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3" borderId="0" xfId="0" applyFont="1" applyFill="1" applyAlignment="1">
      <alignment vertical="center"/>
    </xf>
    <xf numFmtId="0" fontId="0" fillId="0" borderId="0" xfId="0" applyAlignment="1">
      <alignment vertical="center"/>
    </xf>
    <xf numFmtId="0" fontId="0" fillId="3" borderId="0" xfId="0" applyFill="1" applyAlignment="1">
      <alignment vertical="center"/>
    </xf>
    <xf numFmtId="0" fontId="4" fillId="8" borderId="0" xfId="0" applyFont="1" applyFill="1" applyAlignment="1" applyProtection="1">
      <alignment horizontal="left" vertical="center"/>
    </xf>
    <xf numFmtId="0" fontId="3" fillId="8" borderId="0" xfId="0" applyFont="1" applyFill="1" applyAlignment="1" applyProtection="1">
      <alignment vertical="center"/>
    </xf>
    <xf numFmtId="37" fontId="3" fillId="3" borderId="1" xfId="0" applyNumberFormat="1" applyFont="1" applyFill="1" applyBorder="1" applyAlignment="1" applyProtection="1">
      <alignment horizontal="left" vertical="center"/>
    </xf>
    <xf numFmtId="37" fontId="3" fillId="3" borderId="2" xfId="0" applyNumberFormat="1" applyFont="1" applyFill="1" applyBorder="1" applyAlignment="1" applyProtection="1">
      <alignment horizontal="left" vertical="center"/>
    </xf>
    <xf numFmtId="0" fontId="3" fillId="3" borderId="2" xfId="0" applyFont="1" applyFill="1" applyBorder="1" applyAlignment="1" applyProtection="1">
      <alignment vertical="center"/>
    </xf>
    <xf numFmtId="37" fontId="3" fillId="2" borderId="2" xfId="0" applyNumberFormat="1" applyFont="1" applyFill="1" applyBorder="1" applyAlignment="1" applyProtection="1">
      <alignment vertical="center"/>
      <protection locked="0"/>
    </xf>
    <xf numFmtId="0" fontId="3" fillId="3" borderId="0" xfId="0" applyFont="1" applyFill="1" applyBorder="1" applyAlignment="1" applyProtection="1">
      <alignment vertical="center"/>
    </xf>
    <xf numFmtId="37" fontId="3" fillId="3" borderId="0"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3" fontId="3"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3" fillId="2" borderId="1" xfId="0" applyNumberFormat="1" applyFont="1" applyFill="1" applyBorder="1" applyAlignment="1" applyProtection="1">
      <alignment vertical="center"/>
      <protection locked="0"/>
    </xf>
    <xf numFmtId="172" fontId="3" fillId="2" borderId="2" xfId="0" applyNumberFormat="1" applyFont="1" applyFill="1" applyBorder="1" applyAlignment="1" applyProtection="1">
      <alignment vertical="center"/>
      <protection locked="0"/>
    </xf>
    <xf numFmtId="172" fontId="3" fillId="2" borderId="9" xfId="0" applyNumberFormat="1" applyFont="1" applyFill="1" applyBorder="1" applyAlignment="1" applyProtection="1">
      <alignment vertical="center"/>
      <protection locked="0"/>
    </xf>
    <xf numFmtId="0" fontId="0" fillId="3" borderId="0" xfId="0" applyFill="1" applyAlignment="1" applyProtection="1">
      <alignment vertical="center"/>
    </xf>
    <xf numFmtId="0" fontId="0" fillId="3" borderId="6" xfId="0" applyFill="1" applyBorder="1" applyAlignment="1" applyProtection="1">
      <alignment vertical="center"/>
    </xf>
    <xf numFmtId="172" fontId="3" fillId="7" borderId="3" xfId="0" applyNumberFormat="1" applyFont="1" applyFill="1" applyBorder="1" applyAlignment="1" applyProtection="1">
      <alignment vertical="center"/>
    </xf>
    <xf numFmtId="0" fontId="0" fillId="3" borderId="1" xfId="0" applyFill="1" applyBorder="1" applyAlignment="1" applyProtection="1">
      <alignment vertical="center"/>
    </xf>
    <xf numFmtId="37" fontId="4" fillId="5" borderId="0" xfId="0" applyNumberFormat="1" applyFont="1" applyFill="1" applyAlignment="1" applyProtection="1">
      <alignment horizontal="left" vertical="center"/>
    </xf>
    <xf numFmtId="3" fontId="3" fillId="5" borderId="0" xfId="0" applyNumberFormat="1" applyFont="1" applyFill="1" applyAlignment="1" applyProtection="1">
      <alignment vertical="center"/>
    </xf>
    <xf numFmtId="3" fontId="3" fillId="3" borderId="6" xfId="0" applyNumberFormat="1" applyFont="1" applyFill="1" applyBorder="1" applyAlignment="1" applyProtection="1">
      <alignment vertical="center"/>
    </xf>
    <xf numFmtId="3" fontId="3" fillId="3" borderId="8"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3" fillId="3" borderId="0" xfId="0" applyNumberFormat="1" applyFont="1" applyFill="1" applyBorder="1" applyAlignment="1" applyProtection="1">
      <alignment horizontal="left" vertical="center"/>
    </xf>
    <xf numFmtId="172" fontId="3" fillId="2" borderId="3" xfId="0" applyNumberFormat="1" applyFont="1" applyFill="1" applyBorder="1" applyAlignment="1" applyProtection="1">
      <alignment vertical="center"/>
      <protection locked="0"/>
    </xf>
    <xf numFmtId="37" fontId="3" fillId="9" borderId="0" xfId="0" applyNumberFormat="1" applyFont="1" applyFill="1" applyBorder="1" applyAlignment="1" applyProtection="1">
      <alignment horizontal="left" vertical="center"/>
    </xf>
    <xf numFmtId="0" fontId="3" fillId="9" borderId="0" xfId="0" applyFont="1" applyFill="1" applyBorder="1" applyAlignment="1" applyProtection="1">
      <alignment vertical="center"/>
    </xf>
    <xf numFmtId="171" fontId="3" fillId="9" borderId="0" xfId="0" applyNumberFormat="1" applyFont="1" applyFill="1" applyBorder="1" applyAlignment="1" applyProtection="1">
      <alignment vertical="center"/>
      <protection locked="0"/>
    </xf>
    <xf numFmtId="0" fontId="3" fillId="8" borderId="4" xfId="0" applyFont="1" applyFill="1" applyBorder="1" applyAlignment="1">
      <alignment horizontal="center" vertical="center"/>
    </xf>
    <xf numFmtId="0" fontId="3" fillId="8" borderId="5" xfId="0" applyFont="1" applyFill="1" applyBorder="1" applyAlignment="1">
      <alignment horizontal="center" vertical="center"/>
    </xf>
    <xf numFmtId="0" fontId="21" fillId="3" borderId="0" xfId="0" applyFont="1" applyFill="1" applyAlignment="1">
      <alignment vertical="center"/>
    </xf>
    <xf numFmtId="0" fontId="22" fillId="3" borderId="0" xfId="0" applyFont="1" applyFill="1" applyAlignment="1">
      <alignment vertical="center"/>
    </xf>
    <xf numFmtId="37" fontId="3" fillId="3" borderId="3" xfId="0" applyNumberFormat="1" applyFont="1" applyFill="1" applyBorder="1" applyAlignment="1">
      <alignment vertical="center"/>
    </xf>
    <xf numFmtId="0" fontId="3" fillId="0" borderId="0" xfId="0" applyFont="1" applyAlignment="1">
      <alignment vertical="center"/>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Continuous" vertical="center"/>
    </xf>
    <xf numFmtId="0" fontId="3" fillId="3" borderId="0" xfId="0" applyFont="1" applyFill="1" applyAlignment="1" applyProtection="1">
      <alignment horizontal="fill" vertical="center"/>
    </xf>
    <xf numFmtId="0" fontId="3" fillId="3" borderId="0" xfId="0" applyFont="1" applyFill="1" applyBorder="1" applyAlignment="1" applyProtection="1">
      <alignment horizontal="fill" vertical="center"/>
    </xf>
    <xf numFmtId="0" fontId="3" fillId="3" borderId="10" xfId="0" applyFont="1" applyFill="1" applyBorder="1" applyAlignment="1" applyProtection="1">
      <alignment horizontal="left" vertical="center"/>
    </xf>
    <xf numFmtId="0" fontId="3" fillId="3" borderId="4"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0" borderId="0" xfId="0" applyFont="1" applyAlignment="1">
      <alignment horizontal="center" vertical="center"/>
    </xf>
    <xf numFmtId="0" fontId="3" fillId="3" borderId="10" xfId="0" applyFont="1" applyFill="1" applyBorder="1" applyAlignment="1" applyProtection="1">
      <alignment horizontal="center" vertical="center"/>
    </xf>
    <xf numFmtId="0" fontId="3" fillId="3" borderId="1" xfId="0" applyFont="1" applyFill="1" applyBorder="1" applyAlignment="1" applyProtection="1">
      <alignment horizontal="fill" vertical="center"/>
    </xf>
    <xf numFmtId="0" fontId="3" fillId="3" borderId="5" xfId="0" applyFont="1" applyFill="1" applyBorder="1" applyAlignment="1" applyProtection="1">
      <alignment horizontal="fill" vertical="center"/>
    </xf>
    <xf numFmtId="0" fontId="3" fillId="3" borderId="6" xfId="0" applyFont="1" applyFill="1" applyBorder="1" applyAlignment="1" applyProtection="1">
      <alignment horizontal="fill" vertical="center" wrapText="1"/>
    </xf>
    <xf numFmtId="0" fontId="3" fillId="3" borderId="6" xfId="0" applyFont="1" applyFill="1" applyBorder="1" applyAlignment="1" applyProtection="1">
      <alignment horizontal="fill" vertical="center"/>
    </xf>
    <xf numFmtId="0" fontId="3" fillId="3" borderId="12" xfId="0" applyFont="1" applyFill="1" applyBorder="1" applyAlignment="1" applyProtection="1">
      <alignment horizontal="fill" vertical="center"/>
    </xf>
    <xf numFmtId="0" fontId="3" fillId="3" borderId="3" xfId="0" applyFont="1" applyFill="1" applyBorder="1" applyAlignment="1" applyProtection="1">
      <alignment horizontal="center" vertical="center"/>
    </xf>
    <xf numFmtId="0" fontId="3" fillId="3" borderId="11" xfId="0" applyFont="1" applyFill="1" applyBorder="1" applyAlignment="1" applyProtection="1">
      <alignment horizontal="fill" vertical="center"/>
    </xf>
    <xf numFmtId="37" fontId="3" fillId="3" borderId="12" xfId="0" applyNumberFormat="1" applyFont="1" applyFill="1" applyBorder="1" applyAlignment="1" applyProtection="1">
      <alignment horizontal="left" vertical="center"/>
    </xf>
    <xf numFmtId="0" fontId="3" fillId="3" borderId="5" xfId="0" applyFont="1" applyFill="1" applyBorder="1" applyAlignment="1" applyProtection="1">
      <alignment horizontal="center" vertical="center"/>
    </xf>
    <xf numFmtId="0" fontId="17" fillId="3" borderId="12" xfId="0" applyFont="1" applyFill="1" applyBorder="1" applyAlignment="1" applyProtection="1">
      <alignment horizontal="left" vertical="center"/>
    </xf>
    <xf numFmtId="0" fontId="3" fillId="3" borderId="8" xfId="0" applyFont="1" applyFill="1" applyBorder="1" applyAlignment="1" applyProtection="1">
      <alignment vertical="center"/>
    </xf>
    <xf numFmtId="0" fontId="17" fillId="3" borderId="3" xfId="0" applyFont="1" applyFill="1" applyBorder="1" applyAlignment="1" applyProtection="1">
      <alignment horizontal="center" vertical="center"/>
    </xf>
    <xf numFmtId="0" fontId="3" fillId="3" borderId="13" xfId="0" applyFont="1" applyFill="1" applyBorder="1" applyAlignment="1" applyProtection="1">
      <alignment vertical="center"/>
    </xf>
    <xf numFmtId="0" fontId="3" fillId="3" borderId="12" xfId="0" applyFont="1" applyFill="1" applyBorder="1" applyAlignment="1" applyProtection="1">
      <alignment horizontal="left" vertical="center"/>
    </xf>
    <xf numFmtId="3" fontId="3" fillId="3" borderId="3" xfId="0" applyNumberFormat="1" applyFont="1" applyFill="1" applyBorder="1" applyAlignment="1" applyProtection="1">
      <alignment horizontal="center" vertical="center"/>
    </xf>
    <xf numFmtId="3" fontId="3" fillId="3" borderId="5" xfId="0" applyNumberFormat="1" applyFont="1" applyFill="1" applyBorder="1" applyAlignment="1" applyProtection="1">
      <alignment vertical="center"/>
    </xf>
    <xf numFmtId="164" fontId="3" fillId="3" borderId="3" xfId="0" applyNumberFormat="1" applyFont="1" applyFill="1" applyBorder="1" applyAlignment="1" applyProtection="1">
      <alignment vertical="center"/>
    </xf>
    <xf numFmtId="0" fontId="3" fillId="3" borderId="12" xfId="0" applyFont="1" applyFill="1" applyBorder="1" applyAlignment="1" applyProtection="1">
      <alignment vertical="center"/>
    </xf>
    <xf numFmtId="37" fontId="3" fillId="3" borderId="3" xfId="0" applyNumberFormat="1" applyFont="1" applyFill="1" applyBorder="1" applyAlignment="1" applyProtection="1">
      <alignment vertical="center"/>
    </xf>
    <xf numFmtId="0" fontId="4" fillId="3" borderId="12" xfId="0" applyFont="1" applyFill="1" applyBorder="1" applyAlignment="1" applyProtection="1">
      <alignment horizontal="left" vertical="center"/>
    </xf>
    <xf numFmtId="0" fontId="3" fillId="3" borderId="3" xfId="0" applyFont="1" applyFill="1" applyBorder="1" applyAlignment="1" applyProtection="1">
      <alignment horizontal="fill" vertical="center"/>
    </xf>
    <xf numFmtId="3" fontId="3" fillId="7" borderId="7" xfId="0" applyNumberFormat="1" applyFont="1" applyFill="1" applyBorder="1" applyAlignment="1" applyProtection="1">
      <alignment vertical="center"/>
    </xf>
    <xf numFmtId="37" fontId="3" fillId="7" borderId="7" xfId="0" applyNumberFormat="1" applyFont="1" applyFill="1" applyBorder="1" applyAlignment="1" applyProtection="1">
      <alignment vertical="center"/>
    </xf>
    <xf numFmtId="165" fontId="3" fillId="3" borderId="3" xfId="0" applyNumberFormat="1" applyFont="1" applyFill="1" applyBorder="1" applyAlignment="1" applyProtection="1">
      <alignment horizontal="center" vertical="center"/>
    </xf>
    <xf numFmtId="0" fontId="7" fillId="3" borderId="0" xfId="0" applyFont="1" applyFill="1" applyAlignment="1" applyProtection="1">
      <alignment horizontal="center" vertical="center"/>
    </xf>
    <xf numFmtId="0" fontId="0" fillId="3" borderId="2" xfId="0" applyFill="1" applyBorder="1" applyAlignment="1">
      <alignment vertical="center"/>
    </xf>
    <xf numFmtId="0" fontId="0" fillId="3" borderId="8" xfId="0" applyFill="1" applyBorder="1" applyAlignment="1">
      <alignment vertical="center"/>
    </xf>
    <xf numFmtId="0" fontId="3" fillId="10" borderId="3" xfId="0" applyFont="1" applyFill="1" applyBorder="1" applyAlignment="1">
      <alignment horizontal="center" vertical="center" shrinkToFit="1"/>
    </xf>
    <xf numFmtId="0" fontId="3" fillId="3" borderId="2" xfId="0" applyFont="1" applyFill="1" applyBorder="1" applyAlignment="1">
      <alignment vertical="center"/>
    </xf>
    <xf numFmtId="165" fontId="3" fillId="3" borderId="0" xfId="0" applyNumberFormat="1" applyFont="1" applyFill="1" applyBorder="1" applyAlignment="1" applyProtection="1">
      <alignment vertical="center"/>
    </xf>
    <xf numFmtId="0" fontId="3" fillId="3" borderId="0" xfId="0" applyFont="1" applyFill="1" applyAlignment="1" applyProtection="1">
      <alignment horizontal="right" vertical="center"/>
    </xf>
    <xf numFmtId="169" fontId="3" fillId="3" borderId="0" xfId="1" applyNumberFormat="1" applyFont="1" applyFill="1" applyBorder="1" applyAlignment="1" applyProtection="1">
      <alignment vertical="center"/>
      <protection locked="0"/>
    </xf>
    <xf numFmtId="169" fontId="3" fillId="2" borderId="3" xfId="1" applyNumberFormat="1" applyFont="1" applyFill="1" applyBorder="1" applyAlignment="1" applyProtection="1">
      <alignment vertical="center"/>
      <protection locked="0"/>
    </xf>
    <xf numFmtId="0" fontId="3" fillId="3" borderId="0" xfId="0" applyFont="1" applyFill="1" applyBorder="1" applyAlignment="1" applyProtection="1">
      <alignment horizontal="right" vertical="center"/>
    </xf>
    <xf numFmtId="0" fontId="0" fillId="3" borderId="0" xfId="0" applyFill="1" applyAlignment="1">
      <alignment horizontal="center" vertical="center" wrapText="1"/>
    </xf>
    <xf numFmtId="0" fontId="3" fillId="3" borderId="0" xfId="0" applyFont="1" applyFill="1" applyBorder="1" applyAlignment="1" applyProtection="1">
      <alignment vertical="center"/>
      <protection locked="0"/>
    </xf>
    <xf numFmtId="0" fontId="3" fillId="3" borderId="1" xfId="0" applyFont="1" applyFill="1" applyBorder="1" applyAlignment="1" applyProtection="1">
      <alignment horizontal="fill"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xf>
    <xf numFmtId="0" fontId="4" fillId="3" borderId="0" xfId="0" applyFont="1" applyFill="1" applyAlignment="1" applyProtection="1">
      <alignment horizontal="center" vertical="center" wrapText="1"/>
    </xf>
    <xf numFmtId="0" fontId="3" fillId="3" borderId="0" xfId="0" quotePrefix="1" applyFont="1" applyFill="1" applyAlignment="1" applyProtection="1">
      <alignment vertical="center"/>
    </xf>
    <xf numFmtId="3" fontId="3" fillId="3" borderId="0" xfId="0" quotePrefix="1" applyNumberFormat="1" applyFont="1" applyFill="1" applyAlignment="1" applyProtection="1">
      <alignment vertical="center"/>
    </xf>
    <xf numFmtId="3" fontId="3" fillId="7" borderId="2" xfId="0" applyNumberFormat="1" applyFont="1" applyFill="1" applyBorder="1" applyAlignment="1" applyProtection="1">
      <alignment vertical="center"/>
    </xf>
    <xf numFmtId="3" fontId="3" fillId="3" borderId="1" xfId="0" applyNumberFormat="1" applyFont="1" applyFill="1" applyBorder="1" applyAlignment="1" applyProtection="1">
      <alignment vertical="center"/>
    </xf>
    <xf numFmtId="3" fontId="3" fillId="3" borderId="0" xfId="0" applyNumberFormat="1" applyFont="1" applyFill="1" applyBorder="1" applyAlignment="1" applyProtection="1">
      <alignment vertical="center"/>
    </xf>
    <xf numFmtId="3" fontId="3" fillId="3" borderId="9" xfId="0" applyNumberFormat="1" applyFont="1" applyFill="1" applyBorder="1" applyAlignment="1" applyProtection="1">
      <alignment vertical="center"/>
    </xf>
    <xf numFmtId="168" fontId="3" fillId="3" borderId="1" xfId="0" applyNumberFormat="1" applyFont="1" applyFill="1" applyBorder="1" applyAlignment="1" applyProtection="1">
      <alignment vertical="center"/>
    </xf>
    <xf numFmtId="0" fontId="3" fillId="3" borderId="0" xfId="0" quotePrefix="1" applyFont="1" applyFill="1" applyBorder="1" applyAlignment="1" applyProtection="1">
      <alignment vertical="center"/>
    </xf>
    <xf numFmtId="3" fontId="3" fillId="3" borderId="17" xfId="0" applyNumberFormat="1" applyFont="1" applyFill="1" applyBorder="1" applyAlignment="1" applyProtection="1">
      <alignment vertical="center"/>
    </xf>
    <xf numFmtId="0" fontId="3" fillId="3" borderId="1" xfId="1" applyNumberFormat="1" applyFont="1" applyFill="1" applyBorder="1" applyAlignment="1" applyProtection="1">
      <alignment vertical="center"/>
    </xf>
    <xf numFmtId="37" fontId="3" fillId="3" borderId="0" xfId="0" applyNumberFormat="1" applyFont="1" applyFill="1" applyAlignment="1" applyProtection="1">
      <alignment horizontal="right" vertical="center"/>
    </xf>
    <xf numFmtId="37" fontId="3" fillId="3" borderId="0" xfId="0" applyNumberFormat="1" applyFont="1" applyFill="1" applyAlignment="1" applyProtection="1">
      <alignment vertical="center"/>
    </xf>
    <xf numFmtId="37" fontId="4" fillId="3" borderId="0" xfId="0" applyNumberFormat="1" applyFont="1" applyFill="1" applyBorder="1" applyAlignment="1" applyProtection="1">
      <alignment horizontal="center" vertical="center"/>
    </xf>
    <xf numFmtId="37" fontId="3" fillId="3" borderId="1" xfId="0" applyNumberFormat="1" applyFont="1" applyFill="1" applyBorder="1" applyAlignment="1" applyProtection="1">
      <alignment vertical="center"/>
    </xf>
    <xf numFmtId="166" fontId="3" fillId="7" borderId="1" xfId="0" applyNumberFormat="1" applyFont="1" applyFill="1" applyBorder="1" applyAlignment="1" applyProtection="1">
      <alignment vertical="center"/>
    </xf>
    <xf numFmtId="166" fontId="3" fillId="3" borderId="0" xfId="0" applyNumberFormat="1" applyFont="1" applyFill="1" applyBorder="1" applyAlignment="1" applyProtection="1">
      <alignment vertical="center"/>
    </xf>
    <xf numFmtId="167" fontId="3" fillId="7" borderId="1" xfId="0" applyNumberFormat="1" applyFont="1" applyFill="1" applyBorder="1" applyAlignment="1" applyProtection="1">
      <alignment vertical="center"/>
    </xf>
    <xf numFmtId="167" fontId="3" fillId="3" borderId="0" xfId="0" applyNumberFormat="1" applyFont="1" applyFill="1" applyBorder="1" applyAlignment="1" applyProtection="1">
      <alignment vertical="center"/>
    </xf>
    <xf numFmtId="0" fontId="3" fillId="0" borderId="0" xfId="0" applyFont="1" applyFill="1" applyAlignment="1" applyProtection="1">
      <alignment vertical="center"/>
      <protection locked="0"/>
    </xf>
    <xf numFmtId="0" fontId="3" fillId="3" borderId="0" xfId="0" applyNumberFormat="1" applyFont="1" applyFill="1" applyAlignment="1" applyProtection="1">
      <alignment horizontal="right" vertical="center"/>
    </xf>
    <xf numFmtId="37" fontId="3" fillId="4" borderId="3" xfId="0" applyNumberFormat="1" applyFont="1" applyFill="1" applyBorder="1" applyAlignment="1" applyProtection="1">
      <alignment vertical="center"/>
      <protection locked="0"/>
    </xf>
    <xf numFmtId="37" fontId="3" fillId="7" borderId="3" xfId="0" applyNumberFormat="1" applyFont="1" applyFill="1" applyBorder="1" applyAlignment="1" applyProtection="1">
      <alignment vertical="center"/>
    </xf>
    <xf numFmtId="0" fontId="3" fillId="3" borderId="10" xfId="0" applyFont="1" applyFill="1" applyBorder="1" applyAlignment="1" applyProtection="1">
      <alignment vertical="center"/>
    </xf>
    <xf numFmtId="165" fontId="3" fillId="3" borderId="0" xfId="0" applyNumberFormat="1" applyFont="1" applyFill="1" applyAlignment="1" applyProtection="1">
      <alignment vertical="center"/>
    </xf>
    <xf numFmtId="165" fontId="3" fillId="3" borderId="0" xfId="0" quotePrefix="1" applyNumberFormat="1" applyFont="1" applyFill="1" applyAlignment="1" applyProtection="1">
      <alignment horizontal="right" vertical="center"/>
    </xf>
    <xf numFmtId="37" fontId="3" fillId="3" borderId="4" xfId="0" applyNumberFormat="1" applyFont="1" applyFill="1" applyBorder="1" applyAlignment="1" applyProtection="1">
      <alignment horizontal="center" vertical="center"/>
    </xf>
    <xf numFmtId="0" fontId="3" fillId="3" borderId="5" xfId="0" applyNumberFormat="1" applyFont="1" applyFill="1" applyBorder="1" applyAlignment="1" applyProtection="1">
      <alignment horizontal="center" vertical="center"/>
    </xf>
    <xf numFmtId="0" fontId="3" fillId="3" borderId="13" xfId="0" applyFont="1" applyFill="1" applyBorder="1" applyAlignment="1" applyProtection="1">
      <alignment horizontal="left" vertical="center"/>
    </xf>
    <xf numFmtId="37" fontId="3" fillId="3" borderId="12" xfId="0" applyNumberFormat="1" applyFont="1" applyFill="1" applyBorder="1" applyAlignment="1" applyProtection="1">
      <alignment vertical="center"/>
    </xf>
    <xf numFmtId="37" fontId="3" fillId="4" borderId="12" xfId="0" applyNumberFormat="1" applyFont="1" applyFill="1" applyBorder="1" applyAlignment="1" applyProtection="1">
      <alignment vertical="center"/>
      <protection locked="0"/>
    </xf>
    <xf numFmtId="0" fontId="3" fillId="2" borderId="12" xfId="0" applyFont="1" applyFill="1" applyBorder="1" applyAlignment="1" applyProtection="1">
      <alignment horizontal="left" vertical="center"/>
      <protection locked="0"/>
    </xf>
    <xf numFmtId="37" fontId="3" fillId="3" borderId="12" xfId="0" applyNumberFormat="1" applyFont="1" applyFill="1" applyBorder="1" applyAlignment="1" applyProtection="1">
      <alignment horizontal="left" vertical="center"/>
      <protection locked="0"/>
    </xf>
    <xf numFmtId="37" fontId="4" fillId="3" borderId="12" xfId="0" applyNumberFormat="1" applyFont="1" applyFill="1" applyBorder="1" applyAlignment="1" applyProtection="1">
      <alignment horizontal="left" vertical="center"/>
    </xf>
    <xf numFmtId="3" fontId="4" fillId="7" borderId="3" xfId="0" applyNumberFormat="1" applyFont="1" applyFill="1" applyBorder="1" applyAlignment="1" applyProtection="1">
      <alignment vertical="center"/>
    </xf>
    <xf numFmtId="0" fontId="21" fillId="0" borderId="0" xfId="0" applyFont="1" applyAlignment="1">
      <alignment vertical="center"/>
    </xf>
    <xf numFmtId="37" fontId="3" fillId="3" borderId="0" xfId="0" applyNumberFormat="1" applyFont="1" applyFill="1" applyBorder="1" applyAlignment="1" applyProtection="1">
      <alignment vertical="center"/>
    </xf>
    <xf numFmtId="0" fontId="3" fillId="3" borderId="0" xfId="0" applyFont="1" applyFill="1" applyAlignment="1" applyProtection="1">
      <alignment horizontal="left" vertical="center"/>
      <protection locked="0"/>
    </xf>
    <xf numFmtId="0" fontId="3" fillId="3" borderId="12" xfId="0" applyFont="1" applyFill="1" applyBorder="1" applyAlignment="1" applyProtection="1">
      <alignment horizontal="centerContinuous" vertical="center"/>
    </xf>
    <xf numFmtId="0" fontId="3" fillId="3" borderId="8" xfId="0" applyFont="1" applyFill="1" applyBorder="1" applyAlignment="1" applyProtection="1">
      <alignment horizontal="centerContinuous" vertical="center"/>
    </xf>
    <xf numFmtId="0" fontId="3" fillId="3" borderId="3" xfId="0" applyFont="1" applyFill="1" applyBorder="1" applyAlignment="1" applyProtection="1">
      <alignment horizontal="centerContinuous" vertical="center"/>
    </xf>
    <xf numFmtId="0" fontId="3" fillId="3" borderId="2" xfId="0" applyFont="1" applyFill="1" applyBorder="1" applyAlignment="1" applyProtection="1">
      <alignment horizontal="centerContinuous" vertical="center"/>
    </xf>
    <xf numFmtId="0" fontId="3" fillId="3" borderId="10"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164" fontId="3" fillId="7" borderId="3" xfId="0" applyNumberFormat="1" applyFont="1" applyFill="1" applyBorder="1" applyAlignment="1" applyProtection="1">
      <alignment vertical="center"/>
    </xf>
    <xf numFmtId="37" fontId="3" fillId="7" borderId="5" xfId="0" applyNumberFormat="1" applyFont="1" applyFill="1" applyBorder="1" applyAlignment="1" applyProtection="1">
      <alignment vertical="center"/>
    </xf>
    <xf numFmtId="37" fontId="3" fillId="3" borderId="6" xfId="0" applyNumberFormat="1" applyFont="1" applyFill="1" applyBorder="1" applyAlignment="1" applyProtection="1">
      <alignment vertical="center"/>
    </xf>
    <xf numFmtId="165" fontId="3" fillId="4" borderId="0" xfId="0" applyNumberFormat="1" applyFont="1" applyFill="1" applyAlignment="1" applyProtection="1">
      <alignment vertical="center"/>
      <protection locked="0"/>
    </xf>
    <xf numFmtId="0" fontId="5" fillId="0" borderId="0" xfId="0" applyFont="1" applyAlignment="1">
      <alignment vertical="center"/>
    </xf>
    <xf numFmtId="0" fontId="3" fillId="0" borderId="0" xfId="0" applyFont="1" applyAlignment="1">
      <alignment vertical="center" wrapText="1"/>
    </xf>
    <xf numFmtId="0" fontId="26" fillId="0" borderId="0" xfId="164" applyFont="1"/>
    <xf numFmtId="0" fontId="9" fillId="0" borderId="0" xfId="164" applyNumberFormat="1" applyFont="1" applyAlignment="1">
      <alignment horizontal="left" vertical="center"/>
    </xf>
    <xf numFmtId="0" fontId="3" fillId="0" borderId="0" xfId="164" applyFont="1" applyAlignment="1">
      <alignment horizontal="left" vertical="center"/>
    </xf>
    <xf numFmtId="49" fontId="3" fillId="2" borderId="0" xfId="164" applyNumberFormat="1" applyFont="1" applyFill="1" applyAlignment="1" applyProtection="1">
      <alignment horizontal="left" vertical="center"/>
      <protection locked="0"/>
    </xf>
    <xf numFmtId="174" fontId="23" fillId="0" borderId="0" xfId="164" applyNumberFormat="1" applyFont="1" applyAlignment="1">
      <alignment horizontal="left" vertical="center"/>
    </xf>
    <xf numFmtId="49" fontId="3" fillId="0" borderId="0" xfId="164" applyNumberFormat="1" applyFont="1" applyAlignment="1">
      <alignment horizontal="left" vertical="center"/>
    </xf>
    <xf numFmtId="0" fontId="23" fillId="0" borderId="0" xfId="164" applyFont="1" applyAlignment="1">
      <alignment horizontal="left" vertical="center"/>
    </xf>
    <xf numFmtId="175" fontId="23" fillId="0" borderId="0" xfId="164" applyNumberFormat="1" applyFont="1" applyAlignment="1">
      <alignment horizontal="left" vertical="center"/>
    </xf>
    <xf numFmtId="0" fontId="3" fillId="2" borderId="0" xfId="164" applyFont="1" applyFill="1" applyAlignment="1" applyProtection="1">
      <alignment horizontal="left" vertical="center"/>
      <protection locked="0"/>
    </xf>
    <xf numFmtId="0" fontId="26" fillId="2" borderId="0" xfId="164" applyFont="1" applyFill="1" applyAlignment="1" applyProtection="1">
      <alignment horizontal="left" vertical="center"/>
      <protection locked="0"/>
    </xf>
    <xf numFmtId="0" fontId="2" fillId="0" borderId="0" xfId="64" applyFont="1"/>
    <xf numFmtId="0" fontId="2" fillId="0" borderId="0" xfId="64" applyFont="1" applyFill="1"/>
    <xf numFmtId="0" fontId="0" fillId="0" borderId="0" xfId="0" applyAlignment="1"/>
    <xf numFmtId="0" fontId="5" fillId="0" borderId="0" xfId="44" applyFont="1" applyAlignment="1">
      <alignment vertical="center"/>
    </xf>
    <xf numFmtId="0" fontId="3" fillId="0" borderId="0" xfId="48" applyFont="1" applyAlignment="1">
      <alignment vertical="center"/>
    </xf>
    <xf numFmtId="0" fontId="19" fillId="0" borderId="0" xfId="0" applyFont="1" applyAlignment="1">
      <alignment horizontal="center"/>
    </xf>
    <xf numFmtId="0" fontId="2" fillId="0" borderId="0" xfId="0" applyFont="1"/>
    <xf numFmtId="0" fontId="27" fillId="0" borderId="0" xfId="0" applyFont="1"/>
    <xf numFmtId="0" fontId="27" fillId="0" borderId="0" xfId="0" applyFont="1" applyAlignment="1"/>
    <xf numFmtId="0" fontId="2" fillId="0" borderId="0" xfId="0" quotePrefix="1" applyFont="1"/>
    <xf numFmtId="0" fontId="2" fillId="0" borderId="0" xfId="0" applyFont="1" applyAlignment="1"/>
    <xf numFmtId="0" fontId="27" fillId="0" borderId="0" xfId="0" applyFont="1" applyAlignment="1">
      <alignment horizontal="center"/>
    </xf>
    <xf numFmtId="0" fontId="5" fillId="0" borderId="0" xfId="43" applyFont="1" applyAlignment="1">
      <alignment vertical="center"/>
    </xf>
    <xf numFmtId="1" fontId="3" fillId="3" borderId="14" xfId="0" applyNumberFormat="1" applyFont="1" applyFill="1" applyBorder="1" applyAlignment="1" applyProtection="1">
      <alignment horizontal="center" vertical="center"/>
    </xf>
    <xf numFmtId="37" fontId="3" fillId="3" borderId="14" xfId="0" applyNumberFormat="1" applyFont="1" applyFill="1" applyBorder="1" applyAlignment="1" applyProtection="1">
      <alignment horizontal="center" vertical="center"/>
    </xf>
    <xf numFmtId="0" fontId="3" fillId="3" borderId="13" xfId="0" applyNumberFormat="1" applyFont="1" applyFill="1" applyBorder="1" applyAlignment="1" applyProtection="1">
      <alignment horizontal="center" vertical="center"/>
    </xf>
    <xf numFmtId="3" fontId="3" fillId="4" borderId="12" xfId="0" applyNumberFormat="1" applyFont="1" applyFill="1" applyBorder="1" applyAlignment="1" applyProtection="1">
      <alignment vertical="center"/>
      <protection locked="0"/>
    </xf>
    <xf numFmtId="3" fontId="3" fillId="3" borderId="12" xfId="0" applyNumberFormat="1" applyFont="1" applyFill="1" applyBorder="1" applyAlignment="1" applyProtection="1">
      <alignment vertical="center"/>
    </xf>
    <xf numFmtId="3" fontId="21" fillId="10" borderId="12" xfId="0" applyNumberFormat="1" applyFont="1" applyFill="1" applyBorder="1" applyAlignment="1" applyProtection="1">
      <alignment horizontal="center" vertical="center"/>
    </xf>
    <xf numFmtId="3" fontId="4" fillId="7" borderId="12" xfId="0" applyNumberFormat="1" applyFont="1" applyFill="1" applyBorder="1" applyAlignment="1" applyProtection="1">
      <alignment vertical="center"/>
    </xf>
    <xf numFmtId="3" fontId="3" fillId="7" borderId="12" xfId="0" applyNumberFormat="1" applyFont="1" applyFill="1" applyBorder="1" applyAlignment="1" applyProtection="1">
      <alignment vertical="center"/>
    </xf>
    <xf numFmtId="0" fontId="3" fillId="4" borderId="3" xfId="0" applyFont="1" applyFill="1" applyBorder="1" applyAlignment="1" applyProtection="1">
      <alignment horizontal="center" vertical="center"/>
      <protection locked="0"/>
    </xf>
    <xf numFmtId="173" fontId="3" fillId="4" borderId="3" xfId="0" applyNumberFormat="1" applyFont="1" applyFill="1" applyBorder="1" applyAlignment="1" applyProtection="1">
      <alignment vertical="center"/>
      <protection locked="0"/>
    </xf>
    <xf numFmtId="3" fontId="3" fillId="7" borderId="4" xfId="0" applyNumberFormat="1" applyFont="1" applyFill="1" applyBorder="1" applyAlignment="1" applyProtection="1">
      <alignment vertical="center"/>
    </xf>
    <xf numFmtId="37" fontId="3" fillId="7" borderId="4" xfId="0" applyNumberFormat="1" applyFont="1" applyFill="1" applyBorder="1" applyAlignment="1" applyProtection="1">
      <alignment vertical="center"/>
    </xf>
    <xf numFmtId="170" fontId="3" fillId="7" borderId="4" xfId="0" applyNumberFormat="1" applyFont="1" applyFill="1" applyBorder="1" applyAlignment="1" applyProtection="1">
      <alignment vertical="center"/>
    </xf>
    <xf numFmtId="0" fontId="21" fillId="10" borderId="12" xfId="0" applyFont="1" applyFill="1" applyBorder="1" applyAlignment="1" applyProtection="1">
      <alignment horizontal="center" vertical="center"/>
    </xf>
    <xf numFmtId="0" fontId="7" fillId="8" borderId="4" xfId="0" applyFont="1" applyFill="1" applyBorder="1" applyAlignment="1" applyProtection="1">
      <alignment horizontal="center" vertical="center"/>
    </xf>
    <xf numFmtId="0" fontId="3" fillId="12" borderId="0" xfId="0" applyFont="1" applyFill="1" applyBorder="1" applyAlignment="1">
      <alignment horizontal="center" vertical="center" shrinkToFit="1"/>
    </xf>
    <xf numFmtId="0" fontId="3" fillId="13" borderId="1" xfId="0" applyFont="1" applyFill="1" applyBorder="1" applyAlignment="1" applyProtection="1">
      <alignment vertical="center"/>
    </xf>
    <xf numFmtId="0" fontId="3" fillId="13" borderId="2" xfId="0" applyFont="1" applyFill="1" applyBorder="1" applyAlignment="1" applyProtection="1">
      <alignment horizontal="right" vertical="center"/>
    </xf>
    <xf numFmtId="0" fontId="3" fillId="13" borderId="2" xfId="0" applyFont="1" applyFill="1" applyBorder="1" applyAlignment="1" applyProtection="1">
      <alignment vertical="center"/>
    </xf>
    <xf numFmtId="0" fontId="7" fillId="3" borderId="0" xfId="0" applyFont="1" applyFill="1" applyBorder="1" applyAlignment="1" applyProtection="1">
      <alignment horizontal="center" vertical="center"/>
    </xf>
    <xf numFmtId="0" fontId="3" fillId="3" borderId="9" xfId="0" applyFont="1" applyFill="1" applyBorder="1" applyAlignment="1" applyProtection="1">
      <alignment vertical="center"/>
    </xf>
    <xf numFmtId="0" fontId="0" fillId="3" borderId="9" xfId="0" applyFill="1" applyBorder="1" applyAlignment="1">
      <alignment horizontal="center" vertical="center"/>
    </xf>
    <xf numFmtId="0" fontId="0" fillId="3" borderId="1" xfId="0" applyFill="1" applyBorder="1" applyAlignment="1">
      <alignment horizontal="center" vertical="center" wrapText="1"/>
    </xf>
    <xf numFmtId="0" fontId="3" fillId="13" borderId="2" xfId="0" applyFont="1" applyFill="1" applyBorder="1" applyAlignment="1" applyProtection="1">
      <alignment vertical="center"/>
      <protection locked="0"/>
    </xf>
    <xf numFmtId="0" fontId="3" fillId="3" borderId="1" xfId="0" applyFont="1" applyFill="1" applyBorder="1" applyAlignment="1">
      <alignment vertical="center"/>
    </xf>
    <xf numFmtId="0" fontId="3" fillId="13" borderId="2" xfId="0" applyFont="1" applyFill="1" applyBorder="1" applyAlignment="1" applyProtection="1">
      <alignment horizontal="left" vertical="center"/>
    </xf>
    <xf numFmtId="0" fontId="3" fillId="12" borderId="0" xfId="0" applyFont="1" applyFill="1" applyBorder="1" applyAlignment="1" applyProtection="1">
      <alignment horizontal="left" vertical="center"/>
      <protection locked="0"/>
    </xf>
    <xf numFmtId="0" fontId="3" fillId="3" borderId="1" xfId="0" applyFont="1" applyFill="1" applyBorder="1" applyAlignment="1" applyProtection="1">
      <alignment vertical="center"/>
      <protection locked="0"/>
    </xf>
    <xf numFmtId="3" fontId="3" fillId="14" borderId="1" xfId="0" applyNumberFormat="1" applyFont="1" applyFill="1" applyBorder="1" applyAlignment="1" applyProtection="1">
      <alignment vertical="center"/>
    </xf>
    <xf numFmtId="0" fontId="4" fillId="3" borderId="0" xfId="177" applyFont="1" applyFill="1" applyAlignment="1" applyProtection="1">
      <alignment vertical="center"/>
    </xf>
    <xf numFmtId="0" fontId="4" fillId="3" borderId="0" xfId="0" applyFont="1" applyFill="1" applyBorder="1" applyAlignment="1" applyProtection="1">
      <alignment vertical="center"/>
    </xf>
    <xf numFmtId="3" fontId="21" fillId="10" borderId="3" xfId="0" applyNumberFormat="1" applyFont="1" applyFill="1" applyBorder="1" applyAlignment="1" applyProtection="1">
      <alignment horizontal="center" vertical="center"/>
    </xf>
    <xf numFmtId="0" fontId="3" fillId="12" borderId="16" xfId="0" applyFont="1" applyFill="1" applyBorder="1" applyAlignment="1" applyProtection="1">
      <alignment vertical="center"/>
    </xf>
    <xf numFmtId="0" fontId="3" fillId="12" borderId="0" xfId="0" applyFont="1" applyFill="1" applyBorder="1" applyAlignment="1" applyProtection="1">
      <alignment vertical="center"/>
    </xf>
    <xf numFmtId="0" fontId="3" fillId="12" borderId="11" xfId="0" applyFont="1" applyFill="1" applyBorder="1" applyAlignment="1" applyProtection="1">
      <alignment vertical="center"/>
    </xf>
    <xf numFmtId="176" fontId="7" fillId="12" borderId="16" xfId="0" applyNumberFormat="1" applyFont="1" applyFill="1" applyBorder="1" applyAlignment="1" applyProtection="1">
      <alignment horizontal="center" vertical="center"/>
    </xf>
    <xf numFmtId="0" fontId="7" fillId="12" borderId="0" xfId="0" applyFont="1" applyFill="1" applyBorder="1" applyAlignment="1" applyProtection="1">
      <alignment horizontal="left" vertical="center"/>
    </xf>
    <xf numFmtId="0" fontId="7" fillId="12" borderId="0" xfId="0" applyFont="1" applyFill="1" applyBorder="1" applyAlignment="1" applyProtection="1">
      <alignment vertical="center"/>
    </xf>
    <xf numFmtId="176" fontId="7" fillId="12" borderId="13" xfId="0" applyNumberFormat="1" applyFont="1" applyFill="1" applyBorder="1" applyAlignment="1" applyProtection="1">
      <alignment horizontal="center" vertical="center"/>
    </xf>
    <xf numFmtId="176" fontId="7" fillId="12" borderId="16" xfId="0" applyNumberFormat="1" applyFont="1" applyFill="1" applyBorder="1" applyAlignment="1" applyProtection="1">
      <alignment vertical="center"/>
    </xf>
    <xf numFmtId="176" fontId="34" fillId="15" borderId="13" xfId="0" applyNumberFormat="1" applyFont="1" applyFill="1" applyBorder="1" applyAlignment="1" applyProtection="1">
      <alignment horizontal="center" vertical="center"/>
    </xf>
    <xf numFmtId="0" fontId="34" fillId="15" borderId="1" xfId="0" applyFont="1" applyFill="1" applyBorder="1" applyAlignment="1" applyProtection="1">
      <alignment vertical="center"/>
    </xf>
    <xf numFmtId="0" fontId="7" fillId="15" borderId="1" xfId="0" applyFont="1" applyFill="1" applyBorder="1" applyAlignment="1" applyProtection="1">
      <alignment vertical="center"/>
    </xf>
    <xf numFmtId="0" fontId="3" fillId="15" borderId="6" xfId="0" applyFont="1" applyFill="1" applyBorder="1" applyAlignment="1" applyProtection="1">
      <alignment vertical="center"/>
    </xf>
    <xf numFmtId="37" fontId="3" fillId="3" borderId="3" xfId="0" applyNumberFormat="1" applyFont="1" applyFill="1" applyBorder="1" applyAlignment="1" applyProtection="1">
      <alignment horizontal="center" vertical="center"/>
    </xf>
    <xf numFmtId="173" fontId="34" fillId="12" borderId="12" xfId="0" applyNumberFormat="1" applyFont="1" applyFill="1" applyBorder="1" applyAlignment="1" applyProtection="1">
      <alignment horizontal="center" vertical="center"/>
    </xf>
    <xf numFmtId="0" fontId="7" fillId="12" borderId="2" xfId="0" applyFont="1" applyFill="1" applyBorder="1" applyAlignment="1" applyProtection="1">
      <alignment horizontal="left" vertical="center"/>
    </xf>
    <xf numFmtId="0" fontId="32" fillId="12" borderId="2" xfId="0" applyFont="1" applyFill="1" applyBorder="1" applyAlignment="1" applyProtection="1">
      <alignment horizontal="center" vertical="center"/>
    </xf>
    <xf numFmtId="0" fontId="0" fillId="12" borderId="8" xfId="0" applyFill="1" applyBorder="1" applyAlignment="1" applyProtection="1">
      <alignment vertical="center"/>
    </xf>
    <xf numFmtId="0" fontId="35" fillId="3" borderId="0" xfId="0" applyFont="1" applyFill="1" applyAlignment="1" applyProtection="1">
      <alignment horizontal="center" vertical="center"/>
    </xf>
    <xf numFmtId="0" fontId="3" fillId="0" borderId="0" xfId="0" applyFont="1" applyFill="1" applyBorder="1" applyAlignment="1" applyProtection="1">
      <alignment vertical="center"/>
    </xf>
    <xf numFmtId="0" fontId="36" fillId="3" borderId="0" xfId="4" applyFont="1" applyFill="1" applyAlignment="1" applyProtection="1">
      <alignment horizontal="center" vertical="center"/>
    </xf>
    <xf numFmtId="37" fontId="3" fillId="3" borderId="0" xfId="4" applyNumberFormat="1" applyFont="1" applyFill="1" applyAlignment="1" applyProtection="1">
      <alignment horizontal="right" vertical="center"/>
    </xf>
    <xf numFmtId="0" fontId="3" fillId="3" borderId="0" xfId="15" applyFont="1" applyFill="1" applyAlignment="1" applyProtection="1">
      <alignment horizontal="right" vertical="center"/>
    </xf>
    <xf numFmtId="173" fontId="3" fillId="3" borderId="0" xfId="4" applyNumberFormat="1" applyFont="1" applyFill="1" applyAlignment="1" applyProtection="1">
      <alignment horizontal="center" vertical="center"/>
    </xf>
    <xf numFmtId="0" fontId="7" fillId="12" borderId="16" xfId="0" applyFont="1" applyFill="1" applyBorder="1" applyAlignment="1" applyProtection="1">
      <alignment vertical="center"/>
    </xf>
    <xf numFmtId="176" fontId="7" fillId="12" borderId="11" xfId="0" applyNumberFormat="1" applyFont="1" applyFill="1" applyBorder="1" applyAlignment="1" applyProtection="1">
      <alignment horizontal="center" vertical="center"/>
    </xf>
    <xf numFmtId="0" fontId="7" fillId="12" borderId="16" xfId="0" applyFont="1" applyFill="1" applyBorder="1" applyAlignment="1" applyProtection="1">
      <alignment horizontal="left" vertical="center"/>
    </xf>
    <xf numFmtId="176" fontId="7" fillId="13" borderId="3" xfId="0" applyNumberFormat="1" applyFont="1" applyFill="1" applyBorder="1" applyAlignment="1" applyProtection="1">
      <alignment horizontal="center" vertical="center"/>
      <protection locked="0"/>
    </xf>
    <xf numFmtId="0" fontId="34" fillId="12" borderId="6" xfId="0" applyFont="1" applyFill="1" applyBorder="1" applyAlignment="1" applyProtection="1">
      <alignment horizontal="center" vertical="center"/>
    </xf>
    <xf numFmtId="0" fontId="34" fillId="15" borderId="13" xfId="0" applyFont="1" applyFill="1" applyBorder="1" applyAlignment="1" applyProtection="1">
      <alignment vertical="center"/>
    </xf>
    <xf numFmtId="0" fontId="3" fillId="15" borderId="1" xfId="0" applyFont="1" applyFill="1" applyBorder="1" applyAlignment="1" applyProtection="1">
      <alignment vertical="center"/>
    </xf>
    <xf numFmtId="176" fontId="34" fillId="15" borderId="6" xfId="0" applyNumberFormat="1" applyFont="1" applyFill="1" applyBorder="1" applyAlignment="1" applyProtection="1">
      <alignment horizontal="center" vertical="center"/>
    </xf>
    <xf numFmtId="37" fontId="3" fillId="5" borderId="0" xfId="0" applyNumberFormat="1" applyFont="1" applyFill="1" applyAlignment="1" applyProtection="1">
      <alignment horizontal="center" vertical="center" wrapText="1"/>
    </xf>
    <xf numFmtId="0" fontId="0" fillId="5" borderId="1" xfId="0" applyFill="1" applyBorder="1" applyAlignment="1">
      <alignment vertical="center" wrapText="1"/>
    </xf>
    <xf numFmtId="37" fontId="18" fillId="3" borderId="0" xfId="0" applyNumberFormat="1" applyFont="1" applyFill="1" applyAlignment="1" applyProtection="1">
      <alignment horizontal="center" vertical="center"/>
    </xf>
    <xf numFmtId="0" fontId="19" fillId="0" borderId="0" xfId="0" applyFont="1" applyAlignment="1">
      <alignment horizontal="center" vertical="center"/>
    </xf>
    <xf numFmtId="0" fontId="17" fillId="3" borderId="0" xfId="0" applyFont="1" applyFill="1" applyAlignment="1" applyProtection="1">
      <alignment horizontal="center" vertical="center"/>
    </xf>
    <xf numFmtId="0" fontId="1" fillId="0" borderId="0" xfId="0" applyFont="1" applyAlignment="1">
      <alignment horizontal="center" vertical="center"/>
    </xf>
    <xf numFmtId="37" fontId="4" fillId="3" borderId="0" xfId="0" applyNumberFormat="1" applyFont="1" applyFill="1" applyAlignment="1" applyProtection="1">
      <alignment horizontal="center" vertical="center"/>
    </xf>
    <xf numFmtId="0" fontId="0" fillId="0" borderId="0" xfId="0" applyAlignment="1">
      <alignment horizontal="center" vertical="center"/>
    </xf>
    <xf numFmtId="0" fontId="4" fillId="3" borderId="0" xfId="0" applyFont="1" applyFill="1" applyAlignment="1" applyProtection="1">
      <alignment horizontal="left" vertical="center"/>
    </xf>
    <xf numFmtId="0" fontId="0" fillId="0" borderId="0" xfId="0" applyAlignment="1">
      <alignment horizontal="left" vertical="center"/>
    </xf>
    <xf numFmtId="0" fontId="3" fillId="5" borderId="4"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37" fontId="17" fillId="3" borderId="0" xfId="0" applyNumberFormat="1" applyFont="1" applyFill="1" applyBorder="1" applyAlignment="1" applyProtection="1">
      <alignment horizontal="center" vertical="center"/>
    </xf>
    <xf numFmtId="0" fontId="4" fillId="8" borderId="0" xfId="0" applyFont="1" applyFill="1" applyBorder="1" applyAlignment="1">
      <alignment horizontal="center" vertical="center"/>
    </xf>
    <xf numFmtId="0" fontId="1" fillId="8" borderId="0" xfId="0" applyFont="1" applyFill="1" applyBorder="1" applyAlignment="1">
      <alignment horizontal="center" vertical="center"/>
    </xf>
    <xf numFmtId="0" fontId="21" fillId="3" borderId="0" xfId="0" applyFont="1" applyFill="1" applyBorder="1" applyAlignment="1">
      <alignment vertical="center"/>
    </xf>
    <xf numFmtId="0" fontId="22" fillId="0" borderId="0" xfId="0" applyFont="1" applyAlignment="1">
      <alignment vertical="center"/>
    </xf>
    <xf numFmtId="0" fontId="3" fillId="0" borderId="0" xfId="164" applyFont="1" applyAlignment="1">
      <alignment horizontal="left" vertical="center" wrapText="1"/>
    </xf>
    <xf numFmtId="0" fontId="26" fillId="0" borderId="0" xfId="164" applyFont="1" applyAlignment="1">
      <alignment horizontal="left" vertical="center" wrapText="1"/>
    </xf>
    <xf numFmtId="0" fontId="17" fillId="0" borderId="0" xfId="164" applyFont="1" applyAlignment="1">
      <alignment horizontal="left" vertical="center"/>
    </xf>
    <xf numFmtId="0" fontId="8" fillId="11" borderId="0" xfId="0" applyFont="1" applyFill="1" applyAlignment="1">
      <alignment horizontal="right" vertical="center" textRotation="180" wrapText="1"/>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0" fontId="3" fillId="3" borderId="12" xfId="0" applyFont="1" applyFill="1" applyBorder="1" applyAlignment="1" applyProtection="1">
      <alignment horizontal="center" vertical="center"/>
    </xf>
    <xf numFmtId="0" fontId="0" fillId="0" borderId="2" xfId="0" applyBorder="1" applyAlignment="1">
      <alignment vertical="center"/>
    </xf>
    <xf numFmtId="0" fontId="0" fillId="0" borderId="8" xfId="0" applyBorder="1" applyAlignment="1">
      <alignment vertical="center"/>
    </xf>
    <xf numFmtId="0" fontId="3" fillId="3" borderId="10" xfId="0" applyFont="1" applyFill="1" applyBorder="1" applyAlignment="1" applyProtection="1">
      <alignment horizontal="center" vertical="center" wrapText="1"/>
    </xf>
    <xf numFmtId="0" fontId="7" fillId="8" borderId="4" xfId="0" applyFont="1" applyFill="1" applyBorder="1" applyAlignment="1" applyProtection="1">
      <alignment horizontal="center" vertical="center" wrapText="1"/>
    </xf>
    <xf numFmtId="0" fontId="0" fillId="0" borderId="5" xfId="0"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2" fillId="12" borderId="14" xfId="0" applyFont="1" applyFill="1" applyBorder="1" applyAlignment="1" applyProtection="1">
      <alignment horizontal="center" vertical="center"/>
    </xf>
    <xf numFmtId="0" fontId="33" fillId="0" borderId="9" xfId="0" applyFont="1" applyBorder="1" applyAlignment="1" applyProtection="1">
      <alignment horizontal="center" vertical="center"/>
    </xf>
    <xf numFmtId="0" fontId="0" fillId="0" borderId="15" xfId="0" applyBorder="1" applyAlignment="1" applyProtection="1">
      <alignment vertical="center"/>
    </xf>
    <xf numFmtId="3" fontId="3" fillId="3" borderId="9" xfId="15" applyNumberFormat="1" applyFont="1" applyFill="1" applyBorder="1" applyAlignment="1" applyProtection="1">
      <alignment horizontal="right" vertical="center"/>
    </xf>
    <xf numFmtId="0" fontId="2" fillId="0" borderId="15" xfId="15" applyBorder="1" applyAlignment="1">
      <alignment horizontal="right" vertical="center"/>
    </xf>
    <xf numFmtId="0" fontId="3" fillId="3" borderId="0" xfId="15" applyFont="1" applyFill="1" applyAlignment="1" applyProtection="1">
      <alignment horizontal="right" vertical="center"/>
    </xf>
    <xf numFmtId="0" fontId="3" fillId="0" borderId="11" xfId="15" applyFont="1" applyBorder="1" applyAlignment="1">
      <alignment horizontal="right" vertical="center"/>
    </xf>
    <xf numFmtId="0" fontId="32" fillId="12" borderId="9" xfId="0" applyFont="1" applyFill="1" applyBorder="1" applyAlignment="1" applyProtection="1">
      <alignment horizontal="center" vertical="center"/>
    </xf>
    <xf numFmtId="0" fontId="3" fillId="3" borderId="0" xfId="2" applyNumberFormat="1" applyFont="1" applyFill="1" applyBorder="1" applyAlignment="1" applyProtection="1">
      <alignment horizontal="right" vertical="center"/>
    </xf>
    <xf numFmtId="0" fontId="3" fillId="0" borderId="0" xfId="2" applyFont="1" applyAlignment="1" applyProtection="1">
      <alignment horizontal="right" vertical="center"/>
    </xf>
    <xf numFmtId="0" fontId="3" fillId="3" borderId="0" xfId="0" applyFont="1" applyFill="1" applyAlignment="1" applyProtection="1">
      <alignment horizontal="center" vertical="center"/>
    </xf>
    <xf numFmtId="37" fontId="4" fillId="3" borderId="0" xfId="0" applyNumberFormat="1"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37" fontId="3" fillId="3" borderId="4" xfId="0" applyNumberFormat="1" applyFont="1" applyFill="1" applyBorder="1" applyAlignment="1" applyProtection="1">
      <alignment horizontal="center" vertical="center" wrapText="1"/>
    </xf>
    <xf numFmtId="0" fontId="3" fillId="3" borderId="2" xfId="0" applyFont="1" applyFill="1" applyBorder="1" applyAlignment="1" applyProtection="1">
      <alignment horizontal="center" vertical="center"/>
    </xf>
    <xf numFmtId="0" fontId="0" fillId="0" borderId="0" xfId="0" applyAlignment="1">
      <alignment vertical="center"/>
    </xf>
    <xf numFmtId="0" fontId="7" fillId="3" borderId="4" xfId="0" applyFont="1" applyFill="1" applyBorder="1" applyAlignment="1">
      <alignment horizontal="center" vertical="center" wrapText="1" shrinkToFit="1"/>
    </xf>
    <xf numFmtId="0" fontId="20" fillId="0" borderId="5" xfId="0" applyFont="1" applyBorder="1" applyAlignment="1">
      <alignment horizontal="center" vertical="center" wrapText="1" shrinkToFit="1"/>
    </xf>
    <xf numFmtId="0" fontId="5" fillId="3" borderId="0" xfId="0" applyFont="1" applyFill="1" applyAlignment="1" applyProtection="1">
      <alignment horizontal="center" vertical="center"/>
    </xf>
    <xf numFmtId="0" fontId="6" fillId="0" borderId="0" xfId="176" applyFont="1" applyAlignment="1">
      <alignment horizontal="center"/>
    </xf>
    <xf numFmtId="0" fontId="12" fillId="0" borderId="0" xfId="0" applyFont="1" applyAlignment="1">
      <alignment horizontal="left" wrapText="1"/>
    </xf>
    <xf numFmtId="0" fontId="0" fillId="0" borderId="0" xfId="0" applyAlignment="1">
      <alignment wrapText="1"/>
    </xf>
    <xf numFmtId="0" fontId="6" fillId="0" borderId="0" xfId="0" applyFont="1" applyAlignment="1">
      <alignment horizontal="left" wrapText="1"/>
    </xf>
    <xf numFmtId="0" fontId="16" fillId="0" borderId="0" xfId="0" applyFont="1" applyAlignment="1">
      <alignment wrapText="1"/>
    </xf>
    <xf numFmtId="0" fontId="6" fillId="0" borderId="0" xfId="0" applyFont="1" applyAlignment="1">
      <alignment horizontal="left" vertical="top" wrapText="1"/>
    </xf>
    <xf numFmtId="0" fontId="16" fillId="0" borderId="0" xfId="0" applyFont="1" applyAlignment="1">
      <alignment vertical="top" wrapText="1"/>
    </xf>
    <xf numFmtId="0" fontId="6"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0" fillId="0" borderId="0" xfId="0" applyAlignment="1">
      <alignment vertical="top" wrapText="1"/>
    </xf>
  </cellXfs>
  <cellStyles count="178">
    <cellStyle name="Comma" xfId="1" builtinId="3"/>
    <cellStyle name="Hyperlink" xfId="2" builtinId="8"/>
    <cellStyle name="Normal" xfId="0" builtinId="0"/>
    <cellStyle name="Normal 10" xfId="3"/>
    <cellStyle name="Normal 10 2" xfId="4"/>
    <cellStyle name="Normal 10 3" xfId="5"/>
    <cellStyle name="Normal 10 4" xfId="6"/>
    <cellStyle name="Normal 10 5" xfId="177"/>
    <cellStyle name="Normal 11" xfId="7"/>
    <cellStyle name="Normal 11 2" xfId="8"/>
    <cellStyle name="Normal 11 3" xfId="9"/>
    <cellStyle name="Normal 11 4" xfId="10"/>
    <cellStyle name="Normal 12" xfId="11"/>
    <cellStyle name="Normal 12 10" xfId="12"/>
    <cellStyle name="Normal 12 11" xfId="13"/>
    <cellStyle name="Normal 12 12" xfId="14"/>
    <cellStyle name="Normal 12 2" xfId="15"/>
    <cellStyle name="Normal 12 3" xfId="16"/>
    <cellStyle name="Normal 12 4" xfId="17"/>
    <cellStyle name="Normal 12 5" xfId="18"/>
    <cellStyle name="Normal 12 6" xfId="19"/>
    <cellStyle name="Normal 12 7" xfId="20"/>
    <cellStyle name="Normal 12 8" xfId="21"/>
    <cellStyle name="Normal 12 9" xfId="22"/>
    <cellStyle name="Normal 13" xfId="23"/>
    <cellStyle name="Normal 13 10" xfId="24"/>
    <cellStyle name="Normal 13 11" xfId="25"/>
    <cellStyle name="Normal 13 12" xfId="26"/>
    <cellStyle name="Normal 13 2" xfId="27"/>
    <cellStyle name="Normal 13 3" xfId="28"/>
    <cellStyle name="Normal 13 4" xfId="29"/>
    <cellStyle name="Normal 13 5" xfId="30"/>
    <cellStyle name="Normal 13 6" xfId="31"/>
    <cellStyle name="Normal 13 7" xfId="32"/>
    <cellStyle name="Normal 13 8" xfId="33"/>
    <cellStyle name="Normal 13 9" xfId="34"/>
    <cellStyle name="Normal 14" xfId="35"/>
    <cellStyle name="Normal 14 2" xfId="36"/>
    <cellStyle name="Normal 14 3" xfId="37"/>
    <cellStyle name="Normal 14 4" xfId="38"/>
    <cellStyle name="Normal 15" xfId="39"/>
    <cellStyle name="Normal 15 2" xfId="40"/>
    <cellStyle name="Normal 15 3" xfId="41"/>
    <cellStyle name="Normal 15 4" xfId="42"/>
    <cellStyle name="Normal 16" xfId="43"/>
    <cellStyle name="Normal 16 2" xfId="44"/>
    <cellStyle name="Normal 16 3" xfId="45"/>
    <cellStyle name="Normal 16 4" xfId="46"/>
    <cellStyle name="Normal 17" xfId="47"/>
    <cellStyle name="Normal 17 2" xfId="48"/>
    <cellStyle name="Normal 17 3" xfId="49"/>
    <cellStyle name="Normal 17 4" xfId="50"/>
    <cellStyle name="Normal 2 10" xfId="51"/>
    <cellStyle name="Normal 2 11" xfId="52"/>
    <cellStyle name="Normal 2 12" xfId="53"/>
    <cellStyle name="Normal 2 13" xfId="54"/>
    <cellStyle name="Normal 2 14" xfId="55"/>
    <cellStyle name="Normal 2 15" xfId="56"/>
    <cellStyle name="Normal 2 16" xfId="57"/>
    <cellStyle name="Normal 2 2" xfId="58"/>
    <cellStyle name="Normal 2 2 10" xfId="59"/>
    <cellStyle name="Normal 2 2 11" xfId="60"/>
    <cellStyle name="Normal 2 2 12" xfId="61"/>
    <cellStyle name="Normal 2 2 13" xfId="62"/>
    <cellStyle name="Normal 2 2 2" xfId="63"/>
    <cellStyle name="Normal 2 2 2 2" xfId="64"/>
    <cellStyle name="Normal 2 2 2 3" xfId="65"/>
    <cellStyle name="Normal 2 2 2 4" xfId="66"/>
    <cellStyle name="Normal 2 2 3" xfId="67"/>
    <cellStyle name="Normal 2 2 4" xfId="68"/>
    <cellStyle name="Normal 2 2 5" xfId="69"/>
    <cellStyle name="Normal 2 2 6" xfId="70"/>
    <cellStyle name="Normal 2 2 7" xfId="71"/>
    <cellStyle name="Normal 2 2 8" xfId="72"/>
    <cellStyle name="Normal 2 2 9" xfId="73"/>
    <cellStyle name="Normal 2 3" xfId="74"/>
    <cellStyle name="Normal 2 3 10" xfId="75"/>
    <cellStyle name="Normal 2 3 11" xfId="76"/>
    <cellStyle name="Normal 2 3 12" xfId="77"/>
    <cellStyle name="Normal 2 3 13" xfId="78"/>
    <cellStyle name="Normal 2 3 14" xfId="79"/>
    <cellStyle name="Normal 2 3 15" xfId="80"/>
    <cellStyle name="Normal 2 3 2" xfId="81"/>
    <cellStyle name="Normal 2 3 2 2" xfId="82"/>
    <cellStyle name="Normal 2 3 2 3" xfId="83"/>
    <cellStyle name="Normal 2 3 2 4" xfId="84"/>
    <cellStyle name="Normal 2 3 3" xfId="85"/>
    <cellStyle name="Normal 2 3 4" xfId="86"/>
    <cellStyle name="Normal 2 3 5" xfId="87"/>
    <cellStyle name="Normal 2 3 6" xfId="88"/>
    <cellStyle name="Normal 2 3 7" xfId="89"/>
    <cellStyle name="Normal 2 3 8" xfId="90"/>
    <cellStyle name="Normal 2 3 9" xfId="91"/>
    <cellStyle name="Normal 2 4" xfId="92"/>
    <cellStyle name="Normal 2 4 10" xfId="93"/>
    <cellStyle name="Normal 2 4 11" xfId="94"/>
    <cellStyle name="Normal 2 4 12" xfId="95"/>
    <cellStyle name="Normal 2 4 13" xfId="96"/>
    <cellStyle name="Normal 2 4 2" xfId="97"/>
    <cellStyle name="Normal 2 4 2 2" xfId="98"/>
    <cellStyle name="Normal 2 4 2 3" xfId="99"/>
    <cellStyle name="Normal 2 4 2 4" xfId="100"/>
    <cellStyle name="Normal 2 4 3" xfId="101"/>
    <cellStyle name="Normal 2 4 4" xfId="102"/>
    <cellStyle name="Normal 2 4 5" xfId="103"/>
    <cellStyle name="Normal 2 4 6" xfId="104"/>
    <cellStyle name="Normal 2 4 7" xfId="105"/>
    <cellStyle name="Normal 2 4 8" xfId="106"/>
    <cellStyle name="Normal 2 4 9" xfId="107"/>
    <cellStyle name="Normal 2 5" xfId="108"/>
    <cellStyle name="Normal 2 5 10" xfId="109"/>
    <cellStyle name="Normal 2 5 11" xfId="110"/>
    <cellStyle name="Normal 2 5 12" xfId="111"/>
    <cellStyle name="Normal 2 5 2" xfId="112"/>
    <cellStyle name="Normal 2 5 3" xfId="113"/>
    <cellStyle name="Normal 2 5 4" xfId="114"/>
    <cellStyle name="Normal 2 5 5" xfId="115"/>
    <cellStyle name="Normal 2 5 6" xfId="116"/>
    <cellStyle name="Normal 2 5 7" xfId="117"/>
    <cellStyle name="Normal 2 5 8" xfId="118"/>
    <cellStyle name="Normal 2 5 9" xfId="119"/>
    <cellStyle name="Normal 2 6" xfId="120"/>
    <cellStyle name="Normal 2 6 10" xfId="121"/>
    <cellStyle name="Normal 2 6 2" xfId="122"/>
    <cellStyle name="Normal 2 6 3" xfId="123"/>
    <cellStyle name="Normal 2 6 4" xfId="124"/>
    <cellStyle name="Normal 2 6 5" xfId="125"/>
    <cellStyle name="Normal 2 6 6" xfId="126"/>
    <cellStyle name="Normal 2 6 7" xfId="127"/>
    <cellStyle name="Normal 2 6 8" xfId="128"/>
    <cellStyle name="Normal 2 6 9" xfId="129"/>
    <cellStyle name="Normal 2 7" xfId="130"/>
    <cellStyle name="Normal 2 7 2" xfId="131"/>
    <cellStyle name="Normal 2 7 3" xfId="132"/>
    <cellStyle name="Normal 2 7 4" xfId="133"/>
    <cellStyle name="Normal 2 7 5" xfId="134"/>
    <cellStyle name="Normal 2 8" xfId="135"/>
    <cellStyle name="Normal 2 9" xfId="136"/>
    <cellStyle name="Normal 3 2" xfId="137"/>
    <cellStyle name="Normal 3 2 2" xfId="138"/>
    <cellStyle name="Normal 3 2 3" xfId="139"/>
    <cellStyle name="Normal 3 2 4" xfId="140"/>
    <cellStyle name="Normal 3 3" xfId="141"/>
    <cellStyle name="Normal 3 3 2" xfId="142"/>
    <cellStyle name="Normal 3 3 3" xfId="143"/>
    <cellStyle name="Normal 3 4" xfId="144"/>
    <cellStyle name="Normal 3 5" xfId="145"/>
    <cellStyle name="Normal 3 6" xfId="146"/>
    <cellStyle name="Normal 3 7" xfId="147"/>
    <cellStyle name="Normal 3 8" xfId="148"/>
    <cellStyle name="Normal 3 9" xfId="149"/>
    <cellStyle name="Normal 4 2" xfId="150"/>
    <cellStyle name="Normal 4 2 2" xfId="151"/>
    <cellStyle name="Normal 4 2 3" xfId="152"/>
    <cellStyle name="Normal 4 2 4" xfId="153"/>
    <cellStyle name="Normal 4 3" xfId="154"/>
    <cellStyle name="Normal 4 4" xfId="155"/>
    <cellStyle name="Normal 4 5" xfId="156"/>
    <cellStyle name="Normal 4 6" xfId="157"/>
    <cellStyle name="Normal 5 2" xfId="158"/>
    <cellStyle name="Normal 5 3" xfId="159"/>
    <cellStyle name="Normal 5 4" xfId="160"/>
    <cellStyle name="Normal 6 2" xfId="161"/>
    <cellStyle name="Normal 6 3" xfId="162"/>
    <cellStyle name="Normal 6 4" xfId="163"/>
    <cellStyle name="Normal 7" xfId="164"/>
    <cellStyle name="Normal 7 2" xfId="165"/>
    <cellStyle name="Normal 7 2 2" xfId="166"/>
    <cellStyle name="Normal 7 2 3" xfId="167"/>
    <cellStyle name="Normal 7 3" xfId="168"/>
    <cellStyle name="Normal 7 4" xfId="169"/>
    <cellStyle name="Normal 7 5" xfId="170"/>
    <cellStyle name="Normal 8" xfId="171"/>
    <cellStyle name="Normal 9" xfId="172"/>
    <cellStyle name="Normal 9 2" xfId="173"/>
    <cellStyle name="Normal 9 3" xfId="174"/>
    <cellStyle name="Normal 9 4" xfId="175"/>
    <cellStyle name="Normal_Township 07" xfId="176"/>
  </cellStyles>
  <dxfs count="44">
    <dxf>
      <font>
        <b/>
        <i val="0"/>
        <condense val="0"/>
        <extend val="0"/>
      </font>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476250</xdr:colOff>
      <xdr:row>58</xdr:row>
      <xdr:rowOff>95250</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8096250" cy="11144250"/>
        </a:xfrm>
        <a:prstGeom prst="rect">
          <a:avLst/>
        </a:prstGeom>
        <a:noFill/>
      </xdr:spPr>
    </xdr:pic>
    <xdr:clientData/>
  </xdr:twoCellAnchor>
  <xdr:twoCellAnchor editAs="oneCell">
    <xdr:from>
      <xdr:col>0</xdr:col>
      <xdr:colOff>152400</xdr:colOff>
      <xdr:row>0</xdr:row>
      <xdr:rowOff>152400</xdr:rowOff>
    </xdr:from>
    <xdr:to>
      <xdr:col>10</xdr:col>
      <xdr:colOff>628650</xdr:colOff>
      <xdr:row>59</xdr:row>
      <xdr:rowOff>57150</xdr:rowOff>
    </xdr:to>
    <xdr:pic>
      <xdr:nvPicPr>
        <xdr:cNvPr id="3" name="Picture 2"/>
        <xdr:cNvPicPr>
          <a:picLocks noChangeAspect="1" noChangeArrowheads="1"/>
        </xdr:cNvPicPr>
      </xdr:nvPicPr>
      <xdr:blipFill>
        <a:blip xmlns:r="http://schemas.openxmlformats.org/officeDocument/2006/relationships" r:embed="rId2"/>
        <a:srcRect/>
        <a:stretch>
          <a:fillRect/>
        </a:stretch>
      </xdr:blipFill>
      <xdr:spPr bwMode="auto">
        <a:xfrm>
          <a:off x="152400" y="152400"/>
          <a:ext cx="8096250" cy="111442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476250</xdr:colOff>
      <xdr:row>58</xdr:row>
      <xdr:rowOff>95250</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8096250" cy="11144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2%20Budgets/Elk%20Falls%20Cemeter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putPrYr"/>
      <sheetName val="inputOth"/>
      <sheetName val="cert"/>
      <sheetName val="Pub"/>
      <sheetName val="computation"/>
      <sheetName val="mvalloc"/>
      <sheetName val="gen"/>
      <sheetName val="summ"/>
      <sheetName val="Signed Cert"/>
    </sheetNames>
    <sheetDataSet>
      <sheetData sheetId="0">
        <row r="3">
          <cell r="D3" t="str">
            <v>ELK FALLS CEMETERY</v>
          </cell>
        </row>
        <row r="4">
          <cell r="D4" t="str">
            <v>ELK COUNTY</v>
          </cell>
        </row>
        <row r="6">
          <cell r="D6">
            <v>2012</v>
          </cell>
        </row>
        <row r="19">
          <cell r="B19" t="str">
            <v>General</v>
          </cell>
          <cell r="D19">
            <v>16590</v>
          </cell>
          <cell r="E19">
            <v>8319</v>
          </cell>
        </row>
        <row r="20">
          <cell r="B20" t="str">
            <v>Debt Service</v>
          </cell>
        </row>
        <row r="24">
          <cell r="E24">
            <v>8319</v>
          </cell>
        </row>
      </sheetData>
      <sheetData sheetId="1">
        <row r="7">
          <cell r="E7">
            <v>1586585</v>
          </cell>
        </row>
        <row r="8">
          <cell r="E8">
            <v>4461</v>
          </cell>
        </row>
        <row r="9">
          <cell r="E9">
            <v>18335</v>
          </cell>
        </row>
        <row r="10">
          <cell r="E10">
            <v>3093</v>
          </cell>
        </row>
        <row r="11">
          <cell r="E11">
            <v>212855</v>
          </cell>
        </row>
        <row r="42">
          <cell r="B42">
            <v>15740</v>
          </cell>
        </row>
      </sheetData>
      <sheetData sheetId="2"/>
      <sheetData sheetId="3"/>
      <sheetData sheetId="4">
        <row r="34">
          <cell r="J34">
            <v>8359</v>
          </cell>
        </row>
      </sheetData>
      <sheetData sheetId="5">
        <row r="11">
          <cell r="D11">
            <v>1078</v>
          </cell>
          <cell r="E11">
            <v>16</v>
          </cell>
          <cell r="F11">
            <v>104</v>
          </cell>
          <cell r="G11">
            <v>0</v>
          </cell>
        </row>
      </sheetData>
      <sheetData sheetId="6">
        <row r="57">
          <cell r="E57">
            <v>7480</v>
          </cell>
        </row>
      </sheetData>
      <sheetData sheetId="7">
        <row r="36">
          <cell r="E36">
            <v>5</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E52"/>
  <sheetViews>
    <sheetView workbookViewId="0">
      <selection sqref="A1:XFD54"/>
    </sheetView>
  </sheetViews>
  <sheetFormatPr defaultRowHeight="15.75"/>
  <cols>
    <col min="1" max="1" width="15.77734375" style="16" customWidth="1"/>
    <col min="2" max="2" width="20.77734375" style="16" customWidth="1"/>
    <col min="3" max="3" width="9.77734375" style="16" customWidth="1"/>
    <col min="4" max="4" width="15.6640625" style="16" customWidth="1"/>
    <col min="5" max="5" width="14.21875" style="16" customWidth="1"/>
    <col min="6" max="16384" width="8.88671875" style="16"/>
  </cols>
  <sheetData>
    <row r="1" spans="1:5">
      <c r="A1" s="287" t="s">
        <v>233</v>
      </c>
      <c r="B1" s="288"/>
      <c r="C1" s="288"/>
      <c r="D1" s="288"/>
      <c r="E1" s="288"/>
    </row>
    <row r="2" spans="1:5">
      <c r="A2" s="17"/>
      <c r="B2" s="18"/>
      <c r="C2" s="18"/>
      <c r="D2" s="18"/>
      <c r="E2" s="18"/>
    </row>
    <row r="3" spans="1:5">
      <c r="A3" s="19" t="s">
        <v>325</v>
      </c>
      <c r="B3" s="18"/>
      <c r="C3" s="18"/>
      <c r="D3" s="20" t="s">
        <v>440</v>
      </c>
      <c r="E3" s="21"/>
    </row>
    <row r="4" spans="1:5">
      <c r="A4" s="19" t="s">
        <v>393</v>
      </c>
      <c r="B4" s="18"/>
      <c r="C4" s="18"/>
      <c r="D4" s="22" t="s">
        <v>441</v>
      </c>
      <c r="E4" s="21"/>
    </row>
    <row r="5" spans="1:5">
      <c r="A5" s="17"/>
      <c r="B5" s="18"/>
      <c r="C5" s="18"/>
      <c r="D5" s="23"/>
      <c r="E5" s="21"/>
    </row>
    <row r="6" spans="1:5">
      <c r="A6" s="19" t="s">
        <v>337</v>
      </c>
      <c r="B6" s="18"/>
      <c r="C6" s="18"/>
      <c r="D6" s="24">
        <v>2012</v>
      </c>
      <c r="E6" s="21"/>
    </row>
    <row r="7" spans="1:5">
      <c r="A7" s="18"/>
      <c r="B7" s="18"/>
      <c r="C7" s="18"/>
      <c r="D7" s="18"/>
      <c r="E7" s="18"/>
    </row>
    <row r="8" spans="1:5">
      <c r="A8" s="289" t="s">
        <v>377</v>
      </c>
      <c r="B8" s="290"/>
      <c r="C8" s="290"/>
      <c r="D8" s="290"/>
      <c r="E8" s="290"/>
    </row>
    <row r="9" spans="1:5">
      <c r="A9" s="25" t="s">
        <v>281</v>
      </c>
      <c r="B9" s="26"/>
      <c r="C9" s="26"/>
      <c r="D9" s="26"/>
      <c r="E9" s="26"/>
    </row>
    <row r="10" spans="1:5">
      <c r="A10" s="291" t="s">
        <v>376</v>
      </c>
      <c r="B10" s="292"/>
      <c r="C10" s="292"/>
      <c r="D10" s="292"/>
      <c r="E10" s="292"/>
    </row>
    <row r="11" spans="1:5">
      <c r="A11" s="27"/>
      <c r="B11" s="18"/>
      <c r="C11" s="18"/>
      <c r="D11" s="18"/>
      <c r="E11" s="18"/>
    </row>
    <row r="12" spans="1:5">
      <c r="A12" s="285" t="s">
        <v>364</v>
      </c>
      <c r="B12" s="286"/>
      <c r="C12" s="286"/>
      <c r="D12" s="286"/>
      <c r="E12" s="286"/>
    </row>
    <row r="13" spans="1:5">
      <c r="A13" s="27"/>
      <c r="B13" s="18"/>
      <c r="C13" s="18"/>
      <c r="D13" s="18"/>
      <c r="E13" s="18"/>
    </row>
    <row r="14" spans="1:5">
      <c r="A14" s="28" t="s">
        <v>341</v>
      </c>
      <c r="B14" s="29"/>
      <c r="C14" s="18"/>
      <c r="D14" s="18"/>
      <c r="E14" s="18"/>
    </row>
    <row r="15" spans="1:5">
      <c r="A15" s="30" t="str">
        <f>CONCATENATE("the ",D6-1," Budget, Certificate Page:")</f>
        <v>the 2011 Budget, Certificate Page:</v>
      </c>
      <c r="B15" s="31"/>
      <c r="C15" s="18"/>
      <c r="D15" s="18"/>
      <c r="E15" s="18"/>
    </row>
    <row r="16" spans="1:5">
      <c r="A16" s="30" t="s">
        <v>424</v>
      </c>
      <c r="B16" s="31"/>
      <c r="C16" s="18"/>
      <c r="D16" s="18"/>
      <c r="E16" s="18"/>
    </row>
    <row r="17" spans="1:5" ht="15.75" customHeight="1">
      <c r="A17" s="18"/>
      <c r="B17" s="18"/>
      <c r="C17" s="32"/>
      <c r="D17" s="33">
        <f>D6-1</f>
        <v>2011</v>
      </c>
      <c r="E17" s="293" t="str">
        <f>CONCATENATE("Amount of ",D6-2,"     Ad Valorem Tax")</f>
        <v>Amount of 2010     Ad Valorem Tax</v>
      </c>
    </row>
    <row r="18" spans="1:5">
      <c r="A18" s="17" t="s">
        <v>234</v>
      </c>
      <c r="B18" s="18"/>
      <c r="C18" s="32" t="s">
        <v>235</v>
      </c>
      <c r="D18" s="34" t="s">
        <v>442</v>
      </c>
      <c r="E18" s="294"/>
    </row>
    <row r="19" spans="1:5">
      <c r="A19" s="18"/>
      <c r="B19" s="35" t="s">
        <v>236</v>
      </c>
      <c r="C19" s="228"/>
      <c r="D19" s="37">
        <v>16590</v>
      </c>
      <c r="E19" s="37">
        <v>8319</v>
      </c>
    </row>
    <row r="20" spans="1:5">
      <c r="A20" s="18"/>
      <c r="B20" s="35" t="s">
        <v>420</v>
      </c>
      <c r="C20" s="113" t="s">
        <v>343</v>
      </c>
      <c r="D20" s="37"/>
      <c r="E20" s="37"/>
    </row>
    <row r="21" spans="1:5">
      <c r="A21" s="17" t="s">
        <v>237</v>
      </c>
      <c r="B21" s="18"/>
      <c r="C21" s="18"/>
      <c r="D21" s="39"/>
      <c r="E21" s="40"/>
    </row>
    <row r="22" spans="1:5">
      <c r="A22" s="18"/>
      <c r="B22" s="36"/>
      <c r="C22" s="228"/>
      <c r="D22" s="37"/>
      <c r="E22" s="37"/>
    </row>
    <row r="23" spans="1:5">
      <c r="A23" s="18"/>
      <c r="B23" s="36"/>
      <c r="C23" s="228"/>
      <c r="D23" s="37"/>
      <c r="E23" s="37"/>
    </row>
    <row r="24" spans="1:5">
      <c r="A24" s="41" t="str">
        <f>CONCATENATE("Total Ad Valorem Tax for ",D6-1," Budgeted Year")</f>
        <v>Total Ad Valorem Tax for 2011 Budgeted Year</v>
      </c>
      <c r="B24" s="42"/>
      <c r="C24" s="42"/>
      <c r="D24" s="43"/>
      <c r="E24" s="44">
        <f>SUM(E19:E20,E22:E23)</f>
        <v>8319</v>
      </c>
    </row>
    <row r="25" spans="1:5">
      <c r="A25" s="45" t="s">
        <v>238</v>
      </c>
      <c r="B25" s="18"/>
      <c r="C25" s="18"/>
      <c r="D25" s="18"/>
      <c r="E25" s="18"/>
    </row>
    <row r="26" spans="1:5">
      <c r="A26" s="18"/>
      <c r="B26" s="36"/>
      <c r="C26" s="18"/>
      <c r="D26" s="37"/>
      <c r="E26" s="18"/>
    </row>
    <row r="27" spans="1:5">
      <c r="A27" s="18"/>
      <c r="B27" s="36"/>
      <c r="C27" s="18"/>
      <c r="D27" s="37"/>
      <c r="E27" s="18"/>
    </row>
    <row r="28" spans="1:5">
      <c r="A28" s="42" t="str">
        <f>CONCATENATE("Total Expenditures for ",D6-1," Budgeted Year")</f>
        <v>Total Expenditures for 2011 Budgeted Year</v>
      </c>
      <c r="B28" s="42"/>
      <c r="C28" s="46"/>
      <c r="D28" s="47">
        <f>SUM(D19:D20,D22:D23,D26:D27)</f>
        <v>16590</v>
      </c>
      <c r="E28" s="39"/>
    </row>
    <row r="29" spans="1:5">
      <c r="A29" s="18" t="s">
        <v>396</v>
      </c>
      <c r="B29" s="18"/>
      <c r="C29" s="18"/>
      <c r="D29" s="18"/>
      <c r="E29" s="39"/>
    </row>
    <row r="30" spans="1:5">
      <c r="A30" s="18">
        <v>1</v>
      </c>
      <c r="B30" s="48"/>
      <c r="C30" s="18"/>
      <c r="D30" s="18"/>
      <c r="E30" s="39"/>
    </row>
    <row r="31" spans="1:5">
      <c r="A31" s="18">
        <v>2</v>
      </c>
      <c r="B31" s="48"/>
      <c r="C31" s="18"/>
      <c r="D31" s="18"/>
      <c r="E31" s="39"/>
    </row>
    <row r="32" spans="1:5">
      <c r="A32" s="18">
        <v>3</v>
      </c>
      <c r="B32" s="48"/>
      <c r="C32" s="18"/>
      <c r="D32" s="18"/>
      <c r="E32" s="39"/>
    </row>
    <row r="33" spans="1:5">
      <c r="A33" s="18">
        <v>4</v>
      </c>
      <c r="B33" s="48"/>
      <c r="C33" s="18"/>
      <c r="D33" s="18"/>
      <c r="E33" s="39"/>
    </row>
    <row r="34" spans="1:5">
      <c r="A34" s="18">
        <v>5</v>
      </c>
      <c r="B34" s="48"/>
      <c r="C34" s="18"/>
      <c r="D34" s="18"/>
      <c r="E34" s="39"/>
    </row>
    <row r="35" spans="1:5">
      <c r="A35" s="18"/>
      <c r="B35" s="18"/>
      <c r="C35" s="18"/>
      <c r="D35" s="18"/>
      <c r="E35" s="39"/>
    </row>
    <row r="36" spans="1:5" ht="15.75" customHeight="1">
      <c r="A36" s="28" t="s">
        <v>341</v>
      </c>
      <c r="B36" s="29"/>
      <c r="C36" s="18"/>
      <c r="D36" s="283" t="str">
        <f>CONCATENATE("",D6-3," Tax Rate          (",D6-2," Column)")</f>
        <v>2009 Tax Rate          (2010 Column)</v>
      </c>
      <c r="E36" s="39"/>
    </row>
    <row r="37" spans="1:5">
      <c r="A37" s="30" t="str">
        <f>CONCATENATE("the ",D6-1," Budget, Budget Summary Page:")</f>
        <v>the 2011 Budget, Budget Summary Page:</v>
      </c>
      <c r="B37" s="31"/>
      <c r="C37" s="18"/>
      <c r="D37" s="284"/>
      <c r="E37" s="39"/>
    </row>
    <row r="38" spans="1:5">
      <c r="A38" s="18"/>
      <c r="B38" s="38" t="str">
        <f>B19</f>
        <v>General</v>
      </c>
      <c r="C38" s="18"/>
      <c r="D38" s="49">
        <v>4.7309999999999999</v>
      </c>
      <c r="E38" s="39"/>
    </row>
    <row r="39" spans="1:5">
      <c r="A39" s="18"/>
      <c r="B39" s="38" t="str">
        <f>B20</f>
        <v>Debt Service</v>
      </c>
      <c r="C39" s="18"/>
      <c r="D39" s="49"/>
      <c r="E39" s="39"/>
    </row>
    <row r="40" spans="1:5">
      <c r="A40" s="18"/>
      <c r="B40" s="38">
        <f>B22</f>
        <v>0</v>
      </c>
      <c r="C40" s="18"/>
      <c r="D40" s="49"/>
      <c r="E40" s="39"/>
    </row>
    <row r="41" spans="1:5">
      <c r="A41" s="18"/>
      <c r="B41" s="38">
        <f>B23</f>
        <v>0</v>
      </c>
      <c r="C41" s="18"/>
      <c r="D41" s="49"/>
      <c r="E41" s="39"/>
    </row>
    <row r="42" spans="1:5" ht="16.5" thickBot="1">
      <c r="A42" s="17" t="s">
        <v>239</v>
      </c>
      <c r="B42" s="18"/>
      <c r="C42" s="18"/>
      <c r="D42" s="50">
        <f>SUM(D38:D41)</f>
        <v>4.7309999999999999</v>
      </c>
      <c r="E42" s="39"/>
    </row>
    <row r="43" spans="1:5" ht="16.5" thickTop="1">
      <c r="A43" s="18"/>
      <c r="B43" s="18"/>
      <c r="C43" s="18"/>
      <c r="D43" s="18"/>
      <c r="E43" s="39"/>
    </row>
    <row r="44" spans="1:5">
      <c r="A44" s="51" t="str">
        <f>CONCATENATE("Total Tax Levied (",D6-2," budget column)")</f>
        <v>Total Tax Levied (2010 budget column)</v>
      </c>
      <c r="B44" s="29"/>
      <c r="C44" s="18"/>
      <c r="D44" s="18"/>
      <c r="E44" s="52">
        <v>8398</v>
      </c>
    </row>
    <row r="45" spans="1:5">
      <c r="A45" s="51" t="str">
        <f>CONCATENATE("Assessed Valuation (",D6-2," budget column)")</f>
        <v>Assessed Valuation (2010 budget column)</v>
      </c>
      <c r="B45" s="29"/>
      <c r="C45" s="18"/>
      <c r="D45" s="18"/>
      <c r="E45" s="53">
        <v>1775117</v>
      </c>
    </row>
    <row r="46" spans="1:5">
      <c r="A46" s="18"/>
      <c r="B46" s="18"/>
      <c r="C46" s="18"/>
      <c r="D46" s="18"/>
      <c r="E46" s="39"/>
    </row>
    <row r="47" spans="1:5">
      <c r="A47" s="29" t="s">
        <v>378</v>
      </c>
      <c r="B47" s="29"/>
      <c r="C47" s="54"/>
      <c r="D47" s="55">
        <f>D6-3</f>
        <v>2009</v>
      </c>
      <c r="E47" s="55">
        <f>D6-2</f>
        <v>2010</v>
      </c>
    </row>
    <row r="48" spans="1:5">
      <c r="A48" s="56" t="s">
        <v>338</v>
      </c>
      <c r="B48" s="56"/>
      <c r="C48" s="57"/>
      <c r="D48" s="58"/>
      <c r="E48" s="58"/>
    </row>
    <row r="49" spans="1:5">
      <c r="A49" s="59" t="s">
        <v>339</v>
      </c>
      <c r="B49" s="59"/>
      <c r="C49" s="60"/>
      <c r="D49" s="58"/>
      <c r="E49" s="58"/>
    </row>
    <row r="50" spans="1:5">
      <c r="A50" s="59" t="s">
        <v>443</v>
      </c>
      <c r="B50" s="59"/>
      <c r="C50" s="60"/>
      <c r="D50" s="58"/>
      <c r="E50" s="58"/>
    </row>
    <row r="51" spans="1:5">
      <c r="A51" s="59" t="s">
        <v>340</v>
      </c>
      <c r="B51" s="59"/>
      <c r="C51" s="60"/>
      <c r="D51" s="58"/>
      <c r="E51" s="58"/>
    </row>
    <row r="52" spans="1:5">
      <c r="A52" s="59"/>
      <c r="B52" s="59"/>
      <c r="C52" s="61"/>
      <c r="D52" s="58"/>
      <c r="E52" s="58"/>
    </row>
  </sheetData>
  <mergeCells count="6">
    <mergeCell ref="D36:D37"/>
    <mergeCell ref="A12:E12"/>
    <mergeCell ref="A1:E1"/>
    <mergeCell ref="A8:E8"/>
    <mergeCell ref="A10:E10"/>
    <mergeCell ref="E17:E18"/>
  </mergeCells>
  <phoneticPr fontId="0" type="noConversion"/>
  <pageMargins left="0.5" right="0.5" top="0.5" bottom="0.5" header="0.5" footer="0.5"/>
  <pageSetup orientation="portrait" blackAndWhite="1" horizontalDpi="120" verticalDpi="144" r:id="rId1"/>
  <headerFooter alignWithMargins="0">
    <oddFooter>&amp;Lrevised 9/22/09</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I36"/>
  <sheetViews>
    <sheetView workbookViewId="0">
      <selection activeCell="B24" sqref="B24"/>
    </sheetView>
  </sheetViews>
  <sheetFormatPr defaultRowHeight="15.75"/>
  <cols>
    <col min="1" max="1" width="15.77734375" style="98" customWidth="1"/>
    <col min="2" max="2" width="12.77734375" style="98" customWidth="1"/>
    <col min="3" max="3" width="8.77734375" style="98" customWidth="1"/>
    <col min="4" max="4" width="12.77734375" style="98" customWidth="1"/>
    <col min="5" max="5" width="8.77734375" style="98" customWidth="1"/>
    <col min="6" max="6" width="12.77734375" style="98" customWidth="1"/>
    <col min="7" max="7" width="10.77734375" style="98" customWidth="1"/>
    <col min="8" max="8" width="8.77734375" style="98" customWidth="1"/>
    <col min="9" max="16384" width="8.88671875" style="98"/>
  </cols>
  <sheetData>
    <row r="1" spans="1:9">
      <c r="A1" s="289" t="s">
        <v>283</v>
      </c>
      <c r="B1" s="289"/>
      <c r="C1" s="289"/>
      <c r="D1" s="289"/>
      <c r="E1" s="289"/>
      <c r="F1" s="289"/>
      <c r="G1" s="289"/>
      <c r="H1" s="330"/>
    </row>
    <row r="2" spans="1:9">
      <c r="A2" s="18"/>
      <c r="B2" s="18"/>
      <c r="C2" s="18"/>
      <c r="D2" s="18"/>
      <c r="E2" s="18"/>
      <c r="F2" s="18"/>
      <c r="G2" s="18"/>
      <c r="H2" s="18"/>
    </row>
    <row r="3" spans="1:9">
      <c r="A3" s="324" t="s">
        <v>308</v>
      </c>
      <c r="B3" s="324"/>
      <c r="C3" s="324"/>
      <c r="D3" s="324"/>
      <c r="E3" s="324"/>
      <c r="F3" s="324"/>
      <c r="G3" s="324"/>
      <c r="H3" s="324"/>
      <c r="I3" s="54">
        <f>inputPrYr!D6</f>
        <v>2012</v>
      </c>
    </row>
    <row r="4" spans="1:9">
      <c r="A4" s="333" t="str">
        <f>inputPrYr!D3</f>
        <v>ELK FALLS CEMETERY</v>
      </c>
      <c r="B4" s="333"/>
      <c r="C4" s="333"/>
      <c r="D4" s="333"/>
      <c r="E4" s="333"/>
      <c r="F4" s="333"/>
      <c r="G4" s="333"/>
      <c r="H4" s="333"/>
    </row>
    <row r="5" spans="1:9">
      <c r="A5" s="333" t="str">
        <f>inputPrYr!D4</f>
        <v>ELK COUNTY</v>
      </c>
      <c r="B5" s="333"/>
      <c r="C5" s="333"/>
      <c r="D5" s="333"/>
      <c r="E5" s="333"/>
      <c r="F5" s="333"/>
      <c r="G5" s="333"/>
      <c r="H5" s="333"/>
    </row>
    <row r="6" spans="1:9">
      <c r="A6" s="305" t="str">
        <f>CONCATENATE("will meet on ",inputBudSum!B5," at ",inputBudSum!B7," at ",inputBudSum!B9," for the purpose of hearing and")</f>
        <v>will meet on August 17, 2010 at 7:00 P.M. at Home of Carolyn Corle in Elk Falls for the purpose of hearing and</v>
      </c>
      <c r="B6" s="305"/>
      <c r="C6" s="305"/>
      <c r="D6" s="305"/>
      <c r="E6" s="305"/>
      <c r="F6" s="305"/>
      <c r="G6" s="305"/>
      <c r="H6" s="305"/>
    </row>
    <row r="7" spans="1:9">
      <c r="A7" s="100" t="s">
        <v>17</v>
      </c>
      <c r="B7" s="26"/>
      <c r="C7" s="26"/>
      <c r="D7" s="26"/>
      <c r="E7" s="26"/>
      <c r="F7" s="26"/>
      <c r="G7" s="26"/>
      <c r="H7" s="26"/>
    </row>
    <row r="8" spans="1:9">
      <c r="A8" s="100" t="str">
        <f>CONCATENATE("Detailed budget information is available at ",inputBudSum!B12," and will be available at this hearing.")</f>
        <v>Detailed budget information is available at Elk County Clerk's Office and will be available at this hearing.</v>
      </c>
      <c r="B8" s="26"/>
      <c r="C8" s="26"/>
      <c r="D8" s="26"/>
      <c r="E8" s="26"/>
      <c r="F8" s="26"/>
      <c r="G8" s="26"/>
      <c r="H8" s="26"/>
    </row>
    <row r="9" spans="1:9">
      <c r="A9" s="25" t="s">
        <v>284</v>
      </c>
      <c r="B9" s="26"/>
      <c r="C9" s="26"/>
      <c r="D9" s="26"/>
      <c r="E9" s="26"/>
      <c r="F9" s="26"/>
      <c r="G9" s="26"/>
      <c r="H9" s="26"/>
    </row>
    <row r="10" spans="1:9">
      <c r="A10" s="100" t="str">
        <f>CONCATENATE("Proposed Budget ",I3," Expenditures and Amount of ",I3-1," Ad Valorem Tax establish the maximum limits")</f>
        <v>Proposed Budget 2012 Expenditures and Amount of 2011 Ad Valorem Tax establish the maximum limits</v>
      </c>
      <c r="B10" s="26"/>
      <c r="C10" s="26"/>
      <c r="D10" s="26"/>
      <c r="E10" s="26"/>
      <c r="F10" s="26"/>
      <c r="G10" s="26"/>
      <c r="H10" s="26"/>
    </row>
    <row r="11" spans="1:9">
      <c r="A11" s="100" t="str">
        <f>CONCATENATE("of the ",I3," budget.  Estimated Tax Rate is subject to change depending on the final assessed valuation.")</f>
        <v>of the 2012 budget.  Estimated Tax Rate is subject to change depending on the final assessed valuation.</v>
      </c>
      <c r="B11" s="26"/>
      <c r="C11" s="26"/>
      <c r="D11" s="26"/>
      <c r="E11" s="26"/>
      <c r="F11" s="26"/>
      <c r="G11" s="26"/>
      <c r="H11" s="26"/>
    </row>
    <row r="12" spans="1:9">
      <c r="A12" s="18"/>
      <c r="B12" s="101"/>
      <c r="C12" s="101"/>
      <c r="D12" s="101"/>
      <c r="E12" s="101"/>
      <c r="F12" s="101"/>
      <c r="G12" s="101"/>
      <c r="H12" s="101"/>
    </row>
    <row r="13" spans="1:9">
      <c r="A13" s="18"/>
      <c r="B13" s="185" t="str">
        <f>CONCATENATE("Prior Year Actual ",I3-2,"")</f>
        <v>Prior Year Actual 2010</v>
      </c>
      <c r="C13" s="186"/>
      <c r="D13" s="187" t="str">
        <f>CONCATENATE("Current Year Estimate for ",I3-1,"")</f>
        <v>Current Year Estimate for 2011</v>
      </c>
      <c r="E13" s="186"/>
      <c r="F13" s="185" t="str">
        <f>CONCATENATE("Proposed Budget Year for ",I3,"")</f>
        <v>Proposed Budget Year for 2012</v>
      </c>
      <c r="G13" s="188"/>
      <c r="H13" s="186"/>
    </row>
    <row r="14" spans="1:9">
      <c r="A14" s="18"/>
      <c r="B14" s="107"/>
      <c r="C14" s="189" t="s">
        <v>274</v>
      </c>
      <c r="D14" s="107"/>
      <c r="E14" s="189" t="s">
        <v>274</v>
      </c>
      <c r="F14" s="170"/>
      <c r="G14" s="331" t="str">
        <f>CONCATENATE("Amount of ",I3-1," Ad Valorem Tax")</f>
        <v>Amount of 2011 Ad Valorem Tax</v>
      </c>
      <c r="H14" s="189" t="s">
        <v>274</v>
      </c>
    </row>
    <row r="15" spans="1:9">
      <c r="A15" s="41" t="s">
        <v>275</v>
      </c>
      <c r="B15" s="116" t="s">
        <v>276</v>
      </c>
      <c r="C15" s="190" t="s">
        <v>366</v>
      </c>
      <c r="D15" s="116" t="s">
        <v>276</v>
      </c>
      <c r="E15" s="190" t="s">
        <v>366</v>
      </c>
      <c r="F15" s="116" t="s">
        <v>276</v>
      </c>
      <c r="G15" s="332"/>
      <c r="H15" s="190" t="s">
        <v>366</v>
      </c>
    </row>
    <row r="16" spans="1:9">
      <c r="A16" s="38" t="str">
        <f>inputPrYr!B19</f>
        <v>General</v>
      </c>
      <c r="B16" s="126" t="str">
        <f>IF(gen!$C$41&lt;&gt;0,gen!$C$41,"  ")</f>
        <v xml:space="preserve">  </v>
      </c>
      <c r="C16" s="124">
        <f>IF(inputPrYr!D38&gt;0,inputPrYr!D38,"  ")</f>
        <v>4.7309999999999999</v>
      </c>
      <c r="D16" s="126" t="str">
        <f>IF(gen!$E$41&lt;&gt;0,gen!$E$41,"  ")</f>
        <v xml:space="preserve">  </v>
      </c>
      <c r="E16" s="124">
        <f>IF(inputOth!D16&gt;0,inputOth!D16,"  ")</f>
        <v>4.7249999999999996</v>
      </c>
      <c r="F16" s="126" t="str">
        <f>IF(gen!$G$41&lt;&gt;0,gen!$G$41,"  ")</f>
        <v xml:space="preserve">  </v>
      </c>
      <c r="G16" s="126">
        <f>IF(gen!$G$47&lt;&gt;0,gen!$G$47,"  ")</f>
        <v>7480</v>
      </c>
      <c r="H16" s="124">
        <f>IF(gen!G47&gt;0,ROUND(G16/$F$19*1000,3)," ")</f>
        <v>4.7149999999999999</v>
      </c>
    </row>
    <row r="17" spans="1:8">
      <c r="A17" s="35" t="s">
        <v>326</v>
      </c>
      <c r="B17" s="169">
        <f t="shared" ref="B17:H17" si="0">SUM(B16:B16)</f>
        <v>0</v>
      </c>
      <c r="C17" s="191">
        <f t="shared" si="0"/>
        <v>4.7309999999999999</v>
      </c>
      <c r="D17" s="169">
        <f t="shared" si="0"/>
        <v>0</v>
      </c>
      <c r="E17" s="191">
        <f t="shared" si="0"/>
        <v>4.7249999999999996</v>
      </c>
      <c r="F17" s="169">
        <f t="shared" si="0"/>
        <v>0</v>
      </c>
      <c r="G17" s="169">
        <f t="shared" si="0"/>
        <v>7480</v>
      </c>
      <c r="H17" s="191">
        <f t="shared" si="0"/>
        <v>4.7149999999999999</v>
      </c>
    </row>
    <row r="18" spans="1:8">
      <c r="A18" s="35" t="s">
        <v>277</v>
      </c>
      <c r="B18" s="192">
        <f>inputPrYr!E44</f>
        <v>8398</v>
      </c>
      <c r="C18" s="170"/>
      <c r="D18" s="192">
        <f>inputPrYr!E24</f>
        <v>8319</v>
      </c>
      <c r="E18" s="170"/>
      <c r="F18" s="193" t="s">
        <v>350</v>
      </c>
      <c r="G18" s="18"/>
      <c r="H18" s="18"/>
    </row>
    <row r="19" spans="1:8">
      <c r="A19" s="35" t="s">
        <v>346</v>
      </c>
      <c r="B19" s="169">
        <f>inputPrYr!E45</f>
        <v>1775117</v>
      </c>
      <c r="C19" s="170"/>
      <c r="D19" s="169">
        <f>inputOth!E24</f>
        <v>1760754</v>
      </c>
      <c r="E19" s="170"/>
      <c r="F19" s="169">
        <f>inputOth!E7</f>
        <v>1586585</v>
      </c>
      <c r="G19" s="18"/>
      <c r="H19" s="18"/>
    </row>
    <row r="20" spans="1:8">
      <c r="A20" s="21"/>
      <c r="B20" s="183"/>
      <c r="C20" s="71"/>
      <c r="D20" s="183"/>
      <c r="E20" s="71"/>
      <c r="F20" s="183"/>
      <c r="G20" s="18"/>
      <c r="H20" s="18"/>
    </row>
    <row r="21" spans="1:8">
      <c r="A21" s="54"/>
      <c r="B21" s="18"/>
      <c r="C21" s="18"/>
      <c r="D21" s="18"/>
      <c r="E21" s="18"/>
      <c r="F21" s="18"/>
      <c r="G21" s="18"/>
      <c r="H21" s="54"/>
    </row>
    <row r="22" spans="1:8">
      <c r="A22" s="184" t="s">
        <v>278</v>
      </c>
      <c r="B22" s="18"/>
      <c r="C22" s="18"/>
      <c r="D22" s="18"/>
      <c r="E22" s="171"/>
      <c r="F22" s="171"/>
      <c r="G22" s="18"/>
      <c r="H22" s="54"/>
    </row>
    <row r="23" spans="1:8">
      <c r="A23" s="62" t="s">
        <v>439</v>
      </c>
      <c r="B23" s="18"/>
      <c r="C23" s="18"/>
      <c r="D23" s="18"/>
      <c r="E23" s="18"/>
      <c r="F23" s="18"/>
      <c r="G23" s="18"/>
      <c r="H23" s="62"/>
    </row>
    <row r="24" spans="1:8">
      <c r="A24" s="98" t="s">
        <v>279</v>
      </c>
      <c r="B24" s="26"/>
      <c r="C24" s="18"/>
      <c r="D24" s="138" t="s">
        <v>267</v>
      </c>
      <c r="E24" s="194">
        <v>5</v>
      </c>
      <c r="F24" s="18"/>
      <c r="G24" s="18"/>
      <c r="H24" s="54"/>
    </row>
    <row r="25" spans="1:8">
      <c r="A25" s="16"/>
    </row>
    <row r="26" spans="1:8">
      <c r="B26" s="16"/>
      <c r="C26" s="16"/>
      <c r="D26" s="16"/>
      <c r="E26" s="16"/>
      <c r="F26" s="16"/>
      <c r="G26" s="16"/>
      <c r="H26" s="16"/>
    </row>
    <row r="27" spans="1:8">
      <c r="A27" s="16"/>
    </row>
    <row r="28" spans="1:8">
      <c r="A28" s="16"/>
      <c r="B28" s="16"/>
      <c r="C28" s="16"/>
      <c r="D28" s="16"/>
      <c r="E28" s="16"/>
      <c r="F28" s="16"/>
      <c r="G28" s="16"/>
      <c r="H28" s="16"/>
    </row>
    <row r="29" spans="1:8">
      <c r="A29" s="16"/>
      <c r="B29" s="16"/>
      <c r="C29" s="16"/>
      <c r="D29" s="16"/>
      <c r="E29" s="16"/>
      <c r="F29" s="16"/>
      <c r="G29" s="16"/>
      <c r="H29" s="16"/>
    </row>
    <row r="30" spans="1:8">
      <c r="A30" s="16"/>
      <c r="B30" s="16"/>
      <c r="C30" s="16"/>
      <c r="D30" s="16"/>
      <c r="E30" s="16"/>
      <c r="F30" s="16"/>
      <c r="G30" s="16"/>
      <c r="H30" s="16"/>
    </row>
    <row r="31" spans="1:8">
      <c r="A31" s="16"/>
      <c r="B31" s="16"/>
      <c r="C31" s="16"/>
      <c r="D31" s="16"/>
      <c r="E31" s="16"/>
      <c r="F31" s="16"/>
      <c r="G31" s="16"/>
      <c r="H31" s="16"/>
    </row>
    <row r="32" spans="1:8">
      <c r="A32" s="16"/>
      <c r="B32" s="16"/>
      <c r="C32" s="16"/>
      <c r="D32" s="16"/>
      <c r="E32" s="16"/>
      <c r="F32" s="16"/>
      <c r="G32" s="16"/>
      <c r="H32" s="16"/>
    </row>
    <row r="33" spans="1:8">
      <c r="A33" s="16"/>
      <c r="B33" s="16"/>
      <c r="C33" s="16"/>
      <c r="D33" s="16"/>
      <c r="E33" s="16"/>
      <c r="F33" s="16"/>
      <c r="G33" s="16"/>
      <c r="H33" s="16"/>
    </row>
    <row r="34" spans="1:8">
      <c r="A34" s="16"/>
      <c r="B34" s="16"/>
      <c r="C34" s="16"/>
      <c r="D34" s="16"/>
      <c r="E34" s="16"/>
      <c r="F34" s="16"/>
      <c r="G34" s="16"/>
      <c r="H34" s="16"/>
    </row>
    <row r="35" spans="1:8">
      <c r="A35" s="16"/>
      <c r="B35" s="16"/>
      <c r="C35" s="16"/>
      <c r="D35" s="16"/>
      <c r="E35" s="16"/>
      <c r="F35" s="16"/>
      <c r="G35" s="16"/>
      <c r="H35" s="16"/>
    </row>
    <row r="36" spans="1:8">
      <c r="B36" s="16"/>
      <c r="C36" s="16"/>
      <c r="D36" s="16"/>
      <c r="E36" s="16"/>
      <c r="F36" s="16"/>
      <c r="G36" s="16"/>
      <c r="H36" s="16"/>
    </row>
  </sheetData>
  <mergeCells count="6">
    <mergeCell ref="A1:H1"/>
    <mergeCell ref="G14:G15"/>
    <mergeCell ref="A3:H3"/>
    <mergeCell ref="A4:H4"/>
    <mergeCell ref="A5:H5"/>
    <mergeCell ref="A6:H6"/>
  </mergeCells>
  <phoneticPr fontId="0" type="noConversion"/>
  <pageMargins left="1" right="1" top="0.5" bottom="0.5" header="0.5" footer="0.5"/>
  <pageSetup scale="69" orientation="portrait" blackAndWhite="1" horizontalDpi="120" verticalDpi="144" r:id="rId1"/>
  <headerFooter alignWithMargins="0">
    <oddHeader xml:space="preserve">&amp;RState of Kansas
Special District
</oddHeader>
    <oddFooter>&amp;Lrevised 12/08/09</oddFooter>
  </headerFooter>
</worksheet>
</file>

<file path=xl/worksheets/sheet11.xml><?xml version="1.0" encoding="utf-8"?>
<worksheet xmlns="http://schemas.openxmlformats.org/spreadsheetml/2006/main" xmlns:r="http://schemas.openxmlformats.org/officeDocument/2006/relationships">
  <sheetPr>
    <pageSetUpPr fitToPage="1"/>
  </sheetPr>
  <dimension ref="B1:J53"/>
  <sheetViews>
    <sheetView workbookViewId="0">
      <selection activeCell="E45" sqref="E45"/>
    </sheetView>
  </sheetViews>
  <sheetFormatPr defaultColWidth="9.77734375" defaultRowHeight="15.75"/>
  <cols>
    <col min="1" max="1" width="8.88671875" style="2" customWidth="1"/>
    <col min="2" max="16384" width="9.77734375" style="2"/>
  </cols>
  <sheetData>
    <row r="1" spans="2:10">
      <c r="B1" s="342" t="s">
        <v>331</v>
      </c>
      <c r="C1" s="342"/>
      <c r="D1" s="342"/>
      <c r="E1" s="342"/>
      <c r="F1" s="342"/>
      <c r="G1" s="342"/>
      <c r="H1" s="342"/>
    </row>
    <row r="2" spans="2:10">
      <c r="B2" s="6"/>
      <c r="C2"/>
      <c r="D2"/>
      <c r="E2"/>
      <c r="F2"/>
      <c r="G2"/>
      <c r="H2"/>
    </row>
    <row r="3" spans="2:10">
      <c r="B3" s="343" t="s">
        <v>328</v>
      </c>
      <c r="C3" s="343"/>
      <c r="D3" s="343"/>
      <c r="E3" s="343"/>
      <c r="F3" s="343"/>
      <c r="G3" s="343"/>
      <c r="H3" s="343"/>
    </row>
    <row r="4" spans="2:10">
      <c r="B4" s="7"/>
      <c r="C4"/>
      <c r="D4"/>
      <c r="E4"/>
      <c r="F4"/>
      <c r="G4"/>
      <c r="H4"/>
    </row>
    <row r="5" spans="2:10">
      <c r="B5" s="335" t="str">
        <f>CONCATENATE("A resolution expressing the property taxation policy of the Board of ",(inputPrYr!D3)," District with respect to financing the ",inputPrYr!D6," annual budget for ", (inputPrYr!D3)," , ",(inputPrYr!D4)," , Kansas.")</f>
        <v>A resolution expressing the property taxation policy of the Board of ELK FALLS CEMETERY District with respect to financing the 2012 annual budget for ELK FALLS CEMETERY , ELK COUNTY , Kansas.</v>
      </c>
      <c r="C5" s="336"/>
      <c r="D5" s="336"/>
      <c r="E5" s="336"/>
      <c r="F5" s="336"/>
      <c r="G5" s="336"/>
      <c r="H5" s="336"/>
    </row>
    <row r="6" spans="2:10">
      <c r="B6" s="336"/>
      <c r="C6" s="336"/>
      <c r="D6" s="336"/>
      <c r="E6" s="336"/>
      <c r="F6" s="336"/>
      <c r="G6" s="336"/>
      <c r="H6" s="336"/>
      <c r="J6" s="2" t="str">
        <f>CONCATENATE(J7)</f>
        <v/>
      </c>
    </row>
    <row r="7" spans="2:10">
      <c r="B7" s="11"/>
      <c r="C7"/>
      <c r="D7"/>
      <c r="E7"/>
      <c r="F7"/>
      <c r="G7"/>
      <c r="H7"/>
    </row>
    <row r="8" spans="2:10">
      <c r="B8" s="12" t="s">
        <v>351</v>
      </c>
      <c r="C8"/>
      <c r="D8"/>
      <c r="E8"/>
      <c r="F8"/>
      <c r="G8"/>
      <c r="H8"/>
    </row>
    <row r="9" spans="2:10">
      <c r="B9" s="12" t="str">
        <f>CONCATENATE("",inputPrYr!D6," ",(inputPrYr!D3), " district budget exceed the amount levied to finance the")</f>
        <v>2012 ELK FALLS CEMETERY district budget exceed the amount levied to finance the</v>
      </c>
      <c r="C9"/>
      <c r="D9"/>
      <c r="E9"/>
      <c r="F9"/>
      <c r="G9"/>
      <c r="H9"/>
    </row>
    <row r="10" spans="2:10">
      <c r="B10" s="12" t="str">
        <f>CONCATENATE("",inputPrYr!D6-1," ",inputPrYr!D3," except with regard to revenue produced and attributable to the")</f>
        <v>2011 ELK FALLS CEMETERY except with regard to revenue produced and attributable to the</v>
      </c>
      <c r="C10"/>
      <c r="D10"/>
      <c r="E10"/>
      <c r="F10"/>
      <c r="G10"/>
      <c r="H10"/>
    </row>
    <row r="11" spans="2:10">
      <c r="B11" s="339" t="s">
        <v>352</v>
      </c>
      <c r="C11" s="344"/>
      <c r="D11" s="344"/>
      <c r="E11" s="344"/>
      <c r="F11" s="344"/>
      <c r="G11" s="344"/>
      <c r="H11" s="344"/>
    </row>
    <row r="12" spans="2:10">
      <c r="B12" s="344"/>
      <c r="C12" s="344"/>
      <c r="D12" s="344"/>
      <c r="E12" s="344"/>
      <c r="F12" s="344"/>
      <c r="G12" s="344"/>
      <c r="H12" s="344"/>
    </row>
    <row r="13" spans="2:10">
      <c r="B13" s="344"/>
      <c r="C13" s="344"/>
      <c r="D13" s="344"/>
      <c r="E13" s="344"/>
      <c r="F13" s="344"/>
      <c r="G13" s="344"/>
      <c r="H13" s="344"/>
    </row>
    <row r="14" spans="2:10">
      <c r="B14" s="344"/>
      <c r="C14" s="344"/>
      <c r="D14" s="344"/>
      <c r="E14" s="344"/>
      <c r="F14" s="344"/>
      <c r="G14" s="344"/>
      <c r="H14" s="344"/>
    </row>
    <row r="15" spans="2:10">
      <c r="B15" s="1"/>
      <c r="C15" s="1"/>
      <c r="D15" s="1"/>
      <c r="E15" s="1"/>
      <c r="F15" s="1"/>
      <c r="G15" s="1"/>
      <c r="H15" s="1"/>
    </row>
    <row r="16" spans="2:10">
      <c r="B16" s="337" t="s">
        <v>335</v>
      </c>
      <c r="C16" s="338"/>
      <c r="D16" s="338"/>
      <c r="E16" s="338"/>
      <c r="F16" s="338"/>
      <c r="G16" s="338"/>
      <c r="H16" s="338"/>
    </row>
    <row r="17" spans="2:8">
      <c r="B17" s="338"/>
      <c r="C17" s="338"/>
      <c r="D17" s="338"/>
      <c r="E17" s="338"/>
      <c r="F17" s="338"/>
      <c r="G17" s="338"/>
      <c r="H17" s="338"/>
    </row>
    <row r="18" spans="2:8">
      <c r="B18" s="12"/>
      <c r="C18"/>
      <c r="D18"/>
      <c r="E18"/>
      <c r="F18"/>
      <c r="G18"/>
      <c r="H18"/>
    </row>
    <row r="19" spans="2:8">
      <c r="B19" s="12" t="str">
        <f>CONCATENATE("Whereas, ",(inputPrYr!D3)," provides essential services to district residents; and")</f>
        <v>Whereas, ELK FALLS CEMETERY provides essential services to district residents; and</v>
      </c>
      <c r="C19"/>
      <c r="D19"/>
      <c r="E19"/>
      <c r="F19"/>
      <c r="G19"/>
      <c r="H19"/>
    </row>
    <row r="20" spans="2:8">
      <c r="B20" s="12"/>
      <c r="C20"/>
      <c r="D20"/>
      <c r="E20"/>
      <c r="F20"/>
      <c r="G20"/>
      <c r="H20"/>
    </row>
    <row r="21" spans="2:8">
      <c r="B21" s="12" t="s">
        <v>336</v>
      </c>
      <c r="C21"/>
      <c r="D21"/>
      <c r="E21"/>
      <c r="F21"/>
      <c r="G21"/>
      <c r="H21"/>
    </row>
    <row r="22" spans="2:8">
      <c r="B22" s="12"/>
      <c r="C22"/>
      <c r="D22"/>
      <c r="E22"/>
      <c r="F22"/>
      <c r="G22"/>
      <c r="H22"/>
    </row>
    <row r="23" spans="2:8">
      <c r="B23" s="339" t="str">
        <f>CONCATENATE("NOW, THEREFORE, BE IT RESOLVED by the Board of the ",(inputPrYr!D3)," that is our desire to notify the public of the possibility of increased property taxes to finance the ",inputPrYr!D6," ",(inputPrYr!D3), "  budget as defined above.")</f>
        <v>NOW, THEREFORE, BE IT RESOLVED by the Board of the ELK FALLS CEMETERY that is our desire to notify the public of the possibility of increased property taxes to finance the 2012 ELK FALLS CEMETERY  budget as defined above.</v>
      </c>
      <c r="C23" s="340"/>
      <c r="D23" s="340"/>
      <c r="E23" s="340"/>
      <c r="F23" s="340"/>
      <c r="G23" s="340"/>
      <c r="H23" s="340"/>
    </row>
    <row r="24" spans="2:8">
      <c r="B24" s="340"/>
      <c r="C24" s="340"/>
      <c r="D24" s="340"/>
      <c r="E24" s="340"/>
      <c r="F24" s="340"/>
      <c r="G24" s="340"/>
      <c r="H24" s="340"/>
    </row>
    <row r="25" spans="2:8">
      <c r="B25" s="340"/>
      <c r="C25" s="340"/>
      <c r="D25" s="340"/>
      <c r="E25" s="340"/>
      <c r="F25" s="340"/>
      <c r="G25" s="340"/>
      <c r="H25" s="340"/>
    </row>
    <row r="26" spans="2:8">
      <c r="B26" s="12"/>
      <c r="C26"/>
      <c r="D26"/>
      <c r="E26"/>
      <c r="F26"/>
      <c r="G26"/>
      <c r="H26"/>
    </row>
    <row r="27" spans="2:8">
      <c r="B27" s="337" t="str">
        <f>CONCATENATE("Adopted this _________ day of ___________, ",inputPrYr!D6-1," by the ",(inputPrYr!D3)," District Board, ",(inputPrYr!D4),", Kansas.")</f>
        <v>Adopted this _________ day of ___________, 2011 by the ELK FALLS CEMETERY District Board, ELK COUNTY, Kansas.</v>
      </c>
      <c r="C27" s="336"/>
      <c r="D27" s="336"/>
      <c r="E27" s="336"/>
      <c r="F27" s="336"/>
      <c r="G27" s="336"/>
      <c r="H27" s="336"/>
    </row>
    <row r="28" spans="2:8">
      <c r="B28" s="336"/>
      <c r="C28" s="336"/>
      <c r="D28" s="336"/>
      <c r="E28" s="336"/>
      <c r="F28" s="336"/>
      <c r="G28" s="336"/>
      <c r="H28" s="336"/>
    </row>
    <row r="29" spans="2:8">
      <c r="B29" s="8"/>
      <c r="C29"/>
      <c r="D29"/>
      <c r="E29"/>
      <c r="F29"/>
      <c r="G29"/>
      <c r="H29"/>
    </row>
    <row r="30" spans="2:8">
      <c r="B30" s="8"/>
      <c r="C30"/>
      <c r="D30"/>
      <c r="E30"/>
      <c r="F30"/>
      <c r="G30"/>
      <c r="H30"/>
    </row>
    <row r="31" spans="2:8">
      <c r="B31" s="9" t="str">
        <f>CONCATENATE(" ",(inputPrYr!D3)," District Board")</f>
        <v xml:space="preserve"> ELK FALLS CEMETERY District Board</v>
      </c>
      <c r="C31"/>
      <c r="D31"/>
      <c r="E31"/>
      <c r="F31"/>
      <c r="G31"/>
      <c r="H31"/>
    </row>
    <row r="32" spans="2:8">
      <c r="B32" s="8"/>
      <c r="C32"/>
      <c r="D32"/>
      <c r="E32"/>
      <c r="F32"/>
      <c r="G32"/>
      <c r="H32"/>
    </row>
    <row r="33" spans="2:8">
      <c r="B33"/>
      <c r="C33"/>
      <c r="D33"/>
      <c r="E33" s="341" t="s">
        <v>329</v>
      </c>
      <c r="F33" s="341"/>
      <c r="G33" s="341"/>
      <c r="H33" s="341"/>
    </row>
    <row r="34" spans="2:8">
      <c r="B34"/>
      <c r="C34"/>
      <c r="D34"/>
      <c r="E34" s="341" t="s">
        <v>332</v>
      </c>
      <c r="F34" s="341"/>
      <c r="G34" s="341"/>
      <c r="H34" s="341"/>
    </row>
    <row r="35" spans="2:8">
      <c r="B35" s="8"/>
      <c r="C35"/>
      <c r="D35"/>
      <c r="E35" s="341"/>
      <c r="F35" s="341"/>
      <c r="G35" s="341"/>
      <c r="H35" s="341"/>
    </row>
    <row r="36" spans="2:8">
      <c r="B36"/>
      <c r="C36"/>
      <c r="D36"/>
      <c r="E36" s="341" t="s">
        <v>329</v>
      </c>
      <c r="F36" s="341"/>
      <c r="G36" s="341"/>
      <c r="H36" s="341"/>
    </row>
    <row r="37" spans="2:8">
      <c r="B37"/>
      <c r="C37"/>
      <c r="D37"/>
      <c r="E37" s="341" t="s">
        <v>333</v>
      </c>
      <c r="F37" s="341"/>
      <c r="G37" s="341"/>
      <c r="H37" s="341"/>
    </row>
    <row r="38" spans="2:8">
      <c r="B38" s="8"/>
      <c r="C38"/>
      <c r="D38"/>
      <c r="E38" s="341"/>
      <c r="F38" s="341"/>
      <c r="G38" s="341"/>
      <c r="H38" s="341"/>
    </row>
    <row r="39" spans="2:8">
      <c r="B39"/>
      <c r="C39"/>
      <c r="D39"/>
      <c r="E39" s="341" t="s">
        <v>329</v>
      </c>
      <c r="F39" s="341"/>
      <c r="G39" s="341"/>
      <c r="H39" s="341"/>
    </row>
    <row r="40" spans="2:8">
      <c r="B40"/>
      <c r="C40"/>
      <c r="D40"/>
      <c r="E40" s="341" t="s">
        <v>334</v>
      </c>
      <c r="F40" s="341"/>
      <c r="G40" s="341"/>
      <c r="H40" s="341"/>
    </row>
    <row r="41" spans="2:8">
      <c r="B41" s="8"/>
      <c r="C41"/>
      <c r="D41"/>
      <c r="E41"/>
      <c r="F41"/>
      <c r="G41"/>
      <c r="H41"/>
    </row>
    <row r="42" spans="2:8">
      <c r="B42" s="10"/>
      <c r="C42"/>
      <c r="D42"/>
      <c r="E42"/>
      <c r="F42"/>
      <c r="G42"/>
      <c r="H42"/>
    </row>
    <row r="43" spans="2:8">
      <c r="C43"/>
      <c r="D43"/>
      <c r="E43"/>
      <c r="F43"/>
      <c r="G43"/>
      <c r="H43"/>
    </row>
    <row r="44" spans="2:8">
      <c r="B44" s="4"/>
      <c r="E44" s="13"/>
      <c r="F44" s="13"/>
      <c r="G44" s="13"/>
      <c r="H44" s="13"/>
    </row>
    <row r="45" spans="2:8">
      <c r="D45" s="14" t="s">
        <v>267</v>
      </c>
      <c r="E45" s="15"/>
      <c r="F45" s="13"/>
      <c r="G45" s="13"/>
      <c r="H45" s="13"/>
    </row>
    <row r="46" spans="2:8">
      <c r="B46" s="10" t="s">
        <v>330</v>
      </c>
      <c r="E46" s="334"/>
      <c r="F46" s="334"/>
      <c r="G46" s="334"/>
      <c r="H46" s="334"/>
    </row>
    <row r="47" spans="2:8">
      <c r="B47" s="3"/>
      <c r="E47" s="334"/>
      <c r="F47" s="334"/>
      <c r="G47" s="334"/>
      <c r="H47" s="334"/>
    </row>
    <row r="48" spans="2:8">
      <c r="E48" s="334"/>
      <c r="F48" s="334"/>
      <c r="G48" s="334"/>
      <c r="H48" s="334"/>
    </row>
    <row r="49" spans="2:8">
      <c r="E49" s="334"/>
      <c r="F49" s="334"/>
      <c r="G49" s="334"/>
      <c r="H49" s="334"/>
    </row>
    <row r="50" spans="2:8">
      <c r="B50" s="3"/>
      <c r="E50" s="334"/>
      <c r="F50" s="334"/>
      <c r="G50" s="334"/>
      <c r="H50" s="334"/>
    </row>
    <row r="51" spans="2:8">
      <c r="B51" s="5"/>
    </row>
    <row r="52" spans="2:8">
      <c r="B52" s="5"/>
    </row>
    <row r="53" spans="2:8">
      <c r="B53" s="5"/>
    </row>
  </sheetData>
  <sheetProtection sheet="1" objects="1" scenarios="1"/>
  <mergeCells count="20">
    <mergeCell ref="B1:H1"/>
    <mergeCell ref="B3:H3"/>
    <mergeCell ref="B11:H14"/>
    <mergeCell ref="E39:H39"/>
    <mergeCell ref="E33:H33"/>
    <mergeCell ref="E34:H34"/>
    <mergeCell ref="E35:H35"/>
    <mergeCell ref="E36:H36"/>
    <mergeCell ref="E37:H37"/>
    <mergeCell ref="E38:H38"/>
    <mergeCell ref="E47:H47"/>
    <mergeCell ref="B5:H6"/>
    <mergeCell ref="E50:H50"/>
    <mergeCell ref="E46:H46"/>
    <mergeCell ref="E48:H48"/>
    <mergeCell ref="E49:H49"/>
    <mergeCell ref="B16:H17"/>
    <mergeCell ref="B23:H25"/>
    <mergeCell ref="B27:H28"/>
    <mergeCell ref="E40:H40"/>
  </mergeCells>
  <phoneticPr fontId="11" type="noConversion"/>
  <pageMargins left="0.75" right="0.75" top="1" bottom="1" header="0.5" footer="0.5"/>
  <pageSetup scale="72" orientation="portrait" blackAndWhite="1" r:id="rId1"/>
  <headerFooter alignWithMargins="0">
    <oddFooter>&amp;Lrevised 8/06/07</oddFooter>
  </headerFooter>
</worksheet>
</file>

<file path=xl/worksheets/sheet12.xml><?xml version="1.0" encoding="utf-8"?>
<worksheet xmlns="http://schemas.openxmlformats.org/spreadsheetml/2006/main" xmlns:r="http://schemas.openxmlformats.org/officeDocument/2006/relationships">
  <sheetPr>
    <tabColor rgb="FFFF0000"/>
  </sheetPr>
  <dimension ref="A3:L72"/>
  <sheetViews>
    <sheetView workbookViewId="0"/>
  </sheetViews>
  <sheetFormatPr defaultRowHeight="15"/>
  <cols>
    <col min="1" max="1" width="71.33203125" customWidth="1"/>
  </cols>
  <sheetData>
    <row r="3" spans="1:12">
      <c r="A3" s="212" t="s">
        <v>23</v>
      </c>
      <c r="B3" s="212"/>
      <c r="C3" s="212"/>
      <c r="D3" s="212"/>
      <c r="E3" s="212"/>
      <c r="F3" s="212"/>
      <c r="G3" s="212"/>
      <c r="H3" s="212"/>
      <c r="I3" s="212"/>
      <c r="J3" s="212"/>
      <c r="K3" s="212"/>
      <c r="L3" s="212"/>
    </row>
    <row r="5" spans="1:12">
      <c r="A5" s="213" t="s">
        <v>24</v>
      </c>
    </row>
    <row r="6" spans="1:12">
      <c r="A6" s="213" t="str">
        <f>CONCATENATE(inputPrYr!D6-2," 'total expenditures' exceed your ",inputPrYr!D6-2," 'budget authority.'")</f>
        <v>2010 'total expenditures' exceed your 2010 'budget authority.'</v>
      </c>
    </row>
    <row r="7" spans="1:12">
      <c r="A7" s="213"/>
    </row>
    <row r="8" spans="1:12">
      <c r="A8" s="213" t="s">
        <v>25</v>
      </c>
    </row>
    <row r="9" spans="1:12">
      <c r="A9" s="213" t="s">
        <v>26</v>
      </c>
    </row>
    <row r="10" spans="1:12">
      <c r="A10" s="213" t="s">
        <v>27</v>
      </c>
    </row>
    <row r="11" spans="1:12">
      <c r="A11" s="213"/>
    </row>
    <row r="12" spans="1:12">
      <c r="A12" s="213"/>
    </row>
    <row r="13" spans="1:12">
      <c r="A13" s="214" t="s">
        <v>28</v>
      </c>
    </row>
    <row r="15" spans="1:12">
      <c r="A15" s="213" t="s">
        <v>29</v>
      </c>
    </row>
    <row r="16" spans="1:12">
      <c r="A16" s="213" t="str">
        <f>CONCATENATE("(i.e. an audit has not been completed, or the ",inputPrYr!D6," adopted")</f>
        <v>(i.e. an audit has not been completed, or the 2012 adopted</v>
      </c>
    </row>
    <row r="17" spans="1:1">
      <c r="A17" s="213" t="s">
        <v>30</v>
      </c>
    </row>
    <row r="18" spans="1:1">
      <c r="A18" s="213" t="s">
        <v>31</v>
      </c>
    </row>
    <row r="19" spans="1:1">
      <c r="A19" s="213" t="s">
        <v>32</v>
      </c>
    </row>
    <row r="21" spans="1:1">
      <c r="A21" s="214" t="s">
        <v>33</v>
      </c>
    </row>
    <row r="22" spans="1:1">
      <c r="A22" s="214"/>
    </row>
    <row r="23" spans="1:1">
      <c r="A23" s="213" t="s">
        <v>34</v>
      </c>
    </row>
    <row r="24" spans="1:1">
      <c r="A24" s="213" t="s">
        <v>35</v>
      </c>
    </row>
    <row r="25" spans="1:1">
      <c r="A25" s="213" t="str">
        <f>CONCATENATE("particular fund.  If your ",inputPrYr!D6-2," budget was amended, did you")</f>
        <v>particular fund.  If your 2010 budget was amended, did you</v>
      </c>
    </row>
    <row r="26" spans="1:1">
      <c r="A26" s="213" t="s">
        <v>36</v>
      </c>
    </row>
    <row r="27" spans="1:1">
      <c r="A27" s="213"/>
    </row>
    <row r="28" spans="1:1">
      <c r="A28" s="213" t="str">
        <f>CONCATENATE("Next, look to see if any of your ",inputPrYr!D6-2," expenditures can be")</f>
        <v>Next, look to see if any of your 2010 expenditures can be</v>
      </c>
    </row>
    <row r="29" spans="1:1">
      <c r="A29" s="213" t="s">
        <v>37</v>
      </c>
    </row>
    <row r="30" spans="1:1">
      <c r="A30" s="213" t="s">
        <v>38</v>
      </c>
    </row>
    <row r="31" spans="1:1">
      <c r="A31" s="213" t="s">
        <v>39</v>
      </c>
    </row>
    <row r="32" spans="1:1">
      <c r="A32" s="213"/>
    </row>
    <row r="33" spans="1:1">
      <c r="A33" s="213" t="str">
        <f>CONCATENATE("Additionally, do your ",inputPrYr!D6-2," receipts contain a reimbursement")</f>
        <v>Additionally, do your 2010 receipts contain a reimbursement</v>
      </c>
    </row>
    <row r="34" spans="1:1">
      <c r="A34" s="213" t="s">
        <v>40</v>
      </c>
    </row>
    <row r="35" spans="1:1">
      <c r="A35" s="213" t="s">
        <v>41</v>
      </c>
    </row>
    <row r="36" spans="1:1">
      <c r="A36" s="213"/>
    </row>
    <row r="37" spans="1:1">
      <c r="A37" s="213" t="s">
        <v>45</v>
      </c>
    </row>
    <row r="38" spans="1:1">
      <c r="A38" s="213" t="s">
        <v>46</v>
      </c>
    </row>
    <row r="39" spans="1:1">
      <c r="A39" s="213" t="s">
        <v>47</v>
      </c>
    </row>
    <row r="40" spans="1:1">
      <c r="A40" s="213"/>
    </row>
    <row r="41" spans="1:1">
      <c r="A41" s="214" t="s">
        <v>48</v>
      </c>
    </row>
    <row r="42" spans="1:1">
      <c r="A42" s="213"/>
    </row>
    <row r="43" spans="1:1">
      <c r="A43" s="213" t="s">
        <v>49</v>
      </c>
    </row>
    <row r="44" spans="1:1">
      <c r="A44" s="213" t="s">
        <v>50</v>
      </c>
    </row>
    <row r="45" spans="1:1">
      <c r="A45" s="213" t="s">
        <v>51</v>
      </c>
    </row>
    <row r="46" spans="1:1">
      <c r="A46" s="213" t="s">
        <v>52</v>
      </c>
    </row>
    <row r="47" spans="1:1">
      <c r="A47" s="213" t="s">
        <v>53</v>
      </c>
    </row>
    <row r="48" spans="1:1">
      <c r="A48" s="213" t="s">
        <v>54</v>
      </c>
    </row>
    <row r="49" spans="1:1">
      <c r="A49" s="213" t="s">
        <v>55</v>
      </c>
    </row>
    <row r="50" spans="1:1">
      <c r="A50" s="213" t="s">
        <v>56</v>
      </c>
    </row>
    <row r="51" spans="1:1">
      <c r="A51" s="213" t="s">
        <v>57</v>
      </c>
    </row>
    <row r="52" spans="1:1">
      <c r="A52" s="213" t="s">
        <v>58</v>
      </c>
    </row>
    <row r="53" spans="1:1">
      <c r="A53" s="213" t="s">
        <v>59</v>
      </c>
    </row>
    <row r="54" spans="1:1">
      <c r="A54" s="213" t="s">
        <v>60</v>
      </c>
    </row>
    <row r="55" spans="1:1">
      <c r="A55" s="213" t="s">
        <v>61</v>
      </c>
    </row>
    <row r="56" spans="1:1">
      <c r="A56" s="213"/>
    </row>
    <row r="57" spans="1:1">
      <c r="A57" s="213" t="s">
        <v>62</v>
      </c>
    </row>
    <row r="58" spans="1:1">
      <c r="A58" s="213" t="s">
        <v>63</v>
      </c>
    </row>
    <row r="59" spans="1:1">
      <c r="A59" s="213" t="s">
        <v>64</v>
      </c>
    </row>
    <row r="60" spans="1:1">
      <c r="A60" s="213"/>
    </row>
    <row r="61" spans="1:1">
      <c r="A61" s="214" t="str">
        <f>CONCATENATE("What if the ",inputPrYr!D6-2," financial records have been closed?")</f>
        <v>What if the 2010 financial records have been closed?</v>
      </c>
    </row>
    <row r="63" spans="1:1">
      <c r="A63" s="213" t="s">
        <v>65</v>
      </c>
    </row>
    <row r="64" spans="1:1">
      <c r="A64" s="213" t="str">
        <f>CONCATENATE("(i.e. an audit for ",inputPrYr!D6-2," has been completed, or the ",inputPrYr!D6)</f>
        <v>(i.e. an audit for 2010 has been completed, or the 2012</v>
      </c>
    </row>
    <row r="65" spans="1:1">
      <c r="A65" s="213" t="s">
        <v>66</v>
      </c>
    </row>
    <row r="66" spans="1:1">
      <c r="A66" s="213" t="s">
        <v>67</v>
      </c>
    </row>
    <row r="67" spans="1:1">
      <c r="A67" s="213"/>
    </row>
    <row r="68" spans="1:1">
      <c r="A68" s="213" t="s">
        <v>68</v>
      </c>
    </row>
    <row r="69" spans="1:1">
      <c r="A69" s="213" t="s">
        <v>69</v>
      </c>
    </row>
    <row r="70" spans="1:1">
      <c r="A70" s="213" t="s">
        <v>70</v>
      </c>
    </row>
    <row r="71" spans="1:1">
      <c r="A71" s="213"/>
    </row>
    <row r="72" spans="1:1">
      <c r="A72" s="213" t="s">
        <v>71</v>
      </c>
    </row>
  </sheetData>
  <sheetProtection sheet="1"/>
  <phoneticPr fontId="31" type="noConversion"/>
  <pageMargins left="0.7" right="0.7" top="0.75" bottom="0.75" header="0.3" footer="0.3"/>
  <pageSetup orientation="portrait" r:id="rId1"/>
  <headerFooter>
    <oddFooter>&amp;Lrevised 9/25/09</oddFooter>
  </headerFooter>
</worksheet>
</file>

<file path=xl/worksheets/sheet13.xml><?xml version="1.0" encoding="utf-8"?>
<worksheet xmlns="http://schemas.openxmlformats.org/spreadsheetml/2006/main" xmlns:r="http://schemas.openxmlformats.org/officeDocument/2006/relationships">
  <sheetPr>
    <tabColor rgb="FFFF0000"/>
  </sheetPr>
  <dimension ref="A3:J109"/>
  <sheetViews>
    <sheetView workbookViewId="0"/>
  </sheetViews>
  <sheetFormatPr defaultRowHeight="15"/>
  <cols>
    <col min="1" max="1" width="71.33203125" customWidth="1"/>
  </cols>
  <sheetData>
    <row r="3" spans="1:10">
      <c r="A3" s="212" t="s">
        <v>72</v>
      </c>
      <c r="B3" s="212"/>
      <c r="C3" s="212"/>
      <c r="D3" s="212"/>
      <c r="E3" s="212"/>
      <c r="F3" s="212"/>
      <c r="G3" s="212"/>
      <c r="H3" s="215"/>
      <c r="I3" s="215"/>
      <c r="J3" s="215"/>
    </row>
    <row r="5" spans="1:10">
      <c r="A5" s="213" t="s">
        <v>73</v>
      </c>
    </row>
    <row r="6" spans="1:10">
      <c r="A6" t="str">
        <f>CONCATENATE(inputPrYr!D6-2," expenditures show that you finished the year with a ")</f>
        <v xml:space="preserve">2010 expenditures show that you finished the year with a </v>
      </c>
    </row>
    <row r="7" spans="1:10">
      <c r="A7" t="s">
        <v>74</v>
      </c>
    </row>
    <row r="9" spans="1:10">
      <c r="A9" t="s">
        <v>75</v>
      </c>
    </row>
    <row r="10" spans="1:10">
      <c r="A10" t="s">
        <v>76</v>
      </c>
    </row>
    <row r="11" spans="1:10">
      <c r="A11" t="s">
        <v>77</v>
      </c>
    </row>
    <row r="13" spans="1:10">
      <c r="A13" s="214" t="s">
        <v>78</v>
      </c>
    </row>
    <row r="14" spans="1:10">
      <c r="A14" s="214"/>
    </row>
    <row r="15" spans="1:10">
      <c r="A15" s="213" t="s">
        <v>79</v>
      </c>
    </row>
    <row r="16" spans="1:10">
      <c r="A16" s="213" t="s">
        <v>80</v>
      </c>
    </row>
    <row r="17" spans="1:1">
      <c r="A17" s="213" t="s">
        <v>81</v>
      </c>
    </row>
    <row r="18" spans="1:1">
      <c r="A18" s="213"/>
    </row>
    <row r="19" spans="1:1">
      <c r="A19" s="214" t="s">
        <v>82</v>
      </c>
    </row>
    <row r="20" spans="1:1">
      <c r="A20" s="214"/>
    </row>
    <row r="21" spans="1:1">
      <c r="A21" s="213" t="s">
        <v>83</v>
      </c>
    </row>
    <row r="22" spans="1:1">
      <c r="A22" s="213" t="s">
        <v>84</v>
      </c>
    </row>
    <row r="23" spans="1:1">
      <c r="A23" s="213" t="s">
        <v>85</v>
      </c>
    </row>
    <row r="24" spans="1:1">
      <c r="A24" s="213"/>
    </row>
    <row r="25" spans="1:1">
      <c r="A25" s="214" t="s">
        <v>86</v>
      </c>
    </row>
    <row r="26" spans="1:1">
      <c r="A26" s="214"/>
    </row>
    <row r="27" spans="1:1">
      <c r="A27" s="213" t="s">
        <v>87</v>
      </c>
    </row>
    <row r="28" spans="1:1">
      <c r="A28" s="213" t="s">
        <v>88</v>
      </c>
    </row>
    <row r="29" spans="1:1">
      <c r="A29" s="213" t="s">
        <v>89</v>
      </c>
    </row>
    <row r="30" spans="1:1">
      <c r="A30" s="213"/>
    </row>
    <row r="31" spans="1:1">
      <c r="A31" s="214" t="s">
        <v>90</v>
      </c>
    </row>
    <row r="32" spans="1:1">
      <c r="A32" s="214"/>
    </row>
    <row r="33" spans="1:8">
      <c r="A33" s="213" t="str">
        <f>CONCATENATE("If your financial records for ",inputPrYr!D6-2," are not closed")</f>
        <v>If your financial records for 2010 are not closed</v>
      </c>
      <c r="B33" s="213"/>
      <c r="C33" s="213"/>
      <c r="D33" s="213"/>
      <c r="E33" s="213"/>
      <c r="F33" s="213"/>
      <c r="G33" s="213"/>
      <c r="H33" s="213"/>
    </row>
    <row r="34" spans="1:8">
      <c r="A34" s="213" t="str">
        <f>CONCATENATE("(i.e. an audit has not been completed, or the ",inputPrYr!D6," adopted ")</f>
        <v xml:space="preserve">(i.e. an audit has not been completed, or the 2012 adopted </v>
      </c>
      <c r="B34" s="213"/>
      <c r="C34" s="213"/>
      <c r="D34" s="213"/>
      <c r="E34" s="213"/>
      <c r="F34" s="213"/>
      <c r="G34" s="213"/>
      <c r="H34" s="213"/>
    </row>
    <row r="35" spans="1:8">
      <c r="A35" s="213" t="s">
        <v>91</v>
      </c>
      <c r="B35" s="213"/>
      <c r="C35" s="213"/>
      <c r="D35" s="213"/>
      <c r="E35" s="213"/>
      <c r="F35" s="213"/>
      <c r="G35" s="213"/>
      <c r="H35" s="213"/>
    </row>
    <row r="36" spans="1:8">
      <c r="A36" s="213" t="s">
        <v>92</v>
      </c>
      <c r="B36" s="213"/>
      <c r="C36" s="213"/>
      <c r="D36" s="213"/>
      <c r="E36" s="213"/>
      <c r="F36" s="213"/>
      <c r="G36" s="213"/>
      <c r="H36" s="213"/>
    </row>
    <row r="37" spans="1:8">
      <c r="A37" s="213" t="s">
        <v>93</v>
      </c>
      <c r="B37" s="213"/>
      <c r="C37" s="213"/>
      <c r="D37" s="213"/>
      <c r="E37" s="213"/>
      <c r="F37" s="213"/>
      <c r="G37" s="213"/>
      <c r="H37" s="213"/>
    </row>
    <row r="38" spans="1:8">
      <c r="A38" s="213" t="s">
        <v>94</v>
      </c>
      <c r="B38" s="213"/>
      <c r="C38" s="213"/>
      <c r="D38" s="213"/>
      <c r="E38" s="213"/>
      <c r="F38" s="213"/>
      <c r="G38" s="213"/>
      <c r="H38" s="213"/>
    </row>
    <row r="39" spans="1:8">
      <c r="A39" s="213" t="s">
        <v>95</v>
      </c>
      <c r="B39" s="213"/>
      <c r="C39" s="213"/>
      <c r="D39" s="213"/>
      <c r="E39" s="213"/>
      <c r="F39" s="213"/>
      <c r="G39" s="213"/>
      <c r="H39" s="213"/>
    </row>
    <row r="40" spans="1:8">
      <c r="A40" s="213"/>
      <c r="B40" s="213"/>
      <c r="C40" s="213"/>
      <c r="D40" s="213"/>
      <c r="E40" s="213"/>
      <c r="F40" s="213"/>
      <c r="G40" s="213"/>
      <c r="H40" s="213"/>
    </row>
    <row r="41" spans="1:8">
      <c r="A41" s="213" t="s">
        <v>96</v>
      </c>
      <c r="B41" s="213"/>
      <c r="C41" s="213"/>
      <c r="D41" s="213"/>
      <c r="E41" s="213"/>
      <c r="F41" s="213"/>
      <c r="G41" s="213"/>
      <c r="H41" s="213"/>
    </row>
    <row r="42" spans="1:8">
      <c r="A42" s="213" t="s">
        <v>97</v>
      </c>
      <c r="B42" s="213"/>
      <c r="C42" s="213"/>
      <c r="D42" s="213"/>
      <c r="E42" s="213"/>
      <c r="F42" s="213"/>
      <c r="G42" s="213"/>
      <c r="H42" s="213"/>
    </row>
    <row r="43" spans="1:8">
      <c r="A43" s="213" t="s">
        <v>98</v>
      </c>
      <c r="B43" s="213"/>
      <c r="C43" s="213"/>
      <c r="D43" s="213"/>
      <c r="E43" s="213"/>
      <c r="F43" s="213"/>
      <c r="G43" s="213"/>
      <c r="H43" s="213"/>
    </row>
    <row r="44" spans="1:8">
      <c r="A44" s="213" t="s">
        <v>99</v>
      </c>
      <c r="B44" s="213"/>
      <c r="C44" s="213"/>
      <c r="D44" s="213"/>
      <c r="E44" s="213"/>
      <c r="F44" s="213"/>
      <c r="G44" s="213"/>
      <c r="H44" s="213"/>
    </row>
    <row r="45" spans="1:8">
      <c r="A45" s="213"/>
      <c r="B45" s="213"/>
      <c r="C45" s="213"/>
      <c r="D45" s="213"/>
      <c r="E45" s="213"/>
      <c r="F45" s="213"/>
      <c r="G45" s="213"/>
      <c r="H45" s="213"/>
    </row>
    <row r="46" spans="1:8">
      <c r="A46" s="213" t="s">
        <v>100</v>
      </c>
      <c r="B46" s="213"/>
      <c r="C46" s="213"/>
      <c r="D46" s="213"/>
      <c r="E46" s="213"/>
      <c r="F46" s="213"/>
      <c r="G46" s="213"/>
      <c r="H46" s="213"/>
    </row>
    <row r="47" spans="1:8">
      <c r="A47" s="213" t="s">
        <v>101</v>
      </c>
      <c r="B47" s="213"/>
      <c r="C47" s="213"/>
      <c r="D47" s="213"/>
      <c r="E47" s="213"/>
      <c r="F47" s="213"/>
      <c r="G47" s="213"/>
      <c r="H47" s="213"/>
    </row>
    <row r="48" spans="1:8">
      <c r="A48" s="213" t="s">
        <v>102</v>
      </c>
      <c r="B48" s="213"/>
      <c r="C48" s="213"/>
      <c r="D48" s="213"/>
      <c r="E48" s="213"/>
      <c r="F48" s="213"/>
      <c r="G48" s="213"/>
      <c r="H48" s="213"/>
    </row>
    <row r="49" spans="1:8">
      <c r="A49" s="213" t="s">
        <v>103</v>
      </c>
      <c r="B49" s="213"/>
      <c r="C49" s="213"/>
      <c r="D49" s="213"/>
      <c r="E49" s="213"/>
      <c r="F49" s="213"/>
      <c r="G49" s="213"/>
      <c r="H49" s="213"/>
    </row>
    <row r="50" spans="1:8">
      <c r="A50" s="213" t="s">
        <v>104</v>
      </c>
      <c r="B50" s="213"/>
      <c r="C50" s="213"/>
      <c r="D50" s="213"/>
      <c r="E50" s="213"/>
      <c r="F50" s="213"/>
      <c r="G50" s="213"/>
      <c r="H50" s="213"/>
    </row>
    <row r="51" spans="1:8">
      <c r="A51" s="213"/>
      <c r="B51" s="213"/>
      <c r="C51" s="213"/>
      <c r="D51" s="213"/>
      <c r="E51" s="213"/>
      <c r="F51" s="213"/>
      <c r="G51" s="213"/>
      <c r="H51" s="213"/>
    </row>
    <row r="52" spans="1:8">
      <c r="A52" s="214" t="s">
        <v>105</v>
      </c>
      <c r="B52" s="214"/>
      <c r="C52" s="214"/>
      <c r="D52" s="214"/>
      <c r="E52" s="214"/>
      <c r="F52" s="214"/>
      <c r="G52" s="214"/>
      <c r="H52" s="213"/>
    </row>
    <row r="53" spans="1:8">
      <c r="A53" s="214" t="s">
        <v>106</v>
      </c>
      <c r="B53" s="214"/>
      <c r="C53" s="214"/>
      <c r="D53" s="214"/>
      <c r="E53" s="214"/>
      <c r="F53" s="214"/>
      <c r="G53" s="214"/>
      <c r="H53" s="213"/>
    </row>
    <row r="54" spans="1:8">
      <c r="A54" s="213"/>
      <c r="B54" s="213"/>
      <c r="C54" s="213"/>
      <c r="D54" s="213"/>
      <c r="E54" s="213"/>
      <c r="F54" s="213"/>
      <c r="G54" s="213"/>
      <c r="H54" s="213"/>
    </row>
    <row r="55" spans="1:8">
      <c r="A55" s="213" t="s">
        <v>107</v>
      </c>
      <c r="B55" s="213"/>
      <c r="C55" s="213"/>
      <c r="D55" s="213"/>
      <c r="E55" s="213"/>
      <c r="F55" s="213"/>
      <c r="G55" s="213"/>
      <c r="H55" s="213"/>
    </row>
    <row r="56" spans="1:8">
      <c r="A56" s="213" t="s">
        <v>108</v>
      </c>
      <c r="B56" s="213"/>
      <c r="C56" s="213"/>
      <c r="D56" s="213"/>
      <c r="E56" s="213"/>
      <c r="F56" s="213"/>
      <c r="G56" s="213"/>
      <c r="H56" s="213"/>
    </row>
    <row r="57" spans="1:8">
      <c r="A57" s="213" t="s">
        <v>109</v>
      </c>
      <c r="B57" s="213"/>
      <c r="C57" s="213"/>
      <c r="D57" s="213"/>
      <c r="E57" s="213"/>
      <c r="F57" s="213"/>
      <c r="G57" s="213"/>
      <c r="H57" s="213"/>
    </row>
    <row r="58" spans="1:8">
      <c r="A58" s="213" t="s">
        <v>110</v>
      </c>
      <c r="B58" s="213"/>
      <c r="C58" s="213"/>
      <c r="D58" s="213"/>
      <c r="E58" s="213"/>
      <c r="F58" s="213"/>
      <c r="G58" s="213"/>
      <c r="H58" s="213"/>
    </row>
    <row r="59" spans="1:8">
      <c r="A59" s="213"/>
      <c r="B59" s="213"/>
      <c r="C59" s="213"/>
      <c r="D59" s="213"/>
      <c r="E59" s="213"/>
      <c r="F59" s="213"/>
      <c r="G59" s="213"/>
      <c r="H59" s="213"/>
    </row>
    <row r="60" spans="1:8">
      <c r="A60" s="213" t="s">
        <v>111</v>
      </c>
      <c r="B60" s="213"/>
      <c r="C60" s="213"/>
      <c r="D60" s="213"/>
      <c r="E60" s="213"/>
      <c r="F60" s="213"/>
      <c r="G60" s="213"/>
      <c r="H60" s="213"/>
    </row>
    <row r="61" spans="1:8">
      <c r="A61" s="213" t="s">
        <v>112</v>
      </c>
      <c r="B61" s="213"/>
      <c r="C61" s="213"/>
      <c r="D61" s="213"/>
      <c r="E61" s="213"/>
      <c r="F61" s="213"/>
      <c r="G61" s="213"/>
      <c r="H61" s="213"/>
    </row>
    <row r="62" spans="1:8">
      <c r="A62" s="213" t="s">
        <v>113</v>
      </c>
      <c r="B62" s="213"/>
      <c r="C62" s="213"/>
      <c r="D62" s="213"/>
      <c r="E62" s="213"/>
      <c r="F62" s="213"/>
      <c r="G62" s="213"/>
      <c r="H62" s="213"/>
    </row>
    <row r="63" spans="1:8">
      <c r="A63" s="213" t="s">
        <v>114</v>
      </c>
      <c r="B63" s="213"/>
      <c r="C63" s="213"/>
      <c r="D63" s="213"/>
      <c r="E63" s="213"/>
      <c r="F63" s="213"/>
      <c r="G63" s="213"/>
      <c r="H63" s="213"/>
    </row>
    <row r="64" spans="1:8">
      <c r="A64" s="213" t="s">
        <v>115</v>
      </c>
      <c r="B64" s="213"/>
      <c r="C64" s="213"/>
      <c r="D64" s="213"/>
      <c r="E64" s="213"/>
      <c r="F64" s="213"/>
      <c r="G64" s="213"/>
      <c r="H64" s="213"/>
    </row>
    <row r="65" spans="1:8">
      <c r="A65" s="213" t="s">
        <v>116</v>
      </c>
      <c r="B65" s="213"/>
      <c r="C65" s="213"/>
      <c r="D65" s="213"/>
      <c r="E65" s="213"/>
      <c r="F65" s="213"/>
      <c r="G65" s="213"/>
      <c r="H65" s="213"/>
    </row>
    <row r="66" spans="1:8">
      <c r="A66" s="213"/>
      <c r="B66" s="213"/>
      <c r="C66" s="213"/>
      <c r="D66" s="213"/>
      <c r="E66" s="213"/>
      <c r="F66" s="213"/>
      <c r="G66" s="213"/>
      <c r="H66" s="213"/>
    </row>
    <row r="67" spans="1:8">
      <c r="A67" s="213" t="s">
        <v>117</v>
      </c>
      <c r="B67" s="213"/>
      <c r="C67" s="213"/>
      <c r="D67" s="213"/>
      <c r="E67" s="213"/>
      <c r="F67" s="213"/>
      <c r="G67" s="213"/>
      <c r="H67" s="213"/>
    </row>
    <row r="68" spans="1:8">
      <c r="A68" s="213" t="s">
        <v>118</v>
      </c>
      <c r="B68" s="213"/>
      <c r="C68" s="213"/>
      <c r="D68" s="213"/>
      <c r="E68" s="213"/>
      <c r="F68" s="213"/>
      <c r="G68" s="213"/>
      <c r="H68" s="213"/>
    </row>
    <row r="69" spans="1:8">
      <c r="A69" s="213" t="s">
        <v>119</v>
      </c>
      <c r="B69" s="213"/>
      <c r="C69" s="213"/>
      <c r="D69" s="213"/>
      <c r="E69" s="213"/>
      <c r="F69" s="213"/>
      <c r="G69" s="213"/>
      <c r="H69" s="213"/>
    </row>
    <row r="70" spans="1:8">
      <c r="A70" s="213" t="s">
        <v>120</v>
      </c>
      <c r="B70" s="213"/>
      <c r="C70" s="213"/>
      <c r="D70" s="213"/>
      <c r="E70" s="213"/>
      <c r="F70" s="213"/>
      <c r="G70" s="213"/>
      <c r="H70" s="213"/>
    </row>
    <row r="71" spans="1:8">
      <c r="A71" s="213" t="s">
        <v>121</v>
      </c>
      <c r="B71" s="213"/>
      <c r="C71" s="213"/>
      <c r="D71" s="213"/>
      <c r="E71" s="213"/>
      <c r="F71" s="213"/>
      <c r="G71" s="213"/>
      <c r="H71" s="213"/>
    </row>
    <row r="72" spans="1:8">
      <c r="A72" s="213" t="s">
        <v>122</v>
      </c>
      <c r="B72" s="213"/>
      <c r="C72" s="213"/>
      <c r="D72" s="213"/>
      <c r="E72" s="213"/>
      <c r="F72" s="213"/>
      <c r="G72" s="213"/>
      <c r="H72" s="213"/>
    </row>
    <row r="73" spans="1:8">
      <c r="A73" s="213" t="s">
        <v>123</v>
      </c>
      <c r="B73" s="213"/>
      <c r="C73" s="213"/>
      <c r="D73" s="213"/>
      <c r="E73" s="213"/>
      <c r="F73" s="213"/>
      <c r="G73" s="213"/>
      <c r="H73" s="213"/>
    </row>
    <row r="74" spans="1:8">
      <c r="A74" s="213"/>
      <c r="B74" s="213"/>
      <c r="C74" s="213"/>
      <c r="D74" s="213"/>
      <c r="E74" s="213"/>
      <c r="F74" s="213"/>
      <c r="G74" s="213"/>
      <c r="H74" s="213"/>
    </row>
    <row r="75" spans="1:8">
      <c r="A75" s="213" t="s">
        <v>124</v>
      </c>
      <c r="B75" s="213"/>
      <c r="C75" s="213"/>
      <c r="D75" s="213"/>
      <c r="E75" s="213"/>
      <c r="F75" s="213"/>
      <c r="G75" s="213"/>
      <c r="H75" s="213"/>
    </row>
    <row r="76" spans="1:8">
      <c r="A76" s="213" t="s">
        <v>125</v>
      </c>
      <c r="B76" s="213"/>
      <c r="C76" s="213"/>
      <c r="D76" s="213"/>
      <c r="E76" s="213"/>
      <c r="F76" s="213"/>
      <c r="G76" s="213"/>
      <c r="H76" s="213"/>
    </row>
    <row r="77" spans="1:8">
      <c r="A77" s="213" t="s">
        <v>126</v>
      </c>
      <c r="B77" s="213"/>
      <c r="C77" s="213"/>
      <c r="D77" s="213"/>
      <c r="E77" s="213"/>
      <c r="F77" s="213"/>
      <c r="G77" s="213"/>
      <c r="H77" s="213"/>
    </row>
    <row r="78" spans="1:8">
      <c r="A78" s="213"/>
      <c r="B78" s="213"/>
      <c r="C78" s="213"/>
      <c r="D78" s="213"/>
      <c r="E78" s="213"/>
      <c r="F78" s="213"/>
      <c r="G78" s="213"/>
      <c r="H78" s="213"/>
    </row>
    <row r="79" spans="1:8">
      <c r="A79" s="213" t="s">
        <v>71</v>
      </c>
    </row>
    <row r="80" spans="1:8">
      <c r="A80" s="214"/>
    </row>
    <row r="81" spans="1:1">
      <c r="A81" s="213"/>
    </row>
    <row r="82" spans="1:1">
      <c r="A82" s="213"/>
    </row>
    <row r="83" spans="1:1">
      <c r="A83" s="213"/>
    </row>
    <row r="84" spans="1:1">
      <c r="A84" s="213"/>
    </row>
    <row r="85" spans="1:1">
      <c r="A85" s="213"/>
    </row>
    <row r="86" spans="1:1">
      <c r="A86" s="213"/>
    </row>
    <row r="87" spans="1:1">
      <c r="A87" s="213"/>
    </row>
    <row r="88" spans="1:1">
      <c r="A88" s="213"/>
    </row>
    <row r="89" spans="1:1">
      <c r="A89" s="213"/>
    </row>
    <row r="90" spans="1:1">
      <c r="A90" s="213"/>
    </row>
    <row r="91" spans="1:1">
      <c r="A91" s="213"/>
    </row>
    <row r="92" spans="1:1">
      <c r="A92" s="213"/>
    </row>
    <row r="93" spans="1:1">
      <c r="A93" s="213"/>
    </row>
    <row r="94" spans="1:1">
      <c r="A94" s="213"/>
    </row>
    <row r="95" spans="1:1">
      <c r="A95" s="213"/>
    </row>
    <row r="96" spans="1:1">
      <c r="A96" s="213"/>
    </row>
    <row r="97" spans="1:1">
      <c r="A97" s="213"/>
    </row>
    <row r="98" spans="1:1">
      <c r="A98" s="213"/>
    </row>
    <row r="99" spans="1:1">
      <c r="A99" s="213"/>
    </row>
    <row r="100" spans="1:1">
      <c r="A100" s="213"/>
    </row>
    <row r="101" spans="1:1">
      <c r="A101" s="213"/>
    </row>
    <row r="103" spans="1:1">
      <c r="A103" s="213"/>
    </row>
    <row r="104" spans="1:1">
      <c r="A104" s="213"/>
    </row>
    <row r="105" spans="1:1">
      <c r="A105" s="213"/>
    </row>
    <row r="107" spans="1:1">
      <c r="A107" s="214"/>
    </row>
    <row r="108" spans="1:1">
      <c r="A108" s="214"/>
    </row>
    <row r="109" spans="1:1">
      <c r="A109" s="214"/>
    </row>
  </sheetData>
  <sheetProtection sheet="1"/>
  <phoneticPr fontId="31" type="noConversion"/>
  <pageMargins left="0.7" right="0.7" top="0.75" bottom="0.75" header="0.3" footer="0.3"/>
  <pageSetup orientation="portrait" r:id="rId1"/>
  <headerFooter>
    <oddFooter>&amp;Lrevised 9/25/09</oddFooter>
  </headerFooter>
</worksheet>
</file>

<file path=xl/worksheets/sheet14.xml><?xml version="1.0" encoding="utf-8"?>
<worksheet xmlns="http://schemas.openxmlformats.org/spreadsheetml/2006/main" xmlns:r="http://schemas.openxmlformats.org/officeDocument/2006/relationships">
  <sheetPr>
    <tabColor rgb="FFFF0000"/>
  </sheetPr>
  <dimension ref="A3:L62"/>
  <sheetViews>
    <sheetView workbookViewId="0"/>
  </sheetViews>
  <sheetFormatPr defaultRowHeight="15"/>
  <cols>
    <col min="1" max="1" width="71.33203125" customWidth="1"/>
  </cols>
  <sheetData>
    <row r="3" spans="1:12">
      <c r="A3" s="212" t="s">
        <v>127</v>
      </c>
      <c r="B3" s="212"/>
      <c r="C3" s="212"/>
      <c r="D3" s="212"/>
      <c r="E3" s="212"/>
      <c r="F3" s="212"/>
      <c r="G3" s="212"/>
      <c r="H3" s="212"/>
      <c r="I3" s="212"/>
      <c r="J3" s="212"/>
      <c r="K3" s="212"/>
      <c r="L3" s="212"/>
    </row>
    <row r="4" spans="1:12">
      <c r="A4" s="212"/>
      <c r="B4" s="212"/>
      <c r="C4" s="212"/>
      <c r="D4" s="212"/>
      <c r="E4" s="212"/>
      <c r="F4" s="212"/>
      <c r="G4" s="212"/>
      <c r="H4" s="212"/>
      <c r="I4" s="212"/>
      <c r="J4" s="212"/>
      <c r="K4" s="212"/>
      <c r="L4" s="212"/>
    </row>
    <row r="5" spans="1:12">
      <c r="A5" s="213" t="s">
        <v>24</v>
      </c>
      <c r="I5" s="212"/>
      <c r="J5" s="212"/>
      <c r="K5" s="212"/>
      <c r="L5" s="212"/>
    </row>
    <row r="6" spans="1:12">
      <c r="A6" s="213" t="str">
        <f>CONCATENATE("estimated ",inputPrYr!D6-1," 'total expenditures' exceed your ",inputPrYr!D6-1,"")</f>
        <v>estimated 2011 'total expenditures' exceed your 2011</v>
      </c>
      <c r="I6" s="212"/>
      <c r="J6" s="212"/>
      <c r="K6" s="212"/>
      <c r="L6" s="212"/>
    </row>
    <row r="7" spans="1:12">
      <c r="A7" s="216" t="s">
        <v>128</v>
      </c>
      <c r="I7" s="212"/>
      <c r="J7" s="212"/>
      <c r="K7" s="212"/>
      <c r="L7" s="212"/>
    </row>
    <row r="8" spans="1:12">
      <c r="A8" s="213"/>
      <c r="I8" s="212"/>
      <c r="J8" s="212"/>
      <c r="K8" s="212"/>
      <c r="L8" s="212"/>
    </row>
    <row r="9" spans="1:12">
      <c r="A9" s="213" t="s">
        <v>129</v>
      </c>
      <c r="I9" s="212"/>
      <c r="J9" s="212"/>
      <c r="K9" s="212"/>
      <c r="L9" s="212"/>
    </row>
    <row r="10" spans="1:12">
      <c r="A10" s="213" t="s">
        <v>130</v>
      </c>
      <c r="I10" s="212"/>
      <c r="J10" s="212"/>
      <c r="K10" s="212"/>
      <c r="L10" s="212"/>
    </row>
    <row r="11" spans="1:12">
      <c r="A11" s="213" t="s">
        <v>131</v>
      </c>
      <c r="I11" s="212"/>
      <c r="J11" s="212"/>
      <c r="K11" s="212"/>
      <c r="L11" s="212"/>
    </row>
    <row r="12" spans="1:12">
      <c r="A12" s="213" t="s">
        <v>132</v>
      </c>
      <c r="I12" s="212"/>
      <c r="J12" s="212"/>
      <c r="K12" s="212"/>
      <c r="L12" s="212"/>
    </row>
    <row r="13" spans="1:12">
      <c r="A13" s="213" t="s">
        <v>133</v>
      </c>
      <c r="I13" s="212"/>
      <c r="J13" s="212"/>
      <c r="K13" s="212"/>
      <c r="L13" s="212"/>
    </row>
    <row r="14" spans="1:12">
      <c r="A14" s="212"/>
      <c r="B14" s="212"/>
      <c r="C14" s="212"/>
      <c r="D14" s="212"/>
      <c r="E14" s="212"/>
      <c r="F14" s="212"/>
      <c r="G14" s="212"/>
      <c r="H14" s="212"/>
      <c r="I14" s="212"/>
      <c r="J14" s="212"/>
      <c r="K14" s="212"/>
      <c r="L14" s="212"/>
    </row>
    <row r="15" spans="1:12">
      <c r="A15" s="214" t="s">
        <v>134</v>
      </c>
    </row>
    <row r="16" spans="1:12">
      <c r="A16" s="214" t="s">
        <v>135</v>
      </c>
    </row>
    <row r="17" spans="1:7">
      <c r="A17" s="214"/>
    </row>
    <row r="18" spans="1:7">
      <c r="A18" s="213" t="s">
        <v>136</v>
      </c>
      <c r="B18" s="213"/>
      <c r="C18" s="213"/>
      <c r="D18" s="213"/>
      <c r="E18" s="213"/>
      <c r="F18" s="213"/>
      <c r="G18" s="213"/>
    </row>
    <row r="19" spans="1:7">
      <c r="A19" s="213" t="str">
        <f>CONCATENATE("your ",inputPrYr!D6-1," numbers to see what steps might be necessary to")</f>
        <v>your 2011 numbers to see what steps might be necessary to</v>
      </c>
      <c r="B19" s="213"/>
      <c r="C19" s="213"/>
      <c r="D19" s="213"/>
      <c r="E19" s="213"/>
      <c r="F19" s="213"/>
      <c r="G19" s="213"/>
    </row>
    <row r="20" spans="1:7">
      <c r="A20" s="213" t="s">
        <v>137</v>
      </c>
      <c r="B20" s="213"/>
      <c r="C20" s="213"/>
      <c r="D20" s="213"/>
      <c r="E20" s="213"/>
      <c r="F20" s="213"/>
      <c r="G20" s="213"/>
    </row>
    <row r="21" spans="1:7">
      <c r="A21" s="213" t="s">
        <v>138</v>
      </c>
      <c r="B21" s="213"/>
      <c r="C21" s="213"/>
      <c r="D21" s="213"/>
      <c r="E21" s="213"/>
      <c r="F21" s="213"/>
      <c r="G21" s="213"/>
    </row>
    <row r="22" spans="1:7">
      <c r="A22" s="213"/>
    </row>
    <row r="23" spans="1:7">
      <c r="A23" s="214" t="s">
        <v>139</v>
      </c>
    </row>
    <row r="24" spans="1:7">
      <c r="A24" s="214"/>
    </row>
    <row r="25" spans="1:7">
      <c r="A25" s="213" t="s">
        <v>140</v>
      </c>
    </row>
    <row r="26" spans="1:7">
      <c r="A26" s="213" t="s">
        <v>141</v>
      </c>
      <c r="B26" s="213"/>
      <c r="C26" s="213"/>
      <c r="D26" s="213"/>
      <c r="E26" s="213"/>
      <c r="F26" s="213"/>
    </row>
    <row r="27" spans="1:7">
      <c r="A27" s="213" t="s">
        <v>142</v>
      </c>
      <c r="B27" s="213"/>
      <c r="C27" s="213"/>
      <c r="D27" s="213"/>
      <c r="E27" s="213"/>
      <c r="F27" s="213"/>
    </row>
    <row r="28" spans="1:7">
      <c r="A28" s="213" t="s">
        <v>143</v>
      </c>
      <c r="B28" s="213"/>
      <c r="C28" s="213"/>
      <c r="D28" s="213"/>
      <c r="E28" s="213"/>
      <c r="F28" s="213"/>
    </row>
    <row r="29" spans="1:7">
      <c r="A29" s="213"/>
      <c r="B29" s="213"/>
      <c r="C29" s="213"/>
      <c r="D29" s="213"/>
      <c r="E29" s="213"/>
      <c r="F29" s="213"/>
    </row>
    <row r="30" spans="1:7">
      <c r="A30" s="214" t="s">
        <v>144</v>
      </c>
      <c r="B30" s="214"/>
      <c r="C30" s="214"/>
      <c r="D30" s="214"/>
      <c r="E30" s="214"/>
      <c r="F30" s="214"/>
      <c r="G30" s="214"/>
    </row>
    <row r="31" spans="1:7">
      <c r="A31" s="214" t="s">
        <v>145</v>
      </c>
      <c r="B31" s="214"/>
      <c r="C31" s="214"/>
      <c r="D31" s="214"/>
      <c r="E31" s="214"/>
      <c r="F31" s="214"/>
      <c r="G31" s="214"/>
    </row>
    <row r="32" spans="1:7">
      <c r="A32" s="213"/>
      <c r="B32" s="213"/>
      <c r="C32" s="213"/>
      <c r="D32" s="213"/>
      <c r="E32" s="213"/>
      <c r="F32" s="213"/>
    </row>
    <row r="33" spans="1:6">
      <c r="A33" s="207" t="str">
        <f>CONCATENATE("Well, let's look to see if any of your ",inputPrYr!D6-1," expenditures can")</f>
        <v>Well, let's look to see if any of your 2011 expenditures can</v>
      </c>
      <c r="B33" s="213"/>
      <c r="C33" s="213"/>
      <c r="D33" s="213"/>
      <c r="E33" s="213"/>
      <c r="F33" s="213"/>
    </row>
    <row r="34" spans="1:6">
      <c r="A34" s="207" t="s">
        <v>146</v>
      </c>
      <c r="B34" s="213"/>
      <c r="C34" s="213"/>
      <c r="D34" s="213"/>
      <c r="E34" s="213"/>
      <c r="F34" s="213"/>
    </row>
    <row r="35" spans="1:6">
      <c r="A35" s="207" t="s">
        <v>38</v>
      </c>
      <c r="B35" s="213"/>
      <c r="C35" s="213"/>
      <c r="D35" s="213"/>
      <c r="E35" s="213"/>
      <c r="F35" s="213"/>
    </row>
    <row r="36" spans="1:6">
      <c r="A36" s="207" t="s">
        <v>39</v>
      </c>
      <c r="B36" s="213"/>
      <c r="C36" s="213"/>
      <c r="D36" s="213"/>
      <c r="E36" s="213"/>
      <c r="F36" s="213"/>
    </row>
    <row r="37" spans="1:6">
      <c r="A37" s="207"/>
      <c r="B37" s="213"/>
      <c r="C37" s="213"/>
      <c r="D37" s="213"/>
      <c r="E37" s="213"/>
      <c r="F37" s="213"/>
    </row>
    <row r="38" spans="1:6">
      <c r="A38" s="207" t="str">
        <f>CONCATENATE("Additionally, do your ",inputPrYr!D6-1," receipts contain a reimbursement")</f>
        <v>Additionally, do your 2011 receipts contain a reimbursement</v>
      </c>
      <c r="B38" s="213"/>
      <c r="C38" s="213"/>
      <c r="D38" s="213"/>
      <c r="E38" s="213"/>
      <c r="F38" s="213"/>
    </row>
    <row r="39" spans="1:6">
      <c r="A39" s="207" t="s">
        <v>40</v>
      </c>
      <c r="B39" s="213"/>
      <c r="C39" s="213"/>
      <c r="D39" s="213"/>
      <c r="E39" s="213"/>
      <c r="F39" s="213"/>
    </row>
    <row r="40" spans="1:6">
      <c r="A40" s="207" t="s">
        <v>41</v>
      </c>
      <c r="B40" s="213"/>
      <c r="C40" s="213"/>
      <c r="D40" s="213"/>
      <c r="E40" s="213"/>
      <c r="F40" s="213"/>
    </row>
    <row r="41" spans="1:6">
      <c r="A41" s="207"/>
      <c r="B41" s="213"/>
      <c r="C41" s="213"/>
      <c r="D41" s="213"/>
      <c r="E41" s="213"/>
      <c r="F41" s="213"/>
    </row>
    <row r="42" spans="1:6">
      <c r="A42" s="207" t="s">
        <v>147</v>
      </c>
      <c r="B42" s="213"/>
      <c r="C42" s="213"/>
      <c r="D42" s="213"/>
      <c r="E42" s="213"/>
      <c r="F42" s="213"/>
    </row>
    <row r="43" spans="1:6">
      <c r="A43" s="207" t="s">
        <v>148</v>
      </c>
      <c r="B43" s="213"/>
      <c r="C43" s="213"/>
      <c r="D43" s="213"/>
      <c r="E43" s="213"/>
      <c r="F43" s="213"/>
    </row>
    <row r="44" spans="1:6">
      <c r="A44" s="207" t="s">
        <v>149</v>
      </c>
      <c r="B44" s="213"/>
      <c r="C44" s="213"/>
      <c r="D44" s="213"/>
      <c r="E44" s="213"/>
      <c r="F44" s="213"/>
    </row>
    <row r="45" spans="1:6">
      <c r="A45" s="207" t="s">
        <v>150</v>
      </c>
      <c r="B45" s="213"/>
      <c r="C45" s="213"/>
      <c r="D45" s="213"/>
      <c r="E45" s="213"/>
      <c r="F45" s="213"/>
    </row>
    <row r="46" spans="1:6">
      <c r="A46" s="207" t="s">
        <v>151</v>
      </c>
      <c r="B46" s="213"/>
      <c r="C46" s="213"/>
      <c r="D46" s="213"/>
      <c r="E46" s="213"/>
      <c r="F46" s="213"/>
    </row>
    <row r="47" spans="1:6">
      <c r="A47" s="207"/>
      <c r="B47" s="213"/>
      <c r="C47" s="213"/>
      <c r="D47" s="213"/>
      <c r="E47" s="213"/>
      <c r="F47" s="213"/>
    </row>
    <row r="48" spans="1:6">
      <c r="A48" s="208" t="s">
        <v>152</v>
      </c>
      <c r="B48" s="213"/>
      <c r="C48" s="213"/>
      <c r="D48" s="213"/>
      <c r="E48" s="213"/>
      <c r="F48" s="213"/>
    </row>
    <row r="49" spans="1:6">
      <c r="A49" s="208" t="s">
        <v>153</v>
      </c>
      <c r="B49" s="213"/>
      <c r="C49" s="213"/>
      <c r="D49" s="213"/>
      <c r="E49" s="213"/>
      <c r="F49" s="213"/>
    </row>
    <row r="50" spans="1:6">
      <c r="A50" s="208" t="s">
        <v>154</v>
      </c>
      <c r="B50" s="213"/>
      <c r="C50" s="213"/>
      <c r="D50" s="213"/>
      <c r="E50" s="213"/>
      <c r="F50" s="213"/>
    </row>
    <row r="51" spans="1:6">
      <c r="A51" s="208" t="s">
        <v>155</v>
      </c>
    </row>
    <row r="52" spans="1:6">
      <c r="A52" s="208" t="s">
        <v>156</v>
      </c>
    </row>
    <row r="53" spans="1:6">
      <c r="A53" s="208" t="s">
        <v>157</v>
      </c>
    </row>
    <row r="55" spans="1:6">
      <c r="A55" s="213" t="s">
        <v>158</v>
      </c>
    </row>
    <row r="56" spans="1:6">
      <c r="A56" s="213" t="s">
        <v>159</v>
      </c>
    </row>
    <row r="57" spans="1:6">
      <c r="A57" s="213" t="s">
        <v>160</v>
      </c>
    </row>
    <row r="58" spans="1:6">
      <c r="A58" s="213" t="s">
        <v>161</v>
      </c>
    </row>
    <row r="59" spans="1:6">
      <c r="A59" s="213" t="s">
        <v>162</v>
      </c>
    </row>
    <row r="60" spans="1:6">
      <c r="A60" s="213" t="s">
        <v>163</v>
      </c>
    </row>
    <row r="62" spans="1:6">
      <c r="A62" s="213" t="s">
        <v>71</v>
      </c>
    </row>
  </sheetData>
  <sheetProtection sheet="1"/>
  <phoneticPr fontId="31" type="noConversion"/>
  <pageMargins left="0.7" right="0.7" top="0.75" bottom="0.75" header="0.3" footer="0.3"/>
  <pageSetup orientation="portrait" blackAndWhite="1" r:id="rId1"/>
  <headerFooter>
    <oddFooter>&amp;Lrevised 9/25/09</oddFooter>
  </headerFooter>
</worksheet>
</file>

<file path=xl/worksheets/sheet15.xml><?xml version="1.0" encoding="utf-8"?>
<worksheet xmlns="http://schemas.openxmlformats.org/spreadsheetml/2006/main" xmlns:r="http://schemas.openxmlformats.org/officeDocument/2006/relationships">
  <sheetPr>
    <tabColor rgb="FFFF0000"/>
  </sheetPr>
  <dimension ref="A3:G106"/>
  <sheetViews>
    <sheetView workbookViewId="0"/>
  </sheetViews>
  <sheetFormatPr defaultRowHeight="15"/>
  <cols>
    <col min="1" max="1" width="71.33203125" customWidth="1"/>
  </cols>
  <sheetData>
    <row r="3" spans="1:7">
      <c r="A3" s="212" t="s">
        <v>164</v>
      </c>
      <c r="B3" s="212"/>
      <c r="C3" s="212"/>
      <c r="D3" s="212"/>
      <c r="E3" s="212"/>
      <c r="F3" s="212"/>
      <c r="G3" s="212"/>
    </row>
    <row r="4" spans="1:7">
      <c r="A4" s="212"/>
      <c r="B4" s="212"/>
      <c r="C4" s="212"/>
      <c r="D4" s="212"/>
      <c r="E4" s="212"/>
      <c r="F4" s="212"/>
      <c r="G4" s="212"/>
    </row>
    <row r="5" spans="1:7">
      <c r="A5" s="213" t="s">
        <v>73</v>
      </c>
    </row>
    <row r="6" spans="1:7">
      <c r="A6" s="213" t="str">
        <f>CONCATENATE(inputPrYr!D6-1," estimated expenditures show that at the end of this year")</f>
        <v>2011 estimated expenditures show that at the end of this year</v>
      </c>
    </row>
    <row r="7" spans="1:7">
      <c r="A7" s="213" t="s">
        <v>165</v>
      </c>
    </row>
    <row r="8" spans="1:7">
      <c r="A8" s="213" t="s">
        <v>166</v>
      </c>
    </row>
    <row r="10" spans="1:7">
      <c r="A10" t="s">
        <v>75</v>
      </c>
    </row>
    <row r="11" spans="1:7">
      <c r="A11" t="s">
        <v>76</v>
      </c>
    </row>
    <row r="12" spans="1:7">
      <c r="A12" t="s">
        <v>77</v>
      </c>
    </row>
    <row r="13" spans="1:7">
      <c r="A13" s="212"/>
      <c r="B13" s="212"/>
      <c r="C13" s="212"/>
      <c r="D13" s="212"/>
      <c r="E13" s="212"/>
      <c r="F13" s="212"/>
      <c r="G13" s="212"/>
    </row>
    <row r="14" spans="1:7">
      <c r="A14" s="214" t="s">
        <v>167</v>
      </c>
    </row>
    <row r="15" spans="1:7">
      <c r="A15" s="213"/>
    </row>
    <row r="16" spans="1:7">
      <c r="A16" s="213" t="s">
        <v>168</v>
      </c>
    </row>
    <row r="17" spans="1:7">
      <c r="A17" s="213" t="s">
        <v>169</v>
      </c>
    </row>
    <row r="18" spans="1:7">
      <c r="A18" s="213" t="s">
        <v>170</v>
      </c>
    </row>
    <row r="19" spans="1:7">
      <c r="A19" s="213"/>
    </row>
    <row r="20" spans="1:7">
      <c r="A20" s="213" t="s">
        <v>171</v>
      </c>
    </row>
    <row r="21" spans="1:7">
      <c r="A21" s="213" t="s">
        <v>172</v>
      </c>
    </row>
    <row r="22" spans="1:7">
      <c r="A22" s="213" t="s">
        <v>173</v>
      </c>
    </row>
    <row r="23" spans="1:7">
      <c r="A23" s="213" t="s">
        <v>174</v>
      </c>
    </row>
    <row r="24" spans="1:7">
      <c r="A24" s="213"/>
    </row>
    <row r="25" spans="1:7">
      <c r="A25" s="214" t="s">
        <v>139</v>
      </c>
    </row>
    <row r="26" spans="1:7">
      <c r="A26" s="214"/>
    </row>
    <row r="27" spans="1:7">
      <c r="A27" s="213" t="s">
        <v>140</v>
      </c>
    </row>
    <row r="28" spans="1:7">
      <c r="A28" s="213" t="s">
        <v>141</v>
      </c>
      <c r="B28" s="213"/>
      <c r="C28" s="213"/>
      <c r="D28" s="213"/>
      <c r="E28" s="213"/>
      <c r="F28" s="213"/>
    </row>
    <row r="29" spans="1:7">
      <c r="A29" s="213" t="s">
        <v>142</v>
      </c>
      <c r="B29" s="213"/>
      <c r="C29" s="213"/>
      <c r="D29" s="213"/>
      <c r="E29" s="213"/>
      <c r="F29" s="213"/>
    </row>
    <row r="30" spans="1:7">
      <c r="A30" s="213" t="s">
        <v>143</v>
      </c>
      <c r="B30" s="213"/>
      <c r="C30" s="213"/>
      <c r="D30" s="213"/>
      <c r="E30" s="213"/>
      <c r="F30" s="213"/>
    </row>
    <row r="31" spans="1:7">
      <c r="A31" s="213"/>
    </row>
    <row r="32" spans="1:7">
      <c r="A32" s="214" t="s">
        <v>144</v>
      </c>
      <c r="B32" s="214"/>
      <c r="C32" s="214"/>
      <c r="D32" s="214"/>
      <c r="E32" s="214"/>
      <c r="F32" s="214"/>
      <c r="G32" s="214"/>
    </row>
    <row r="33" spans="1:7">
      <c r="A33" s="214" t="s">
        <v>145</v>
      </c>
      <c r="B33" s="214"/>
      <c r="C33" s="214"/>
      <c r="D33" s="214"/>
      <c r="E33" s="214"/>
      <c r="F33" s="214"/>
      <c r="G33" s="214"/>
    </row>
    <row r="34" spans="1:7">
      <c r="A34" s="214"/>
      <c r="B34" s="214"/>
      <c r="C34" s="214"/>
      <c r="D34" s="214"/>
      <c r="E34" s="214"/>
      <c r="F34" s="214"/>
      <c r="G34" s="214"/>
    </row>
    <row r="35" spans="1:7">
      <c r="A35" s="213" t="s">
        <v>175</v>
      </c>
      <c r="B35" s="213"/>
      <c r="C35" s="213"/>
      <c r="D35" s="213"/>
      <c r="E35" s="213"/>
      <c r="F35" s="213"/>
      <c r="G35" s="213"/>
    </row>
    <row r="36" spans="1:7">
      <c r="A36" s="213" t="s">
        <v>176</v>
      </c>
      <c r="B36" s="213"/>
      <c r="C36" s="213"/>
      <c r="D36" s="213"/>
      <c r="E36" s="213"/>
      <c r="F36" s="213"/>
      <c r="G36" s="213"/>
    </row>
    <row r="37" spans="1:7">
      <c r="A37" s="213" t="s">
        <v>177</v>
      </c>
      <c r="B37" s="213"/>
      <c r="C37" s="213"/>
      <c r="D37" s="213"/>
      <c r="E37" s="213"/>
      <c r="F37" s="213"/>
      <c r="G37" s="213"/>
    </row>
    <row r="38" spans="1:7">
      <c r="A38" s="213" t="s">
        <v>178</v>
      </c>
      <c r="B38" s="213"/>
      <c r="C38" s="213"/>
      <c r="D38" s="213"/>
      <c r="E38" s="213"/>
      <c r="F38" s="213"/>
      <c r="G38" s="213"/>
    </row>
    <row r="39" spans="1:7">
      <c r="A39" s="213" t="s">
        <v>179</v>
      </c>
      <c r="B39" s="213"/>
      <c r="C39" s="213"/>
      <c r="D39" s="213"/>
      <c r="E39" s="213"/>
      <c r="F39" s="213"/>
      <c r="G39" s="213"/>
    </row>
    <row r="40" spans="1:7">
      <c r="A40" s="214"/>
      <c r="B40" s="214"/>
      <c r="C40" s="214"/>
      <c r="D40" s="214"/>
      <c r="E40" s="214"/>
      <c r="F40" s="214"/>
      <c r="G40" s="214"/>
    </row>
    <row r="41" spans="1:7">
      <c r="A41" s="207" t="str">
        <f>CONCATENATE("So, let's look to see if any of your ",inputPrYr!D6-1," expenditures can")</f>
        <v>So, let's look to see if any of your 2011 expenditures can</v>
      </c>
      <c r="B41" s="213"/>
      <c r="C41" s="213"/>
      <c r="D41" s="213"/>
      <c r="E41" s="213"/>
      <c r="F41" s="213"/>
    </row>
    <row r="42" spans="1:7">
      <c r="A42" s="207" t="s">
        <v>146</v>
      </c>
      <c r="B42" s="213"/>
      <c r="C42" s="213"/>
      <c r="D42" s="213"/>
      <c r="E42" s="213"/>
      <c r="F42" s="213"/>
    </row>
    <row r="43" spans="1:7">
      <c r="A43" s="207" t="s">
        <v>38</v>
      </c>
      <c r="B43" s="213"/>
      <c r="C43" s="213"/>
      <c r="D43" s="213"/>
      <c r="E43" s="213"/>
      <c r="F43" s="213"/>
    </row>
    <row r="44" spans="1:7">
      <c r="A44" s="207" t="s">
        <v>39</v>
      </c>
      <c r="B44" s="213"/>
      <c r="C44" s="213"/>
      <c r="D44" s="213"/>
      <c r="E44" s="213"/>
      <c r="F44" s="213"/>
    </row>
    <row r="45" spans="1:7">
      <c r="A45" s="213"/>
    </row>
    <row r="46" spans="1:7">
      <c r="A46" s="207" t="str">
        <f>CONCATENATE("Additionally, do your ",inputPrYr!D6-1," receipts contain a reimbursement")</f>
        <v>Additionally, do your 2011 receipts contain a reimbursement</v>
      </c>
      <c r="B46" s="213"/>
      <c r="C46" s="213"/>
      <c r="D46" s="213"/>
      <c r="E46" s="213"/>
      <c r="F46" s="213"/>
    </row>
    <row r="47" spans="1:7">
      <c r="A47" s="207" t="s">
        <v>40</v>
      </c>
      <c r="B47" s="213"/>
      <c r="C47" s="213"/>
      <c r="D47" s="213"/>
      <c r="E47" s="213"/>
      <c r="F47" s="213"/>
    </row>
    <row r="48" spans="1:7">
      <c r="A48" s="207" t="s">
        <v>41</v>
      </c>
      <c r="B48" s="213"/>
      <c r="C48" s="213"/>
      <c r="D48" s="213"/>
      <c r="E48" s="213"/>
      <c r="F48" s="213"/>
    </row>
    <row r="49" spans="1:7">
      <c r="A49" s="213"/>
      <c r="B49" s="213"/>
      <c r="C49" s="213"/>
      <c r="D49" s="213"/>
      <c r="E49" s="213"/>
      <c r="F49" s="213"/>
      <c r="G49" s="213"/>
    </row>
    <row r="50" spans="1:7">
      <c r="A50" s="213" t="s">
        <v>100</v>
      </c>
      <c r="B50" s="213"/>
      <c r="C50" s="213"/>
      <c r="D50" s="213"/>
      <c r="E50" s="213"/>
      <c r="F50" s="213"/>
      <c r="G50" s="213"/>
    </row>
    <row r="51" spans="1:7">
      <c r="A51" s="213" t="s">
        <v>101</v>
      </c>
      <c r="B51" s="213"/>
      <c r="C51" s="213"/>
      <c r="D51" s="213"/>
      <c r="E51" s="213"/>
      <c r="F51" s="213"/>
      <c r="G51" s="213"/>
    </row>
    <row r="52" spans="1:7">
      <c r="A52" s="213" t="s">
        <v>102</v>
      </c>
      <c r="B52" s="213"/>
      <c r="C52" s="213"/>
      <c r="D52" s="213"/>
      <c r="E52" s="213"/>
      <c r="F52" s="213"/>
      <c r="G52" s="213"/>
    </row>
    <row r="53" spans="1:7">
      <c r="A53" s="213" t="s">
        <v>103</v>
      </c>
      <c r="B53" s="213"/>
      <c r="C53" s="213"/>
      <c r="D53" s="213"/>
      <c r="E53" s="213"/>
      <c r="F53" s="213"/>
      <c r="G53" s="213"/>
    </row>
    <row r="54" spans="1:7">
      <c r="A54" s="213" t="s">
        <v>104</v>
      </c>
      <c r="B54" s="213"/>
      <c r="C54" s="213"/>
      <c r="D54" s="213"/>
      <c r="E54" s="213"/>
      <c r="F54" s="213"/>
      <c r="G54" s="213"/>
    </row>
    <row r="55" spans="1:7">
      <c r="A55" s="213"/>
      <c r="B55" s="213"/>
      <c r="C55" s="213"/>
      <c r="D55" s="213"/>
      <c r="E55" s="213"/>
      <c r="F55" s="213"/>
      <c r="G55" s="213"/>
    </row>
    <row r="56" spans="1:7">
      <c r="A56" s="207" t="s">
        <v>42</v>
      </c>
      <c r="B56" s="213"/>
      <c r="C56" s="213"/>
      <c r="D56" s="213"/>
      <c r="E56" s="213"/>
      <c r="F56" s="213"/>
    </row>
    <row r="57" spans="1:7">
      <c r="A57" s="207" t="s">
        <v>43</v>
      </c>
      <c r="B57" s="213"/>
      <c r="C57" s="213"/>
      <c r="D57" s="213"/>
      <c r="E57" s="213"/>
      <c r="F57" s="213"/>
    </row>
    <row r="58" spans="1:7">
      <c r="A58" s="207" t="s">
        <v>44</v>
      </c>
      <c r="B58" s="213"/>
      <c r="C58" s="213"/>
      <c r="D58" s="213"/>
      <c r="E58" s="213"/>
      <c r="F58" s="213"/>
    </row>
    <row r="59" spans="1:7">
      <c r="A59" s="207"/>
      <c r="B59" s="213"/>
      <c r="C59" s="213"/>
      <c r="D59" s="213"/>
      <c r="E59" s="213"/>
      <c r="F59" s="213"/>
    </row>
    <row r="60" spans="1:7">
      <c r="A60" s="213" t="s">
        <v>180</v>
      </c>
      <c r="B60" s="213"/>
      <c r="C60" s="213"/>
      <c r="D60" s="213"/>
      <c r="E60" s="213"/>
      <c r="F60" s="213"/>
      <c r="G60" s="213"/>
    </row>
    <row r="61" spans="1:7">
      <c r="A61" s="213" t="s">
        <v>181</v>
      </c>
      <c r="B61" s="213"/>
      <c r="C61" s="213"/>
      <c r="D61" s="213"/>
      <c r="E61" s="213"/>
      <c r="F61" s="213"/>
      <c r="G61" s="213"/>
    </row>
    <row r="62" spans="1:7">
      <c r="A62" s="213" t="s">
        <v>182</v>
      </c>
      <c r="B62" s="213"/>
      <c r="C62" s="213"/>
      <c r="D62" s="213"/>
      <c r="E62" s="213"/>
      <c r="F62" s="213"/>
      <c r="G62" s="213"/>
    </row>
    <row r="63" spans="1:7">
      <c r="A63" s="213" t="s">
        <v>183</v>
      </c>
      <c r="B63" s="213"/>
      <c r="C63" s="213"/>
      <c r="D63" s="213"/>
      <c r="E63" s="213"/>
      <c r="F63" s="213"/>
      <c r="G63" s="213"/>
    </row>
    <row r="64" spans="1:7">
      <c r="A64" s="213" t="s">
        <v>184</v>
      </c>
      <c r="B64" s="213"/>
      <c r="C64" s="213"/>
      <c r="D64" s="213"/>
      <c r="E64" s="213"/>
      <c r="F64" s="213"/>
      <c r="G64" s="213"/>
    </row>
    <row r="66" spans="1:6">
      <c r="A66" s="207" t="s">
        <v>147</v>
      </c>
      <c r="B66" s="213"/>
      <c r="C66" s="213"/>
      <c r="D66" s="213"/>
      <c r="E66" s="213"/>
      <c r="F66" s="213"/>
    </row>
    <row r="67" spans="1:6">
      <c r="A67" s="207" t="s">
        <v>148</v>
      </c>
      <c r="B67" s="213"/>
      <c r="C67" s="213"/>
      <c r="D67" s="213"/>
      <c r="E67" s="213"/>
      <c r="F67" s="213"/>
    </row>
    <row r="68" spans="1:6">
      <c r="A68" s="207" t="s">
        <v>149</v>
      </c>
      <c r="B68" s="213"/>
      <c r="C68" s="213"/>
      <c r="D68" s="213"/>
      <c r="E68" s="213"/>
      <c r="F68" s="213"/>
    </row>
    <row r="69" spans="1:6">
      <c r="A69" s="207" t="s">
        <v>150</v>
      </c>
      <c r="B69" s="213"/>
      <c r="C69" s="213"/>
      <c r="D69" s="213"/>
      <c r="E69" s="213"/>
      <c r="F69" s="213"/>
    </row>
    <row r="70" spans="1:6">
      <c r="A70" s="207" t="s">
        <v>151</v>
      </c>
      <c r="B70" s="213"/>
      <c r="C70" s="213"/>
      <c r="D70" s="213"/>
      <c r="E70" s="213"/>
      <c r="F70" s="213"/>
    </row>
    <row r="71" spans="1:6">
      <c r="A71" s="213"/>
    </row>
    <row r="72" spans="1:6">
      <c r="A72" s="213" t="s">
        <v>71</v>
      </c>
    </row>
    <row r="73" spans="1:6">
      <c r="A73" s="213"/>
    </row>
    <row r="74" spans="1:6">
      <c r="A74" s="213"/>
    </row>
    <row r="75" spans="1:6">
      <c r="A75" s="213"/>
    </row>
    <row r="78" spans="1:6">
      <c r="A78" s="214"/>
    </row>
    <row r="80" spans="1:6">
      <c r="A80" s="213"/>
    </row>
    <row r="81" spans="1:1">
      <c r="A81" s="213"/>
    </row>
    <row r="82" spans="1:1">
      <c r="A82" s="213"/>
    </row>
    <row r="83" spans="1:1">
      <c r="A83" s="213"/>
    </row>
    <row r="84" spans="1:1">
      <c r="A84" s="213"/>
    </row>
    <row r="85" spans="1:1">
      <c r="A85" s="213"/>
    </row>
    <row r="86" spans="1:1">
      <c r="A86" s="213"/>
    </row>
    <row r="87" spans="1:1">
      <c r="A87" s="213"/>
    </row>
    <row r="88" spans="1:1">
      <c r="A88" s="213"/>
    </row>
    <row r="89" spans="1:1">
      <c r="A89" s="213"/>
    </row>
    <row r="90" spans="1:1">
      <c r="A90" s="213"/>
    </row>
    <row r="92" spans="1:1">
      <c r="A92" s="213"/>
    </row>
    <row r="93" spans="1:1">
      <c r="A93" s="213"/>
    </row>
    <row r="94" spans="1:1">
      <c r="A94" s="213"/>
    </row>
    <row r="95" spans="1:1">
      <c r="A95" s="213"/>
    </row>
    <row r="96" spans="1:1">
      <c r="A96" s="213"/>
    </row>
    <row r="97" spans="1:1">
      <c r="A97" s="213"/>
    </row>
    <row r="98" spans="1:1">
      <c r="A98" s="213"/>
    </row>
    <row r="99" spans="1:1">
      <c r="A99" s="213"/>
    </row>
    <row r="100" spans="1:1">
      <c r="A100" s="213"/>
    </row>
    <row r="101" spans="1:1">
      <c r="A101" s="213"/>
    </row>
    <row r="102" spans="1:1">
      <c r="A102" s="213"/>
    </row>
    <row r="103" spans="1:1">
      <c r="A103" s="213"/>
    </row>
    <row r="104" spans="1:1">
      <c r="A104" s="213"/>
    </row>
    <row r="105" spans="1:1">
      <c r="A105" s="213"/>
    </row>
    <row r="106" spans="1:1">
      <c r="A106" s="213"/>
    </row>
  </sheetData>
  <sheetProtection sheet="1"/>
  <phoneticPr fontId="31" type="noConversion"/>
  <pageMargins left="0.7" right="0.7" top="0.75" bottom="0.75" header="0.3" footer="0.3"/>
  <pageSetup orientation="portrait" r:id="rId1"/>
  <headerFooter>
    <oddFooter>&amp;Lrevised 9/25/09</oddFooter>
  </headerFooter>
</worksheet>
</file>

<file path=xl/worksheets/sheet16.xml><?xml version="1.0" encoding="utf-8"?>
<worksheet xmlns="http://schemas.openxmlformats.org/spreadsheetml/2006/main" xmlns:r="http://schemas.openxmlformats.org/officeDocument/2006/relationships">
  <sheetPr>
    <tabColor rgb="FFFF0000"/>
  </sheetPr>
  <dimension ref="A3:H52"/>
  <sheetViews>
    <sheetView workbookViewId="0"/>
  </sheetViews>
  <sheetFormatPr defaultRowHeight="15"/>
  <cols>
    <col min="1" max="1" width="71.33203125" customWidth="1"/>
  </cols>
  <sheetData>
    <row r="3" spans="1:7">
      <c r="A3" s="212" t="s">
        <v>185</v>
      </c>
      <c r="B3" s="212"/>
      <c r="C3" s="212"/>
      <c r="D3" s="212"/>
      <c r="E3" s="212"/>
      <c r="F3" s="212"/>
      <c r="G3" s="212"/>
    </row>
    <row r="4" spans="1:7">
      <c r="A4" s="212" t="s">
        <v>186</v>
      </c>
      <c r="B4" s="212"/>
      <c r="C4" s="212"/>
      <c r="D4" s="212"/>
      <c r="E4" s="212"/>
      <c r="F4" s="212"/>
      <c r="G4" s="212"/>
    </row>
    <row r="5" spans="1:7">
      <c r="A5" s="212"/>
      <c r="B5" s="212"/>
      <c r="C5" s="212"/>
      <c r="D5" s="212"/>
      <c r="E5" s="212"/>
      <c r="F5" s="212"/>
      <c r="G5" s="212"/>
    </row>
    <row r="6" spans="1:7">
      <c r="A6" s="212"/>
      <c r="B6" s="212"/>
      <c r="C6" s="212"/>
      <c r="D6" s="212"/>
      <c r="E6" s="212"/>
      <c r="F6" s="212"/>
      <c r="G6" s="212"/>
    </row>
    <row r="7" spans="1:7">
      <c r="A7" s="213" t="s">
        <v>24</v>
      </c>
    </row>
    <row r="8" spans="1:7">
      <c r="A8" s="213" t="str">
        <f>CONCATENATE("estimated ",inputPrYr!D6," 'total expenditures' exceed your ",inputPrYr!D6,"")</f>
        <v>estimated 2012 'total expenditures' exceed your 2012</v>
      </c>
    </row>
    <row r="9" spans="1:7">
      <c r="A9" s="216" t="s">
        <v>187</v>
      </c>
    </row>
    <row r="10" spans="1:7">
      <c r="A10" s="213"/>
    </row>
    <row r="11" spans="1:7">
      <c r="A11" s="213" t="s">
        <v>188</v>
      </c>
    </row>
    <row r="12" spans="1:7">
      <c r="A12" s="213" t="s">
        <v>189</v>
      </c>
    </row>
    <row r="13" spans="1:7">
      <c r="A13" s="213" t="s">
        <v>190</v>
      </c>
    </row>
    <row r="14" spans="1:7">
      <c r="A14" s="213"/>
    </row>
    <row r="15" spans="1:7">
      <c r="A15" s="214" t="s">
        <v>191</v>
      </c>
    </row>
    <row r="16" spans="1:7">
      <c r="A16" s="212"/>
      <c r="B16" s="212"/>
      <c r="C16" s="212"/>
      <c r="D16" s="212"/>
      <c r="E16" s="212"/>
      <c r="F16" s="212"/>
      <c r="G16" s="212"/>
    </row>
    <row r="17" spans="1:8">
      <c r="A17" s="217" t="s">
        <v>192</v>
      </c>
      <c r="B17" s="209"/>
      <c r="C17" s="209"/>
      <c r="D17" s="209"/>
      <c r="E17" s="209"/>
      <c r="F17" s="209"/>
      <c r="G17" s="209"/>
      <c r="H17" s="209"/>
    </row>
    <row r="18" spans="1:8">
      <c r="A18" s="213" t="s">
        <v>193</v>
      </c>
      <c r="B18" s="218"/>
      <c r="C18" s="218"/>
      <c r="D18" s="218"/>
      <c r="E18" s="218"/>
      <c r="F18" s="218"/>
      <c r="G18" s="218"/>
    </row>
    <row r="19" spans="1:8">
      <c r="A19" s="213" t="s">
        <v>194</v>
      </c>
    </row>
    <row r="20" spans="1:8">
      <c r="A20" s="213" t="s">
        <v>195</v>
      </c>
    </row>
    <row r="22" spans="1:8">
      <c r="A22" s="214" t="s">
        <v>196</v>
      </c>
    </row>
    <row r="24" spans="1:8">
      <c r="A24" s="213" t="s">
        <v>197</v>
      </c>
    </row>
    <row r="25" spans="1:8">
      <c r="A25" s="213" t="s">
        <v>198</v>
      </c>
    </row>
    <row r="26" spans="1:8">
      <c r="A26" s="213" t="s">
        <v>199</v>
      </c>
    </row>
    <row r="28" spans="1:8">
      <c r="A28" s="214" t="s">
        <v>200</v>
      </c>
    </row>
    <row r="30" spans="1:8">
      <c r="A30" t="s">
        <v>201</v>
      </c>
    </row>
    <row r="31" spans="1:8">
      <c r="A31" t="s">
        <v>202</v>
      </c>
    </row>
    <row r="32" spans="1:8">
      <c r="A32" t="s">
        <v>203</v>
      </c>
    </row>
    <row r="33" spans="1:1">
      <c r="A33" s="213" t="s">
        <v>204</v>
      </c>
    </row>
    <row r="35" spans="1:1">
      <c r="A35" t="s">
        <v>205</v>
      </c>
    </row>
    <row r="36" spans="1:1">
      <c r="A36" t="s">
        <v>206</v>
      </c>
    </row>
    <row r="37" spans="1:1">
      <c r="A37" t="s">
        <v>207</v>
      </c>
    </row>
    <row r="38" spans="1:1">
      <c r="A38" t="s">
        <v>208</v>
      </c>
    </row>
    <row r="40" spans="1:1">
      <c r="A40" t="s">
        <v>209</v>
      </c>
    </row>
    <row r="41" spans="1:1">
      <c r="A41" t="s">
        <v>210</v>
      </c>
    </row>
    <row r="42" spans="1:1">
      <c r="A42" t="s">
        <v>211</v>
      </c>
    </row>
    <row r="43" spans="1:1">
      <c r="A43" t="s">
        <v>215</v>
      </c>
    </row>
    <row r="44" spans="1:1">
      <c r="A44" t="s">
        <v>216</v>
      </c>
    </row>
    <row r="45" spans="1:1">
      <c r="A45" t="s">
        <v>217</v>
      </c>
    </row>
    <row r="47" spans="1:1">
      <c r="A47" t="s">
        <v>218</v>
      </c>
    </row>
    <row r="48" spans="1:1">
      <c r="A48" t="s">
        <v>219</v>
      </c>
    </row>
    <row r="49" spans="1:1">
      <c r="A49" s="213" t="s">
        <v>220</v>
      </c>
    </row>
    <row r="50" spans="1:1">
      <c r="A50" s="213" t="s">
        <v>221</v>
      </c>
    </row>
    <row r="52" spans="1:1">
      <c r="A52" t="s">
        <v>71</v>
      </c>
    </row>
  </sheetData>
  <sheetProtection sheet="1"/>
  <phoneticPr fontId="31" type="noConversion"/>
  <pageMargins left="0.7" right="0.7" top="0.75" bottom="0.75" header="0.3" footer="0.3"/>
  <pageSetup orientation="portrait" r:id="rId1"/>
  <headerFooter>
    <oddFooter>&amp;Lrevised 9/25/09</oddFooter>
  </headerFooter>
</worksheet>
</file>

<file path=xl/worksheets/sheet17.xml><?xml version="1.0" encoding="utf-8"?>
<worksheet xmlns="http://schemas.openxmlformats.org/spreadsheetml/2006/main" xmlns:r="http://schemas.openxmlformats.org/officeDocument/2006/relationships">
  <dimension ref="A1:A84"/>
  <sheetViews>
    <sheetView workbookViewId="0">
      <selection activeCell="A5" sqref="A5"/>
    </sheetView>
  </sheetViews>
  <sheetFormatPr defaultRowHeight="15.75"/>
  <cols>
    <col min="1" max="1" width="67.33203125" style="98" customWidth="1"/>
    <col min="2" max="2" width="14.5546875" style="98" customWidth="1"/>
    <col min="3" max="3" width="14.21875" style="98" customWidth="1"/>
    <col min="4" max="16384" width="8.88671875" style="98"/>
  </cols>
  <sheetData>
    <row r="1" spans="1:1">
      <c r="A1" s="210" t="s">
        <v>224</v>
      </c>
    </row>
    <row r="2" spans="1:1">
      <c r="A2" s="98" t="s">
        <v>227</v>
      </c>
    </row>
    <row r="3" spans="1:1">
      <c r="A3" s="98" t="s">
        <v>225</v>
      </c>
    </row>
    <row r="4" spans="1:1">
      <c r="A4" s="98" t="s">
        <v>226</v>
      </c>
    </row>
    <row r="6" spans="1:1">
      <c r="A6" s="219" t="s">
        <v>222</v>
      </c>
    </row>
    <row r="7" spans="1:1">
      <c r="A7" s="98" t="s">
        <v>223</v>
      </c>
    </row>
    <row r="9" spans="1:1">
      <c r="A9" s="210" t="s">
        <v>18</v>
      </c>
    </row>
    <row r="10" spans="1:1">
      <c r="A10" s="211" t="s">
        <v>19</v>
      </c>
    </row>
    <row r="11" spans="1:1">
      <c r="A11" s="211" t="s">
        <v>20</v>
      </c>
    </row>
    <row r="12" spans="1:1">
      <c r="A12" s="211" t="s">
        <v>21</v>
      </c>
    </row>
    <row r="13" spans="1:1">
      <c r="A13" s="98" t="s">
        <v>22</v>
      </c>
    </row>
    <row r="15" spans="1:1">
      <c r="A15" s="195" t="s">
        <v>434</v>
      </c>
    </row>
    <row r="16" spans="1:1">
      <c r="A16" s="98" t="s">
        <v>425</v>
      </c>
    </row>
    <row r="17" spans="1:1">
      <c r="A17" s="98" t="s">
        <v>426</v>
      </c>
    </row>
    <row r="18" spans="1:1">
      <c r="A18" s="98" t="s">
        <v>427</v>
      </c>
    </row>
    <row r="19" spans="1:1">
      <c r="A19" s="98" t="s">
        <v>428</v>
      </c>
    </row>
    <row r="20" spans="1:1">
      <c r="A20" s="98" t="s">
        <v>429</v>
      </c>
    </row>
    <row r="21" spans="1:1">
      <c r="A21" s="98" t="s">
        <v>430</v>
      </c>
    </row>
    <row r="22" spans="1:1">
      <c r="A22" s="98" t="s">
        <v>0</v>
      </c>
    </row>
    <row r="23" spans="1:1">
      <c r="A23" s="98" t="s">
        <v>1</v>
      </c>
    </row>
    <row r="24" spans="1:1">
      <c r="A24" s="98" t="s">
        <v>2</v>
      </c>
    </row>
    <row r="25" spans="1:1">
      <c r="A25" s="98" t="s">
        <v>3</v>
      </c>
    </row>
    <row r="26" spans="1:1">
      <c r="A26" s="98" t="s">
        <v>4</v>
      </c>
    </row>
    <row r="27" spans="1:1">
      <c r="A27" s="98" t="s">
        <v>5</v>
      </c>
    </row>
    <row r="29" spans="1:1">
      <c r="A29" s="195" t="s">
        <v>421</v>
      </c>
    </row>
    <row r="30" spans="1:1">
      <c r="A30" s="98" t="s">
        <v>431</v>
      </c>
    </row>
    <row r="31" spans="1:1">
      <c r="A31" s="98" t="s">
        <v>422</v>
      </c>
    </row>
    <row r="32" spans="1:1">
      <c r="A32" s="98" t="s">
        <v>423</v>
      </c>
    </row>
    <row r="34" spans="1:1">
      <c r="A34" s="195" t="s">
        <v>417</v>
      </c>
    </row>
    <row r="35" spans="1:1">
      <c r="A35" s="98" t="s">
        <v>418</v>
      </c>
    </row>
    <row r="36" spans="1:1">
      <c r="A36" s="98" t="s">
        <v>419</v>
      </c>
    </row>
    <row r="38" spans="1:1">
      <c r="A38" s="195" t="s">
        <v>400</v>
      </c>
    </row>
    <row r="39" spans="1:1">
      <c r="A39" s="98" t="s">
        <v>401</v>
      </c>
    </row>
    <row r="40" spans="1:1" ht="36" customHeight="1">
      <c r="A40" s="196" t="s">
        <v>402</v>
      </c>
    </row>
    <row r="41" spans="1:1">
      <c r="A41" s="98" t="s">
        <v>403</v>
      </c>
    </row>
    <row r="42" spans="1:1" ht="18.75" customHeight="1">
      <c r="A42" s="98" t="s">
        <v>404</v>
      </c>
    </row>
    <row r="43" spans="1:1">
      <c r="A43" s="98" t="s">
        <v>405</v>
      </c>
    </row>
    <row r="44" spans="1:1" ht="24.75" customHeight="1">
      <c r="A44" s="98" t="s">
        <v>406</v>
      </c>
    </row>
    <row r="45" spans="1:1" ht="39" customHeight="1">
      <c r="A45" s="196" t="s">
        <v>407</v>
      </c>
    </row>
    <row r="46" spans="1:1" ht="38.25" customHeight="1">
      <c r="A46" s="196" t="s">
        <v>408</v>
      </c>
    </row>
    <row r="47" spans="1:1" ht="37.5" customHeight="1">
      <c r="A47" s="196" t="s">
        <v>409</v>
      </c>
    </row>
    <row r="48" spans="1:1" ht="21" customHeight="1">
      <c r="A48" s="196" t="s">
        <v>410</v>
      </c>
    </row>
    <row r="49" spans="1:1" ht="35.25" customHeight="1">
      <c r="A49" s="196" t="s">
        <v>411</v>
      </c>
    </row>
    <row r="50" spans="1:1">
      <c r="A50" s="98" t="s">
        <v>412</v>
      </c>
    </row>
    <row r="51" spans="1:1">
      <c r="A51" s="98" t="s">
        <v>413</v>
      </c>
    </row>
    <row r="52" spans="1:1">
      <c r="A52" s="98" t="s">
        <v>414</v>
      </c>
    </row>
    <row r="53" spans="1:1">
      <c r="A53" s="98" t="s">
        <v>415</v>
      </c>
    </row>
    <row r="54" spans="1:1">
      <c r="A54" s="98" t="s">
        <v>416</v>
      </c>
    </row>
    <row r="57" spans="1:1">
      <c r="A57" s="195" t="s">
        <v>353</v>
      </c>
    </row>
    <row r="58" spans="1:1">
      <c r="A58" s="98" t="s">
        <v>354</v>
      </c>
    </row>
    <row r="59" spans="1:1">
      <c r="A59" s="98" t="s">
        <v>355</v>
      </c>
    </row>
    <row r="60" spans="1:1">
      <c r="A60" s="98" t="s">
        <v>356</v>
      </c>
    </row>
    <row r="61" spans="1:1">
      <c r="A61" s="98" t="s">
        <v>369</v>
      </c>
    </row>
    <row r="62" spans="1:1">
      <c r="A62" s="98" t="s">
        <v>357</v>
      </c>
    </row>
    <row r="63" spans="1:1">
      <c r="A63" s="98" t="s">
        <v>358</v>
      </c>
    </row>
    <row r="64" spans="1:1">
      <c r="A64" s="98" t="s">
        <v>359</v>
      </c>
    </row>
    <row r="65" spans="1:1">
      <c r="A65" s="98" t="s">
        <v>360</v>
      </c>
    </row>
    <row r="66" spans="1:1">
      <c r="A66" s="98" t="s">
        <v>370</v>
      </c>
    </row>
    <row r="67" spans="1:1">
      <c r="A67" s="98" t="s">
        <v>361</v>
      </c>
    </row>
    <row r="68" spans="1:1">
      <c r="A68" s="98" t="s">
        <v>362</v>
      </c>
    </row>
    <row r="69" spans="1:1">
      <c r="A69" s="98" t="s">
        <v>363</v>
      </c>
    </row>
    <row r="70" spans="1:1">
      <c r="A70" s="98" t="s">
        <v>371</v>
      </c>
    </row>
    <row r="71" spans="1:1">
      <c r="A71" s="98" t="s">
        <v>372</v>
      </c>
    </row>
    <row r="72" spans="1:1">
      <c r="A72" s="98" t="s">
        <v>379</v>
      </c>
    </row>
    <row r="73" spans="1:1">
      <c r="A73" s="98" t="s">
        <v>432</v>
      </c>
    </row>
    <row r="74" spans="1:1">
      <c r="A74" s="98" t="s">
        <v>228</v>
      </c>
    </row>
    <row r="75" spans="1:1">
      <c r="A75" s="98" t="s">
        <v>229</v>
      </c>
    </row>
    <row r="76" spans="1:1">
      <c r="A76" s="98" t="s">
        <v>230</v>
      </c>
    </row>
    <row r="77" spans="1:1">
      <c r="A77" s="98" t="s">
        <v>433</v>
      </c>
    </row>
    <row r="78" spans="1:1">
      <c r="A78" s="98" t="s">
        <v>387</v>
      </c>
    </row>
    <row r="79" spans="1:1">
      <c r="A79" s="98" t="s">
        <v>388</v>
      </c>
    </row>
    <row r="80" spans="1:1">
      <c r="A80" s="98" t="s">
        <v>231</v>
      </c>
    </row>
    <row r="81" spans="1:1">
      <c r="A81" s="98" t="s">
        <v>232</v>
      </c>
    </row>
    <row r="82" spans="1:1">
      <c r="A82" s="98" t="s">
        <v>391</v>
      </c>
    </row>
    <row r="83" spans="1:1">
      <c r="A83" s="98" t="s">
        <v>392</v>
      </c>
    </row>
    <row r="84" spans="1:1">
      <c r="A84" s="98" t="s">
        <v>395</v>
      </c>
    </row>
  </sheetData>
  <sheetProtection sheet="1"/>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E47"/>
  <sheetViews>
    <sheetView topLeftCell="A28" workbookViewId="0">
      <selection sqref="A1:IV49"/>
    </sheetView>
  </sheetViews>
  <sheetFormatPr defaultRowHeight="15"/>
  <cols>
    <col min="1" max="1" width="15.77734375" style="63" customWidth="1"/>
    <col min="2" max="2" width="20.77734375" style="63" customWidth="1"/>
    <col min="3" max="3" width="10.77734375" style="63" customWidth="1"/>
    <col min="4" max="4" width="15.6640625" style="63" customWidth="1"/>
    <col min="5" max="5" width="14.21875" style="63" customWidth="1"/>
    <col min="6" max="16384" width="8.88671875" style="63"/>
  </cols>
  <sheetData>
    <row r="1" spans="1:5" ht="15.75">
      <c r="A1" s="62" t="str">
        <f>[1]inputPrYr!D3</f>
        <v>ELK FALLS CEMETERY</v>
      </c>
      <c r="B1" s="62"/>
      <c r="C1" s="62"/>
      <c r="D1" s="62"/>
      <c r="E1" s="62">
        <f>[1]inputPrYr!D6</f>
        <v>2012</v>
      </c>
    </row>
    <row r="2" spans="1:5" ht="15.75">
      <c r="A2" s="62" t="str">
        <f>[1]inputPrYr!D4</f>
        <v>ELK COUNTY</v>
      </c>
      <c r="B2" s="62"/>
      <c r="C2" s="62"/>
      <c r="D2" s="62"/>
      <c r="E2" s="62"/>
    </row>
    <row r="3" spans="1:5">
      <c r="A3" s="64"/>
      <c r="B3" s="64"/>
      <c r="C3" s="64"/>
      <c r="D3" s="64"/>
      <c r="E3" s="64"/>
    </row>
    <row r="4" spans="1:5" ht="15.75">
      <c r="A4" s="285" t="s">
        <v>364</v>
      </c>
      <c r="B4" s="286"/>
      <c r="C4" s="286"/>
      <c r="D4" s="286"/>
      <c r="E4" s="286"/>
    </row>
    <row r="5" spans="1:5">
      <c r="A5" s="64"/>
      <c r="B5" s="64"/>
      <c r="C5" s="64"/>
      <c r="D5" s="64"/>
      <c r="E5" s="64"/>
    </row>
    <row r="6" spans="1:5" ht="15.75">
      <c r="A6" s="65" t="str">
        <f>CONCATENATE("From the County Clerks ",E1," Budget Information:")</f>
        <v>From the County Clerks 2012 Budget Information:</v>
      </c>
      <c r="B6" s="66"/>
      <c r="C6" s="66"/>
      <c r="D6" s="18"/>
      <c r="E6" s="39"/>
    </row>
    <row r="7" spans="1:5" ht="15.75">
      <c r="A7" s="67" t="str">
        <f>CONCATENATE("Total Assessed Valuation for ",[1]inputPrYr!D6-1,"")</f>
        <v>Total Assessed Valuation for 2011</v>
      </c>
      <c r="B7" s="42"/>
      <c r="C7" s="42"/>
      <c r="D7" s="42"/>
      <c r="E7" s="52">
        <v>1586585</v>
      </c>
    </row>
    <row r="8" spans="1:5" ht="15.75">
      <c r="A8" s="68" t="str">
        <f>CONCATENATE("New Improvements for ",[1]inputPrYr!D6-1,"")</f>
        <v>New Improvements for 2011</v>
      </c>
      <c r="B8" s="69"/>
      <c r="C8" s="69"/>
      <c r="D8" s="69"/>
      <c r="E8" s="70">
        <v>4461</v>
      </c>
    </row>
    <row r="9" spans="1:5" ht="15.75">
      <c r="A9" s="68" t="str">
        <f>CONCATENATE("Personal Property excluding oil, gas, and mobile homes- ",[1]inputPrYr!D6-1,"")</f>
        <v>Personal Property excluding oil, gas, and mobile homes- 2011</v>
      </c>
      <c r="B9" s="69"/>
      <c r="C9" s="69"/>
      <c r="D9" s="69"/>
      <c r="E9" s="70">
        <v>18335</v>
      </c>
    </row>
    <row r="10" spans="1:5" ht="15.75">
      <c r="A10" s="68" t="str">
        <f>CONCATENATE("Property that has changed in use for ",[1]inputPrYr!D6-1,"")</f>
        <v>Property that has changed in use for 2011</v>
      </c>
      <c r="B10" s="69"/>
      <c r="C10" s="69"/>
      <c r="D10" s="69"/>
      <c r="E10" s="70">
        <v>3093</v>
      </c>
    </row>
    <row r="11" spans="1:5" ht="15.75">
      <c r="A11" s="67" t="str">
        <f>CONCATENATE("Personal Property excluding oil, gas, and mobile homes- ",[1]inputPrYr!D6-2,"")</f>
        <v>Personal Property excluding oil, gas, and mobile homes- 2010</v>
      </c>
      <c r="B11" s="42"/>
      <c r="C11" s="42"/>
      <c r="D11" s="42"/>
      <c r="E11" s="70">
        <v>212855</v>
      </c>
    </row>
    <row r="12" spans="1:5" ht="15.75">
      <c r="A12" s="68" t="str">
        <f>CONCATENATE("Neighborhood Revitalization - ",E1,"")</f>
        <v>Neighborhood Revitalization - 2012</v>
      </c>
      <c r="B12" s="69"/>
      <c r="C12" s="69"/>
      <c r="D12" s="69"/>
      <c r="E12" s="70"/>
    </row>
    <row r="13" spans="1:5" ht="15.75">
      <c r="A13" s="45"/>
      <c r="B13" s="71"/>
      <c r="C13" s="71"/>
      <c r="D13" s="71"/>
      <c r="E13" s="72"/>
    </row>
    <row r="14" spans="1:5" ht="15.75">
      <c r="A14" s="73" t="str">
        <f>CONCATENATE("Actual Tax Rates for the ",E1-1," Budget:")</f>
        <v>Actual Tax Rates for the 2011 Budget:</v>
      </c>
      <c r="B14" s="71"/>
      <c r="C14" s="71"/>
      <c r="D14" s="71"/>
      <c r="E14" s="74"/>
    </row>
    <row r="15" spans="1:5" ht="15.75">
      <c r="A15" s="295" t="s">
        <v>251</v>
      </c>
      <c r="B15" s="290"/>
      <c r="C15" s="64"/>
      <c r="D15" s="75" t="s">
        <v>280</v>
      </c>
      <c r="E15" s="74"/>
    </row>
    <row r="16" spans="1:5" ht="15.75">
      <c r="A16" s="67" t="s">
        <v>236</v>
      </c>
      <c r="B16" s="42"/>
      <c r="C16" s="71"/>
      <c r="D16" s="76">
        <v>4.7249999999999996</v>
      </c>
      <c r="E16" s="74"/>
    </row>
    <row r="17" spans="1:5" ht="15.75">
      <c r="A17" s="68" t="s">
        <v>420</v>
      </c>
      <c r="B17" s="69"/>
      <c r="C17" s="71"/>
      <c r="D17" s="77"/>
      <c r="E17" s="74"/>
    </row>
    <row r="18" spans="1:5" ht="15.75">
      <c r="A18" s="68">
        <f>[1]inputPrYr!B22</f>
        <v>0</v>
      </c>
      <c r="B18" s="69"/>
      <c r="C18" s="71"/>
      <c r="D18" s="77"/>
      <c r="E18" s="74"/>
    </row>
    <row r="19" spans="1:5" ht="15.75">
      <c r="A19" s="68">
        <f>[1]inputPrYr!B23</f>
        <v>0</v>
      </c>
      <c r="B19" s="69"/>
      <c r="C19" s="71"/>
      <c r="D19" s="77"/>
      <c r="E19" s="74"/>
    </row>
    <row r="20" spans="1:5" ht="15.75">
      <c r="A20" s="68"/>
      <c r="B20" s="69"/>
      <c r="C20" s="71"/>
      <c r="D20" s="77"/>
      <c r="E20" s="74"/>
    </row>
    <row r="21" spans="1:5" ht="15.75">
      <c r="A21" s="68"/>
      <c r="B21" s="69"/>
      <c r="C21" s="71"/>
      <c r="D21" s="78"/>
      <c r="E21" s="74"/>
    </row>
    <row r="22" spans="1:5" ht="15.75">
      <c r="A22" s="79"/>
      <c r="B22" s="42" t="s">
        <v>374</v>
      </c>
      <c r="C22" s="80"/>
      <c r="D22" s="81">
        <f>SUM(D16:D21)</f>
        <v>4.7249999999999996</v>
      </c>
      <c r="E22" s="79"/>
    </row>
    <row r="23" spans="1:5">
      <c r="A23" s="79"/>
      <c r="B23" s="79"/>
      <c r="C23" s="79"/>
      <c r="D23" s="79"/>
      <c r="E23" s="79"/>
    </row>
    <row r="24" spans="1:5" ht="15.75">
      <c r="A24" s="42" t="str">
        <f>CONCATENATE("Final Assessed Valuation from the November 1, ",E1-2," Abstract")</f>
        <v>Final Assessed Valuation from the November 1, 2010 Abstract</v>
      </c>
      <c r="B24" s="82"/>
      <c r="C24" s="82"/>
      <c r="D24" s="82"/>
      <c r="E24" s="58">
        <v>1760754</v>
      </c>
    </row>
    <row r="25" spans="1:5">
      <c r="A25" s="79"/>
      <c r="B25" s="79"/>
      <c r="C25" s="79"/>
      <c r="D25" s="79"/>
      <c r="E25" s="79"/>
    </row>
    <row r="26" spans="1:5" ht="15.75">
      <c r="A26" s="83" t="str">
        <f>CONCATENATE("From the County Treasurer's Budget Information - ",E1," Budget Year Estimates:")</f>
        <v>From the County Treasurer's Budget Information - 2012 Budget Year Estimates:</v>
      </c>
      <c r="B26" s="29"/>
      <c r="C26" s="29"/>
      <c r="D26" s="84"/>
      <c r="E26" s="39"/>
    </row>
    <row r="27" spans="1:5" ht="15.75">
      <c r="A27" s="67" t="s">
        <v>240</v>
      </c>
      <c r="B27" s="42"/>
      <c r="C27" s="42"/>
      <c r="D27" s="85"/>
      <c r="E27" s="37">
        <v>1078</v>
      </c>
    </row>
    <row r="28" spans="1:5" ht="15.75">
      <c r="A28" s="68" t="s">
        <v>241</v>
      </c>
      <c r="B28" s="69"/>
      <c r="C28" s="69"/>
      <c r="D28" s="86"/>
      <c r="E28" s="37">
        <v>16</v>
      </c>
    </row>
    <row r="29" spans="1:5" ht="15.75">
      <c r="A29" s="68" t="s">
        <v>347</v>
      </c>
      <c r="B29" s="69"/>
      <c r="C29" s="69"/>
      <c r="D29" s="86"/>
      <c r="E29" s="37">
        <v>104</v>
      </c>
    </row>
    <row r="30" spans="1:5" ht="15.75">
      <c r="A30" s="68" t="s">
        <v>344</v>
      </c>
      <c r="B30" s="69"/>
      <c r="C30" s="69"/>
      <c r="D30" s="86"/>
      <c r="E30" s="37"/>
    </row>
    <row r="31" spans="1:5" ht="15.75">
      <c r="A31" s="68" t="s">
        <v>345</v>
      </c>
      <c r="B31" s="69"/>
      <c r="C31" s="69"/>
      <c r="D31" s="86"/>
      <c r="E31" s="37"/>
    </row>
    <row r="32" spans="1:5" ht="15.75">
      <c r="A32" s="67"/>
      <c r="B32" s="42"/>
      <c r="C32" s="42"/>
      <c r="D32" s="85"/>
      <c r="E32" s="37"/>
    </row>
    <row r="33" spans="1:5" ht="15.75">
      <c r="A33" s="18" t="s">
        <v>348</v>
      </c>
      <c r="B33" s="18"/>
      <c r="C33" s="18"/>
      <c r="D33" s="18"/>
      <c r="E33" s="18"/>
    </row>
    <row r="34" spans="1:5" ht="15.75">
      <c r="A34" s="87" t="s">
        <v>309</v>
      </c>
      <c r="B34" s="26"/>
      <c r="C34" s="26"/>
      <c r="D34" s="18"/>
      <c r="E34" s="18"/>
    </row>
    <row r="35" spans="1:5" ht="15.75">
      <c r="A35" s="88" t="str">
        <f>CONCATENATE("Actual Delinquency for ",E1-3," Tax (round to three decimal places)")</f>
        <v>Actual Delinquency for 2009 Tax (round to three decimal places)</v>
      </c>
      <c r="B35" s="71"/>
      <c r="C35" s="18"/>
      <c r="D35" s="18"/>
      <c r="E35" s="89">
        <v>1.0999999999999999E-2</v>
      </c>
    </row>
    <row r="36" spans="1:5" ht="15.75">
      <c r="A36" s="88" t="s">
        <v>375</v>
      </c>
      <c r="B36" s="88"/>
      <c r="C36" s="71"/>
      <c r="D36" s="71"/>
      <c r="E36" s="229"/>
    </row>
    <row r="37" spans="1:5" ht="15.75">
      <c r="A37" s="90" t="s">
        <v>349</v>
      </c>
      <c r="B37" s="90"/>
      <c r="C37" s="91"/>
      <c r="D37" s="91"/>
      <c r="E37" s="92"/>
    </row>
    <row r="38" spans="1:5">
      <c r="A38" s="64"/>
      <c r="B38" s="64"/>
      <c r="C38" s="64"/>
      <c r="D38" s="64"/>
      <c r="E38" s="64"/>
    </row>
    <row r="39" spans="1:5" ht="15.75">
      <c r="A39" s="296" t="str">
        <f>CONCATENATE("From the ",E1-2," Budget Certificate Page")</f>
        <v>From the 2010 Budget Certificate Page</v>
      </c>
      <c r="B39" s="297"/>
      <c r="C39" s="64"/>
      <c r="D39" s="64"/>
      <c r="E39" s="64"/>
    </row>
    <row r="40" spans="1:5" ht="15.75">
      <c r="A40" s="93"/>
      <c r="B40" s="93" t="str">
        <f>CONCATENATE("",E1-2," Expenditure Amounts")</f>
        <v>2010 Expenditure Amounts</v>
      </c>
      <c r="C40" s="298" t="str">
        <f>CONCATENATE("Note: If the ",E1-2," budget was amended, then the")</f>
        <v>Note: If the 2010 budget was amended, then the</v>
      </c>
      <c r="D40" s="299"/>
      <c r="E40" s="299"/>
    </row>
    <row r="41" spans="1:5" ht="15.75">
      <c r="A41" s="94" t="s">
        <v>383</v>
      </c>
      <c r="B41" s="94" t="s">
        <v>384</v>
      </c>
      <c r="C41" s="95" t="s">
        <v>385</v>
      </c>
      <c r="D41" s="96"/>
      <c r="E41" s="96"/>
    </row>
    <row r="42" spans="1:5" ht="15.75">
      <c r="A42" s="97" t="str">
        <f>[1]inputPrYr!B19</f>
        <v>General</v>
      </c>
      <c r="B42" s="58">
        <v>15740</v>
      </c>
      <c r="C42" s="95" t="s">
        <v>386</v>
      </c>
      <c r="D42" s="96"/>
      <c r="E42" s="96"/>
    </row>
    <row r="43" spans="1:5" ht="15.75">
      <c r="A43" s="97" t="str">
        <f>[1]inputPrYr!B20</f>
        <v>Debt Service</v>
      </c>
      <c r="B43" s="58"/>
      <c r="C43" s="95"/>
      <c r="D43" s="96"/>
      <c r="E43" s="96"/>
    </row>
    <row r="44" spans="1:5" ht="15.75">
      <c r="A44" s="97">
        <f>[1]inputPrYr!B22</f>
        <v>0</v>
      </c>
      <c r="B44" s="58"/>
      <c r="C44" s="64"/>
      <c r="D44" s="64"/>
      <c r="E44" s="64"/>
    </row>
    <row r="45" spans="1:5" ht="15.75">
      <c r="A45" s="97">
        <f>[1]inputPrYr!B23</f>
        <v>0</v>
      </c>
      <c r="B45" s="58"/>
      <c r="C45" s="64"/>
      <c r="D45" s="64"/>
      <c r="E45" s="64"/>
    </row>
    <row r="46" spans="1:5" ht="15.75">
      <c r="A46" s="97">
        <f>[1]inputPrYr!B26</f>
        <v>0</v>
      </c>
      <c r="B46" s="58"/>
      <c r="C46" s="64"/>
      <c r="D46" s="64"/>
      <c r="E46" s="64"/>
    </row>
    <row r="47" spans="1:5" ht="15.75">
      <c r="A47" s="97">
        <f>[1]inputPrYr!B27</f>
        <v>0</v>
      </c>
      <c r="B47" s="58"/>
      <c r="C47" s="64"/>
      <c r="D47" s="64"/>
      <c r="E47" s="64"/>
    </row>
  </sheetData>
  <mergeCells count="4">
    <mergeCell ref="A15:B15"/>
    <mergeCell ref="A4:E4"/>
    <mergeCell ref="A39:B39"/>
    <mergeCell ref="C40:E40"/>
  </mergeCells>
  <phoneticPr fontId="15" type="noConversion"/>
  <pageMargins left="0.75" right="0.75" top="1" bottom="1" header="0.5" footer="0.5"/>
  <pageSetup scale="86" orientation="portrait" blackAndWhite="1" r:id="rId1"/>
  <headerFooter alignWithMargins="0">
    <oddFooter>&amp;Lrevised 9/22/09</oddFooter>
  </headerFooter>
</worksheet>
</file>

<file path=xl/worksheets/sheet3.xml><?xml version="1.0" encoding="utf-8"?>
<worksheet xmlns="http://schemas.openxmlformats.org/spreadsheetml/2006/main" xmlns:r="http://schemas.openxmlformats.org/officeDocument/2006/relationships">
  <dimension ref="A2:F23"/>
  <sheetViews>
    <sheetView workbookViewId="0">
      <selection activeCell="B13" sqref="B13"/>
    </sheetView>
  </sheetViews>
  <sheetFormatPr defaultRowHeight="15"/>
  <cols>
    <col min="1" max="1" width="13.77734375" customWidth="1"/>
    <col min="2" max="2" width="16.109375" customWidth="1"/>
  </cols>
  <sheetData>
    <row r="2" spans="1:6" ht="54" customHeight="1">
      <c r="A2" s="300" t="s">
        <v>6</v>
      </c>
      <c r="B2" s="301"/>
      <c r="C2" s="301"/>
      <c r="D2" s="301"/>
      <c r="E2" s="301"/>
      <c r="F2" s="301"/>
    </row>
    <row r="4" spans="1:6" ht="15.75">
      <c r="A4" s="197"/>
      <c r="B4" s="197"/>
      <c r="C4" s="197"/>
      <c r="D4" s="198"/>
      <c r="E4" s="197"/>
      <c r="F4" s="197"/>
    </row>
    <row r="5" spans="1:6" ht="15.75">
      <c r="A5" s="199" t="s">
        <v>7</v>
      </c>
      <c r="B5" s="200" t="s">
        <v>435</v>
      </c>
      <c r="C5" s="201"/>
      <c r="D5" s="199" t="s">
        <v>8</v>
      </c>
      <c r="E5" s="197"/>
      <c r="F5" s="197"/>
    </row>
    <row r="6" spans="1:6" ht="15.75">
      <c r="A6" s="199"/>
      <c r="B6" s="202"/>
      <c r="C6" s="203"/>
      <c r="D6" s="199"/>
      <c r="E6" s="197"/>
      <c r="F6" s="197"/>
    </row>
    <row r="7" spans="1:6" ht="15.75">
      <c r="A7" s="199" t="s">
        <v>9</v>
      </c>
      <c r="B7" s="200" t="s">
        <v>436</v>
      </c>
      <c r="C7" s="204"/>
      <c r="D7" s="199"/>
      <c r="E7" s="197"/>
      <c r="F7" s="197"/>
    </row>
    <row r="8" spans="1:6" ht="15.75">
      <c r="A8" s="199"/>
      <c r="B8" s="199"/>
      <c r="C8" s="199"/>
      <c r="D8" s="199"/>
      <c r="E8" s="197"/>
      <c r="F8" s="197"/>
    </row>
    <row r="9" spans="1:6" ht="15.75">
      <c r="A9" s="199" t="s">
        <v>10</v>
      </c>
      <c r="B9" s="205" t="s">
        <v>437</v>
      </c>
      <c r="C9" s="205"/>
      <c r="D9" s="205"/>
      <c r="E9" s="206"/>
      <c r="F9" s="197"/>
    </row>
    <row r="10" spans="1:6" ht="15.75">
      <c r="A10" s="199"/>
      <c r="B10" s="199"/>
      <c r="C10" s="199"/>
      <c r="D10" s="199"/>
      <c r="E10" s="197"/>
      <c r="F10" s="197"/>
    </row>
    <row r="11" spans="1:6" ht="15.75">
      <c r="A11" s="199"/>
      <c r="B11" s="199"/>
      <c r="C11" s="199"/>
      <c r="D11" s="199"/>
      <c r="E11" s="197"/>
      <c r="F11" s="197"/>
    </row>
    <row r="12" spans="1:6" ht="15.75">
      <c r="A12" s="199" t="s">
        <v>11</v>
      </c>
      <c r="B12" s="205" t="s">
        <v>438</v>
      </c>
      <c r="C12" s="205"/>
      <c r="D12" s="205"/>
      <c r="E12" s="206"/>
      <c r="F12" s="197"/>
    </row>
    <row r="15" spans="1:6" ht="15.75">
      <c r="A15" s="302" t="s">
        <v>12</v>
      </c>
      <c r="B15" s="302"/>
      <c r="C15" s="199"/>
      <c r="D15" s="199"/>
      <c r="E15" s="199"/>
      <c r="F15" s="197"/>
    </row>
    <row r="16" spans="1:6" ht="15.75">
      <c r="A16" s="199"/>
      <c r="B16" s="199"/>
      <c r="C16" s="199"/>
      <c r="D16" s="199"/>
      <c r="E16" s="199"/>
      <c r="F16" s="197"/>
    </row>
    <row r="17" spans="1:5" ht="15.75">
      <c r="A17" s="199" t="s">
        <v>7</v>
      </c>
      <c r="B17" s="202" t="s">
        <v>13</v>
      </c>
      <c r="C17" s="199"/>
      <c r="D17" s="199"/>
      <c r="E17" s="199"/>
    </row>
    <row r="18" spans="1:5" ht="15.75">
      <c r="A18" s="199"/>
      <c r="B18" s="199"/>
      <c r="C18" s="199"/>
      <c r="D18" s="199"/>
      <c r="E18" s="199"/>
    </row>
    <row r="19" spans="1:5" ht="15.75">
      <c r="A19" s="199" t="s">
        <v>9</v>
      </c>
      <c r="B19" s="199" t="s">
        <v>14</v>
      </c>
      <c r="C19" s="199"/>
      <c r="D19" s="199"/>
      <c r="E19" s="199"/>
    </row>
    <row r="20" spans="1:5" ht="15.75">
      <c r="A20" s="199"/>
      <c r="B20" s="199"/>
      <c r="C20" s="199"/>
      <c r="D20" s="199"/>
      <c r="E20" s="199"/>
    </row>
    <row r="21" spans="1:5" ht="15.75">
      <c r="A21" s="199" t="s">
        <v>10</v>
      </c>
      <c r="B21" s="199" t="s">
        <v>16</v>
      </c>
      <c r="C21" s="199"/>
      <c r="D21" s="199"/>
      <c r="E21" s="199"/>
    </row>
    <row r="22" spans="1:5" ht="15.75">
      <c r="A22" s="199"/>
      <c r="B22" s="199"/>
      <c r="C22" s="199"/>
      <c r="D22" s="199"/>
      <c r="E22" s="199"/>
    </row>
    <row r="23" spans="1:5" ht="15.75">
      <c r="A23" s="199" t="s">
        <v>11</v>
      </c>
      <c r="B23" s="199" t="s">
        <v>15</v>
      </c>
      <c r="C23" s="199"/>
      <c r="D23" s="199"/>
      <c r="E23" s="199"/>
    </row>
  </sheetData>
  <sheetProtection sheet="1" objects="1" scenarios="1"/>
  <mergeCells count="2">
    <mergeCell ref="A2:F2"/>
    <mergeCell ref="A15:B15"/>
  </mergeCells>
  <phoneticPr fontId="31" type="noConversion"/>
  <pageMargins left="0.7" right="0.7" top="0.75" bottom="0.75" header="0.3" footer="0.3"/>
  <pageSetup orientation="portrait" r:id="rId1"/>
  <headerFooter>
    <oddFooter>&amp;Lrevised 12/08/09</oddFooter>
  </headerFooter>
</worksheet>
</file>

<file path=xl/worksheets/sheet4.xml><?xml version="1.0" encoding="utf-8"?>
<worksheet xmlns="http://schemas.openxmlformats.org/spreadsheetml/2006/main" xmlns:r="http://schemas.openxmlformats.org/officeDocument/2006/relationships">
  <dimension ref="A1"/>
  <sheetViews>
    <sheetView workbookViewId="0">
      <selection sqref="A1:IV1"/>
    </sheetView>
  </sheetViews>
  <sheetFormatPr defaultRowHeight="1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
  <sheetViews>
    <sheetView tabSelected="1" workbookViewId="0">
      <selection sqref="A1:IV1"/>
    </sheetView>
  </sheetViews>
  <sheetFormatPr defaultRowHeight="1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pageSetUpPr fitToPage="1"/>
  </sheetPr>
  <dimension ref="A1:H57"/>
  <sheetViews>
    <sheetView topLeftCell="A13" workbookViewId="0">
      <selection activeCell="H27" sqref="H27"/>
    </sheetView>
  </sheetViews>
  <sheetFormatPr defaultRowHeight="15.75"/>
  <cols>
    <col min="1" max="1" width="11.77734375" style="98" customWidth="1"/>
    <col min="2" max="3" width="9.77734375" style="98" customWidth="1"/>
    <col min="4" max="4" width="8.77734375" style="98" customWidth="1"/>
    <col min="5" max="6" width="14.77734375" style="98" customWidth="1"/>
    <col min="7" max="7" width="10.77734375" style="98" customWidth="1"/>
    <col min="8" max="8" width="2.6640625" style="98" customWidth="1"/>
    <col min="9" max="9" width="3.21875" style="98" customWidth="1"/>
    <col min="10" max="16384" width="8.88671875" style="98"/>
  </cols>
  <sheetData>
    <row r="1" spans="1:8">
      <c r="A1" s="62"/>
      <c r="B1" s="62"/>
      <c r="C1" s="62"/>
      <c r="D1" s="62"/>
      <c r="E1" s="62"/>
      <c r="F1" s="62"/>
      <c r="G1" s="62"/>
    </row>
    <row r="2" spans="1:8">
      <c r="A2" s="304" t="s">
        <v>282</v>
      </c>
      <c r="B2" s="304"/>
      <c r="C2" s="304"/>
      <c r="D2" s="304"/>
      <c r="E2" s="304"/>
      <c r="F2" s="304"/>
      <c r="G2" s="304"/>
    </row>
    <row r="3" spans="1:8">
      <c r="A3" s="18"/>
      <c r="B3" s="18"/>
      <c r="C3" s="18"/>
      <c r="D3" s="18"/>
      <c r="E3" s="18"/>
      <c r="F3" s="18"/>
      <c r="G3" s="62">
        <f>[1]inputPrYr!D6</f>
        <v>2012</v>
      </c>
    </row>
    <row r="4" spans="1:8">
      <c r="A4" s="305" t="str">
        <f>CONCATENATE("To the Clerk of ",[1]inputPrYr!D4,", State of Kansas")</f>
        <v>To the Clerk of ELK COUNTY, State of Kansas</v>
      </c>
      <c r="B4" s="305"/>
      <c r="C4" s="305"/>
      <c r="D4" s="305"/>
      <c r="E4" s="305"/>
      <c r="F4" s="305"/>
      <c r="G4" s="305"/>
    </row>
    <row r="5" spans="1:8">
      <c r="A5" s="100" t="s">
        <v>342</v>
      </c>
      <c r="B5" s="26"/>
      <c r="C5" s="26"/>
      <c r="D5" s="26"/>
      <c r="E5" s="26"/>
      <c r="F5" s="26"/>
      <c r="G5" s="26"/>
    </row>
    <row r="6" spans="1:8">
      <c r="A6" s="287" t="str">
        <f>[1]inputPrYr!D3</f>
        <v>ELK FALLS CEMETERY</v>
      </c>
      <c r="B6" s="287"/>
      <c r="C6" s="287"/>
      <c r="D6" s="287"/>
      <c r="E6" s="287"/>
      <c r="F6" s="287"/>
      <c r="G6" s="287"/>
    </row>
    <row r="7" spans="1:8">
      <c r="A7" s="18"/>
      <c r="B7" s="18"/>
      <c r="C7" s="18"/>
      <c r="D7" s="18"/>
      <c r="E7" s="18"/>
      <c r="F7" s="18"/>
      <c r="G7" s="18"/>
    </row>
    <row r="8" spans="1:8">
      <c r="A8" s="100" t="s">
        <v>242</v>
      </c>
      <c r="B8" s="26"/>
      <c r="C8" s="26"/>
      <c r="D8" s="26"/>
      <c r="E8" s="26"/>
      <c r="F8" s="26"/>
      <c r="G8" s="26"/>
    </row>
    <row r="9" spans="1:8">
      <c r="A9" s="100" t="s">
        <v>243</v>
      </c>
      <c r="B9" s="26"/>
      <c r="C9" s="26"/>
      <c r="D9" s="26"/>
      <c r="E9" s="26"/>
      <c r="F9" s="26"/>
      <c r="G9" s="26"/>
    </row>
    <row r="10" spans="1:8">
      <c r="A10" s="100" t="str">
        <f>CONCATENATE("maximum expenditures for the various funds for the year ",G3,"; and (3) the")</f>
        <v>maximum expenditures for the various funds for the year 2012; and (3) the</v>
      </c>
      <c r="B10" s="26"/>
      <c r="C10" s="26"/>
      <c r="D10" s="26"/>
      <c r="E10" s="26"/>
      <c r="F10" s="26"/>
      <c r="G10" s="26"/>
    </row>
    <row r="11" spans="1:8">
      <c r="A11" s="100" t="str">
        <f>CONCATENATE("Amount(s) of ",G3-1," Ad Valorem Tax are within statutory  limitations for the ",G3," Budget.")</f>
        <v>Amount(s) of 2011 Ad Valorem Tax are within statutory  limitations for the 2012 Budget.</v>
      </c>
      <c r="B11" s="26"/>
      <c r="C11" s="26"/>
      <c r="D11" s="26"/>
      <c r="E11" s="26"/>
      <c r="F11" s="26"/>
      <c r="G11" s="26"/>
    </row>
    <row r="12" spans="1:8">
      <c r="A12" s="17"/>
      <c r="B12" s="18"/>
      <c r="C12" s="18"/>
      <c r="D12" s="101"/>
      <c r="E12" s="102"/>
      <c r="F12" s="102"/>
      <c r="G12" s="102"/>
    </row>
    <row r="13" spans="1:8">
      <c r="A13" s="18"/>
      <c r="B13" s="18"/>
      <c r="C13" s="18"/>
      <c r="D13" s="18"/>
      <c r="E13" s="306" t="str">
        <f>CONCATENATE("",G3," Adopted Budget")</f>
        <v>2012 Adopted Budget</v>
      </c>
      <c r="F13" s="307"/>
      <c r="G13" s="308"/>
    </row>
    <row r="14" spans="1:8">
      <c r="A14" s="17"/>
      <c r="B14" s="18"/>
      <c r="C14" s="18"/>
      <c r="D14" s="42"/>
      <c r="E14" s="103" t="s">
        <v>244</v>
      </c>
      <c r="F14" s="104"/>
      <c r="G14" s="105" t="s">
        <v>245</v>
      </c>
      <c r="H14" s="106"/>
    </row>
    <row r="15" spans="1:8" ht="15.75" customHeight="1">
      <c r="A15" s="18"/>
      <c r="B15" s="18"/>
      <c r="C15" s="18"/>
      <c r="D15" s="104" t="s">
        <v>246</v>
      </c>
      <c r="E15" s="107" t="s">
        <v>384</v>
      </c>
      <c r="F15" s="309" t="str">
        <f>CONCATENATE("Amount of ",G3-1," Ad Valorem Tax")</f>
        <v>Amount of 2011 Ad Valorem Tax</v>
      </c>
      <c r="G15" s="105" t="s">
        <v>247</v>
      </c>
    </row>
    <row r="16" spans="1:8">
      <c r="A16" s="17" t="s">
        <v>248</v>
      </c>
      <c r="B16" s="18"/>
      <c r="C16" s="18"/>
      <c r="D16" s="107" t="s">
        <v>249</v>
      </c>
      <c r="E16" s="107" t="s">
        <v>444</v>
      </c>
      <c r="F16" s="309"/>
      <c r="G16" s="105" t="s">
        <v>250</v>
      </c>
    </row>
    <row r="17" spans="1:7" ht="4.5" customHeight="1">
      <c r="A17" s="108"/>
      <c r="B17" s="108"/>
      <c r="C17" s="108"/>
      <c r="D17" s="109"/>
      <c r="E17" s="109"/>
      <c r="F17" s="110"/>
      <c r="G17" s="111"/>
    </row>
    <row r="18" spans="1:7">
      <c r="A18" s="112" t="str">
        <f>CONCATENATE("Computation to Determine Limit for ",G3,"")</f>
        <v>Computation to Determine Limit for 2012</v>
      </c>
      <c r="B18" s="108"/>
      <c r="C18" s="108"/>
      <c r="D18" s="113">
        <v>2</v>
      </c>
      <c r="E18" s="102"/>
      <c r="F18" s="102"/>
      <c r="G18" s="114"/>
    </row>
    <row r="19" spans="1:7">
      <c r="A19" s="115" t="s">
        <v>380</v>
      </c>
      <c r="B19" s="108"/>
      <c r="C19" s="108"/>
      <c r="D19" s="113">
        <v>3</v>
      </c>
      <c r="E19" s="102"/>
      <c r="F19" s="102"/>
      <c r="G19" s="114"/>
    </row>
    <row r="20" spans="1:7">
      <c r="A20" s="115" t="s">
        <v>445</v>
      </c>
      <c r="B20" s="108"/>
      <c r="C20" s="108"/>
      <c r="D20" s="116">
        <v>4</v>
      </c>
      <c r="E20" s="102"/>
      <c r="F20" s="102"/>
      <c r="G20" s="114"/>
    </row>
    <row r="21" spans="1:7">
      <c r="A21" s="112" t="s">
        <v>446</v>
      </c>
      <c r="B21" s="108"/>
      <c r="C21" s="108"/>
      <c r="D21" s="116">
        <v>5</v>
      </c>
      <c r="E21" s="102"/>
      <c r="F21" s="102"/>
      <c r="G21" s="114"/>
    </row>
    <row r="22" spans="1:7">
      <c r="A22" s="117" t="s">
        <v>251</v>
      </c>
      <c r="B22" s="118"/>
      <c r="C22" s="119" t="s">
        <v>252</v>
      </c>
      <c r="D22" s="113"/>
      <c r="E22" s="120"/>
      <c r="F22" s="42"/>
      <c r="G22" s="46"/>
    </row>
    <row r="23" spans="1:7">
      <c r="A23" s="121" t="s">
        <v>236</v>
      </c>
      <c r="B23" s="118"/>
      <c r="C23" s="113">
        <f>[1]inputPrYr!C19</f>
        <v>0</v>
      </c>
      <c r="D23" s="122">
        <v>6</v>
      </c>
      <c r="E23" s="123">
        <v>20155</v>
      </c>
      <c r="F23" s="123">
        <v>7480</v>
      </c>
      <c r="G23" s="124">
        <v>4.6139999999999999</v>
      </c>
    </row>
    <row r="24" spans="1:7">
      <c r="A24" s="121" t="s">
        <v>420</v>
      </c>
      <c r="B24" s="118"/>
      <c r="C24" s="113" t="s">
        <v>343</v>
      </c>
      <c r="D24" s="122">
        <v>0</v>
      </c>
      <c r="E24" s="47">
        <v>0</v>
      </c>
      <c r="F24" s="47">
        <v>0</v>
      </c>
      <c r="G24" s="124">
        <v>0</v>
      </c>
    </row>
    <row r="25" spans="1:7">
      <c r="A25" s="127" t="s">
        <v>326</v>
      </c>
      <c r="B25" s="69"/>
      <c r="C25" s="118"/>
      <c r="D25" s="128" t="s">
        <v>253</v>
      </c>
      <c r="E25" s="230">
        <f>SUM(E23:E24)</f>
        <v>20155</v>
      </c>
      <c r="F25" s="231">
        <f>SUM(F23:F24)</f>
        <v>7480</v>
      </c>
      <c r="G25" s="232">
        <f>IF(SUM(G23:G24)=0,"",SUM(G23:G24))</f>
        <v>4.6139999999999999</v>
      </c>
    </row>
    <row r="26" spans="1:7">
      <c r="A26" s="121" t="s">
        <v>373</v>
      </c>
      <c r="B26" s="69"/>
      <c r="C26" s="118"/>
      <c r="D26" s="131">
        <f>[1]summ!E36</f>
        <v>5</v>
      </c>
      <c r="E26" s="135" t="s">
        <v>368</v>
      </c>
      <c r="F26" s="233" t="str">
        <f>IF(F25&gt;[1]computation!J34,"Yes","No")</f>
        <v>No</v>
      </c>
      <c r="G26" s="234" t="s">
        <v>327</v>
      </c>
    </row>
    <row r="27" spans="1:7">
      <c r="A27" s="121" t="s">
        <v>390</v>
      </c>
      <c r="B27" s="133"/>
      <c r="C27" s="134"/>
      <c r="D27" s="131">
        <v>0</v>
      </c>
      <c r="E27" s="235"/>
      <c r="F27" s="71"/>
      <c r="G27" s="140">
        <v>1621216</v>
      </c>
    </row>
    <row r="28" spans="1:7">
      <c r="A28" s="136" t="s">
        <v>367</v>
      </c>
      <c r="B28" s="69"/>
      <c r="C28" s="118"/>
      <c r="D28" s="131">
        <v>0</v>
      </c>
      <c r="E28" s="62"/>
      <c r="F28" s="71"/>
      <c r="G28" s="310" t="str">
        <f>CONCATENATE("Nov. 1, ",G3," Total Assessed Valuation")</f>
        <v>Nov. 1, 2012 Total Assessed Valuation</v>
      </c>
    </row>
    <row r="29" spans="1:7" ht="15.75" customHeight="1">
      <c r="A29" s="21"/>
      <c r="B29" s="71"/>
      <c r="C29" s="18"/>
      <c r="D29" s="137"/>
      <c r="E29" s="62"/>
      <c r="F29" s="71"/>
      <c r="G29" s="311"/>
    </row>
    <row r="30" spans="1:7">
      <c r="A30" s="138" t="s">
        <v>447</v>
      </c>
      <c r="B30" s="71"/>
      <c r="C30" s="71"/>
      <c r="D30" s="71"/>
      <c r="E30" s="132"/>
      <c r="F30" s="71"/>
      <c r="G30" s="18"/>
    </row>
    <row r="31" spans="1:7">
      <c r="A31" s="236"/>
      <c r="B31" s="236"/>
      <c r="C31" s="71"/>
      <c r="D31" s="71"/>
      <c r="E31" s="139"/>
      <c r="F31" s="71"/>
      <c r="G31" s="18"/>
    </row>
    <row r="32" spans="1:7">
      <c r="A32" s="237"/>
      <c r="B32" s="238"/>
      <c r="C32" s="71"/>
      <c r="D32" s="71"/>
      <c r="E32" s="239"/>
      <c r="F32" s="71"/>
      <c r="G32" s="18"/>
    </row>
    <row r="33" spans="1:7">
      <c r="A33" s="141" t="s">
        <v>448</v>
      </c>
      <c r="B33" s="71"/>
      <c r="C33" s="71"/>
      <c r="D33" s="240"/>
      <c r="E33" s="241"/>
      <c r="F33" s="240"/>
      <c r="G33" s="240"/>
    </row>
    <row r="34" spans="1:7">
      <c r="A34" s="236"/>
      <c r="B34" s="236"/>
      <c r="C34" s="71"/>
      <c r="D34" s="42"/>
      <c r="E34" s="242"/>
      <c r="F34" s="242"/>
      <c r="G34" s="42"/>
    </row>
    <row r="35" spans="1:7">
      <c r="A35" s="238"/>
      <c r="B35" s="243"/>
      <c r="C35" s="54"/>
      <c r="D35" s="18"/>
      <c r="E35" s="142"/>
      <c r="F35" s="142"/>
      <c r="G35" s="18"/>
    </row>
    <row r="36" spans="1:7">
      <c r="A36" s="238"/>
      <c r="B36" s="238"/>
      <c r="C36" s="18"/>
      <c r="D36" s="42"/>
      <c r="E36" s="244"/>
      <c r="F36" s="42"/>
      <c r="G36" s="42"/>
    </row>
    <row r="37" spans="1:7">
      <c r="A37" s="245"/>
      <c r="B37" s="238"/>
      <c r="C37" s="17"/>
      <c r="D37" s="246"/>
      <c r="E37" s="143"/>
      <c r="F37" s="18"/>
      <c r="G37" s="18"/>
    </row>
    <row r="38" spans="1:7">
      <c r="A38" s="21"/>
      <c r="B38" s="71"/>
      <c r="C38" s="71"/>
      <c r="D38" s="247"/>
      <c r="E38" s="247"/>
      <c r="F38" s="144"/>
      <c r="G38" s="144"/>
    </row>
    <row r="39" spans="1:7">
      <c r="A39" s="21"/>
      <c r="B39" s="102"/>
      <c r="C39" s="71"/>
      <c r="D39" s="143"/>
      <c r="E39" s="143"/>
      <c r="F39" s="54"/>
      <c r="G39" s="54"/>
    </row>
    <row r="40" spans="1:7">
      <c r="A40" s="21"/>
      <c r="B40" s="71"/>
      <c r="C40" s="71"/>
      <c r="D40" s="247"/>
      <c r="E40" s="247"/>
      <c r="F40" s="144"/>
      <c r="G40" s="144"/>
    </row>
    <row r="41" spans="1:7">
      <c r="A41" s="71"/>
      <c r="B41" s="71"/>
      <c r="C41" s="71"/>
      <c r="D41" s="54"/>
      <c r="E41" s="54"/>
      <c r="F41" s="54"/>
      <c r="G41" s="54"/>
    </row>
    <row r="42" spans="1:7">
      <c r="A42" s="17" t="s">
        <v>365</v>
      </c>
      <c r="B42" s="18"/>
      <c r="C42" s="17">
        <f>G3-1</f>
        <v>2011</v>
      </c>
      <c r="D42" s="42"/>
      <c r="E42" s="42"/>
      <c r="F42" s="144"/>
      <c r="G42" s="144"/>
    </row>
    <row r="43" spans="1:7">
      <c r="A43" s="143"/>
      <c r="B43" s="71"/>
      <c r="C43" s="17"/>
      <c r="D43" s="18"/>
      <c r="E43" s="18"/>
      <c r="F43" s="26"/>
      <c r="G43" s="26"/>
    </row>
    <row r="44" spans="1:7">
      <c r="A44" s="312"/>
      <c r="B44" s="313"/>
      <c r="C44" s="18"/>
      <c r="D44" s="42"/>
      <c r="E44" s="42"/>
      <c r="F44" s="42"/>
      <c r="G44" s="42"/>
    </row>
    <row r="45" spans="1:7">
      <c r="A45" s="26" t="s">
        <v>254</v>
      </c>
      <c r="B45" s="26"/>
      <c r="C45" s="18"/>
      <c r="D45" s="16"/>
      <c r="E45" s="16"/>
      <c r="F45" s="16"/>
      <c r="G45" s="303"/>
    </row>
    <row r="46" spans="1:7">
      <c r="A46" s="16"/>
      <c r="B46" s="16"/>
      <c r="C46" s="16"/>
      <c r="D46" s="16"/>
      <c r="E46" s="16"/>
      <c r="F46" s="16"/>
      <c r="G46" s="303"/>
    </row>
    <row r="47" spans="1:7">
      <c r="A47" s="16"/>
      <c r="B47" s="16"/>
      <c r="C47" s="16"/>
      <c r="D47" s="16"/>
      <c r="E47" s="16"/>
      <c r="F47" s="16"/>
      <c r="G47" s="303"/>
    </row>
    <row r="48" spans="1:7">
      <c r="A48" s="16"/>
      <c r="B48" s="16"/>
      <c r="C48" s="16"/>
      <c r="D48" s="16"/>
      <c r="E48" s="16"/>
      <c r="F48" s="16"/>
      <c r="G48" s="303"/>
    </row>
    <row r="49" spans="1:7">
      <c r="A49" s="16"/>
      <c r="B49" s="16"/>
      <c r="C49" s="16"/>
      <c r="D49" s="145"/>
      <c r="E49" s="16"/>
      <c r="F49" s="16"/>
      <c r="G49" s="303"/>
    </row>
    <row r="50" spans="1:7">
      <c r="G50" s="303"/>
    </row>
    <row r="51" spans="1:7">
      <c r="G51" s="303"/>
    </row>
    <row r="52" spans="1:7">
      <c r="G52" s="303"/>
    </row>
    <row r="53" spans="1:7">
      <c r="G53" s="303"/>
    </row>
    <row r="54" spans="1:7">
      <c r="G54" s="303"/>
    </row>
    <row r="55" spans="1:7">
      <c r="G55" s="303"/>
    </row>
    <row r="56" spans="1:7">
      <c r="G56" s="303"/>
    </row>
    <row r="57" spans="1:7">
      <c r="G57" s="303"/>
    </row>
  </sheetData>
  <mergeCells count="8">
    <mergeCell ref="G45:G57"/>
    <mergeCell ref="A2:G2"/>
    <mergeCell ref="A4:G4"/>
    <mergeCell ref="A6:G6"/>
    <mergeCell ref="E13:G13"/>
    <mergeCell ref="F15:F16"/>
    <mergeCell ref="G28:G29"/>
    <mergeCell ref="A44:B44"/>
  </mergeCells>
  <phoneticPr fontId="0" type="noConversion"/>
  <pageMargins left="0.5" right="0.5" top="0" bottom="0.5" header="0" footer="0.5"/>
  <pageSetup scale="84" orientation="portrait" blackAndWhite="1" horizontalDpi="120" verticalDpi="144" r:id="rId1"/>
  <headerFooter alignWithMargins="0">
    <oddHeader xml:space="preserve">&amp;RState of Kansas
Special District
</oddHeader>
    <oddFooter>&amp;Lrevised 3/19/09&amp;CPage No. 1</oddFooter>
  </headerFooter>
</worksheet>
</file>

<file path=xl/worksheets/sheet7.xml><?xml version="1.0" encoding="utf-8"?>
<worksheet xmlns="http://schemas.openxmlformats.org/spreadsheetml/2006/main" xmlns:r="http://schemas.openxmlformats.org/officeDocument/2006/relationships">
  <sheetPr>
    <pageSetUpPr fitToPage="1"/>
  </sheetPr>
  <dimension ref="B1:J65"/>
  <sheetViews>
    <sheetView topLeftCell="A41" workbookViewId="0">
      <selection sqref="A1:IV69"/>
    </sheetView>
  </sheetViews>
  <sheetFormatPr defaultRowHeight="15.75"/>
  <cols>
    <col min="1" max="1" width="0.109375" style="98" customWidth="1"/>
    <col min="2" max="2" width="30.44140625" style="98" customWidth="1"/>
    <col min="3" max="3" width="16" style="98" customWidth="1"/>
    <col min="4" max="4" width="25.109375" style="98" customWidth="1"/>
    <col min="5" max="5" width="9.6640625" style="98" customWidth="1"/>
    <col min="6" max="6" width="70.77734375" style="98" customWidth="1"/>
    <col min="7" max="7" width="15.77734375" style="98" customWidth="1"/>
    <col min="8" max="16384" width="8.88671875" style="98"/>
  </cols>
  <sheetData>
    <row r="1" spans="2:6">
      <c r="B1" s="18" t="str">
        <f>[1]inputPrYr!D3</f>
        <v>ELK FALLS CEMETERY</v>
      </c>
      <c r="C1" s="171"/>
      <c r="D1" s="18"/>
      <c r="E1" s="167"/>
    </row>
    <row r="2" spans="2:6">
      <c r="B2" s="18" t="str">
        <f>[1]inputPrYr!D4</f>
        <v>ELK COUNTY</v>
      </c>
      <c r="C2" s="171"/>
      <c r="D2" s="18"/>
      <c r="E2" s="138"/>
    </row>
    <row r="3" spans="2:6">
      <c r="B3" s="249" t="s">
        <v>449</v>
      </c>
      <c r="C3" s="171"/>
      <c r="D3" s="18"/>
      <c r="E3" s="172"/>
      <c r="F3" s="167">
        <f>[1]inputPrYr!$D$6</f>
        <v>2012</v>
      </c>
    </row>
    <row r="4" spans="2:6">
      <c r="B4" s="18"/>
      <c r="C4" s="102"/>
      <c r="D4" s="102"/>
      <c r="E4" s="102"/>
    </row>
    <row r="5" spans="2:6">
      <c r="B5" s="17" t="s">
        <v>255</v>
      </c>
      <c r="C5" s="220" t="s">
        <v>399</v>
      </c>
      <c r="D5" s="221" t="s">
        <v>398</v>
      </c>
      <c r="E5" s="173" t="s">
        <v>397</v>
      </c>
    </row>
    <row r="6" spans="2:6">
      <c r="B6" s="250" t="str">
        <f>[1]inputPrYr!B19</f>
        <v>General</v>
      </c>
      <c r="C6" s="222" t="str">
        <f>CONCATENATE("Actual ",F3-2,"")</f>
        <v>Actual 2010</v>
      </c>
      <c r="D6" s="222" t="str">
        <f>CONCATENATE("Estimate ",F3-1,"")</f>
        <v>Estimate 2011</v>
      </c>
      <c r="E6" s="174" t="str">
        <f>CONCATENATE("Year ",F3,"")</f>
        <v>Year 2012</v>
      </c>
    </row>
    <row r="7" spans="2:6">
      <c r="B7" s="121" t="s">
        <v>322</v>
      </c>
      <c r="C7" s="223">
        <v>14010</v>
      </c>
      <c r="D7" s="224">
        <f>C51</f>
        <v>17863</v>
      </c>
      <c r="E7" s="47">
        <f>D51</f>
        <v>11477</v>
      </c>
    </row>
    <row r="8" spans="2:6">
      <c r="B8" s="175" t="s">
        <v>324</v>
      </c>
      <c r="C8" s="176"/>
      <c r="D8" s="176"/>
      <c r="E8" s="126"/>
    </row>
    <row r="9" spans="2:6">
      <c r="B9" s="121" t="s">
        <v>256</v>
      </c>
      <c r="C9" s="223">
        <v>8239</v>
      </c>
      <c r="D9" s="224">
        <f>[1]inputPrYr!E19</f>
        <v>8319</v>
      </c>
      <c r="E9" s="128" t="s">
        <v>253</v>
      </c>
    </row>
    <row r="10" spans="2:6">
      <c r="B10" s="121" t="s">
        <v>257</v>
      </c>
      <c r="C10" s="223">
        <v>165</v>
      </c>
      <c r="D10" s="223"/>
      <c r="E10" s="168"/>
    </row>
    <row r="11" spans="2:6">
      <c r="B11" s="121" t="s">
        <v>258</v>
      </c>
      <c r="C11" s="223">
        <v>792</v>
      </c>
      <c r="D11" s="223">
        <v>928</v>
      </c>
      <c r="E11" s="47">
        <f>[1]mvalloc!D11</f>
        <v>1078</v>
      </c>
    </row>
    <row r="12" spans="2:6">
      <c r="B12" s="121" t="s">
        <v>259</v>
      </c>
      <c r="C12" s="223">
        <v>12</v>
      </c>
      <c r="D12" s="223">
        <v>16</v>
      </c>
      <c r="E12" s="47">
        <f>[1]mvalloc!E11</f>
        <v>16</v>
      </c>
    </row>
    <row r="13" spans="2:6">
      <c r="B13" s="176" t="s">
        <v>307</v>
      </c>
      <c r="C13" s="223">
        <v>56</v>
      </c>
      <c r="D13" s="223">
        <v>104</v>
      </c>
      <c r="E13" s="47">
        <f>[1]mvalloc!F11</f>
        <v>104</v>
      </c>
    </row>
    <row r="14" spans="2:6">
      <c r="B14" s="176" t="s">
        <v>344</v>
      </c>
      <c r="C14" s="223"/>
      <c r="D14" s="223"/>
      <c r="E14" s="47">
        <f>[1]inputOth!E30</f>
        <v>0</v>
      </c>
    </row>
    <row r="15" spans="2:6">
      <c r="B15" s="176" t="s">
        <v>345</v>
      </c>
      <c r="C15" s="223"/>
      <c r="D15" s="223"/>
      <c r="E15" s="47">
        <f>[1]mvalloc!G11</f>
        <v>0</v>
      </c>
    </row>
    <row r="16" spans="2:6">
      <c r="B16" s="177" t="s">
        <v>260</v>
      </c>
      <c r="C16" s="223"/>
      <c r="D16" s="223"/>
      <c r="E16" s="168"/>
    </row>
    <row r="17" spans="2:5">
      <c r="B17" s="177"/>
      <c r="C17" s="223"/>
      <c r="D17" s="223"/>
      <c r="E17" s="168"/>
    </row>
    <row r="18" spans="2:5">
      <c r="B18" s="177" t="s">
        <v>450</v>
      </c>
      <c r="C18" s="223">
        <v>0</v>
      </c>
      <c r="D18" s="223">
        <v>837</v>
      </c>
      <c r="E18" s="168"/>
    </row>
    <row r="19" spans="2:5">
      <c r="B19" s="177"/>
      <c r="C19" s="223"/>
      <c r="D19" s="223"/>
      <c r="E19" s="168"/>
    </row>
    <row r="20" spans="2:5">
      <c r="B20" s="177" t="s">
        <v>451</v>
      </c>
      <c r="C20" s="223">
        <v>-837</v>
      </c>
      <c r="D20" s="223"/>
      <c r="E20" s="168"/>
    </row>
    <row r="21" spans="2:5">
      <c r="B21" s="177"/>
      <c r="C21" s="223"/>
      <c r="D21" s="223"/>
      <c r="E21" s="168"/>
    </row>
    <row r="22" spans="2:5">
      <c r="B22" s="177" t="s">
        <v>452</v>
      </c>
      <c r="C22" s="223">
        <v>700</v>
      </c>
      <c r="D22" s="223"/>
      <c r="E22" s="168"/>
    </row>
    <row r="23" spans="2:5">
      <c r="B23" s="177"/>
      <c r="C23" s="223"/>
      <c r="D23" s="223"/>
      <c r="E23" s="168"/>
    </row>
    <row r="24" spans="2:5">
      <c r="B24" s="178"/>
      <c r="C24" s="223"/>
      <c r="D24" s="223"/>
      <c r="E24" s="168"/>
    </row>
    <row r="25" spans="2:5">
      <c r="B25" s="178" t="s">
        <v>261</v>
      </c>
      <c r="C25" s="223">
        <v>14</v>
      </c>
      <c r="D25" s="223"/>
      <c r="E25" s="168"/>
    </row>
    <row r="26" spans="2:5">
      <c r="B26" s="179" t="s">
        <v>389</v>
      </c>
      <c r="C26" s="177"/>
      <c r="D26" s="177"/>
      <c r="E26" s="168"/>
    </row>
    <row r="27" spans="2:5">
      <c r="B27" s="179" t="s">
        <v>453</v>
      </c>
      <c r="C27" s="225" t="str">
        <f>IF(C28*0.1&lt;C26,"Exceed 10% Rule","")</f>
        <v/>
      </c>
      <c r="D27" s="225" t="str">
        <f>IF(D28*0.1&lt;D26,"Exceed 10% Rule","")</f>
        <v/>
      </c>
      <c r="E27" s="251" t="str">
        <f>IF(E28*0.1+E57&lt;E26,"Exceed 10% Rule","")</f>
        <v/>
      </c>
    </row>
    <row r="28" spans="2:5">
      <c r="B28" s="180" t="s">
        <v>262</v>
      </c>
      <c r="C28" s="226">
        <f>SUM(C9:C26)</f>
        <v>9141</v>
      </c>
      <c r="D28" s="226">
        <f>SUM(D9:D26)</f>
        <v>10204</v>
      </c>
      <c r="E28" s="181">
        <f>SUM(E9:E26)</f>
        <v>1198</v>
      </c>
    </row>
    <row r="29" spans="2:5">
      <c r="B29" s="180" t="s">
        <v>263</v>
      </c>
      <c r="C29" s="226">
        <f>C7+C28</f>
        <v>23151</v>
      </c>
      <c r="D29" s="226">
        <f>D7+D28</f>
        <v>28067</v>
      </c>
      <c r="E29" s="181">
        <f>E7+E28</f>
        <v>12675</v>
      </c>
    </row>
    <row r="30" spans="2:5">
      <c r="B30" s="121" t="s">
        <v>264</v>
      </c>
      <c r="C30" s="125"/>
      <c r="D30" s="125"/>
      <c r="E30" s="38"/>
    </row>
    <row r="31" spans="2:5">
      <c r="B31" s="177"/>
      <c r="C31" s="223"/>
      <c r="D31" s="223"/>
      <c r="E31" s="168"/>
    </row>
    <row r="32" spans="2:5">
      <c r="B32" s="177" t="s">
        <v>212</v>
      </c>
      <c r="C32" s="223">
        <v>4800</v>
      </c>
      <c r="D32" s="223">
        <v>7799</v>
      </c>
      <c r="E32" s="168">
        <v>9000</v>
      </c>
    </row>
    <row r="33" spans="2:10">
      <c r="B33" s="177" t="s">
        <v>454</v>
      </c>
      <c r="C33" s="223">
        <v>64</v>
      </c>
      <c r="D33" s="223">
        <v>91</v>
      </c>
      <c r="E33" s="168">
        <v>91</v>
      </c>
    </row>
    <row r="34" spans="2:10">
      <c r="B34" s="177" t="s">
        <v>455</v>
      </c>
      <c r="C34" s="223">
        <v>210</v>
      </c>
      <c r="D34" s="223">
        <v>350</v>
      </c>
      <c r="E34" s="168">
        <v>350</v>
      </c>
    </row>
    <row r="35" spans="2:10">
      <c r="B35" s="177" t="s">
        <v>456</v>
      </c>
      <c r="C35" s="223">
        <v>214</v>
      </c>
      <c r="D35" s="223"/>
      <c r="E35" s="168">
        <v>214</v>
      </c>
    </row>
    <row r="36" spans="2:10">
      <c r="B36" s="177" t="s">
        <v>213</v>
      </c>
      <c r="C36" s="223"/>
      <c r="D36" s="223">
        <v>8350</v>
      </c>
      <c r="E36" s="168">
        <v>10500</v>
      </c>
    </row>
    <row r="37" spans="2:10">
      <c r="B37" s="177"/>
      <c r="C37" s="223"/>
      <c r="D37" s="223"/>
      <c r="E37" s="168"/>
    </row>
    <row r="38" spans="2:10">
      <c r="B38" s="177"/>
      <c r="C38" s="223"/>
      <c r="D38" s="223"/>
      <c r="E38" s="168"/>
    </row>
    <row r="39" spans="2:10">
      <c r="B39" s="177"/>
      <c r="C39" s="223"/>
      <c r="D39" s="223"/>
      <c r="E39" s="168"/>
    </row>
    <row r="40" spans="2:10">
      <c r="B40" s="177"/>
      <c r="C40" s="223"/>
      <c r="D40" s="223"/>
      <c r="E40" s="168"/>
    </row>
    <row r="41" spans="2:10">
      <c r="B41" s="177"/>
      <c r="C41" s="223"/>
      <c r="D41" s="223"/>
      <c r="E41" s="168"/>
    </row>
    <row r="42" spans="2:10">
      <c r="B42" s="177"/>
      <c r="C42" s="223"/>
      <c r="D42" s="223"/>
      <c r="E42" s="168"/>
    </row>
    <row r="43" spans="2:10">
      <c r="B43" s="177"/>
      <c r="C43" s="223"/>
      <c r="D43" s="223"/>
      <c r="E43" s="168"/>
      <c r="G43" s="314" t="str">
        <f>CONCATENATE("Projected Carryover Into ",F3+1,"")</f>
        <v>Projected Carryover Into 2013</v>
      </c>
      <c r="H43" s="315"/>
      <c r="I43" s="315"/>
      <c r="J43" s="316"/>
    </row>
    <row r="44" spans="2:10">
      <c r="B44" s="177"/>
      <c r="C44" s="223"/>
      <c r="D44" s="223"/>
      <c r="E44" s="168"/>
      <c r="G44" s="252"/>
      <c r="H44" s="253"/>
      <c r="I44" s="253"/>
      <c r="J44" s="254"/>
    </row>
    <row r="45" spans="2:10">
      <c r="B45" s="177"/>
      <c r="C45" s="223"/>
      <c r="D45" s="223"/>
      <c r="E45" s="168"/>
      <c r="G45" s="255">
        <f>D51</f>
        <v>11477</v>
      </c>
      <c r="H45" s="256" t="str">
        <f>CONCATENATE("",F3-1," Ending Cash Balance (est.)")</f>
        <v>2011 Ending Cash Balance (est.)</v>
      </c>
      <c r="I45" s="257"/>
      <c r="J45" s="254"/>
    </row>
    <row r="46" spans="2:10">
      <c r="B46" s="177"/>
      <c r="C46" s="223"/>
      <c r="D46" s="223"/>
      <c r="E46" s="168"/>
      <c r="G46" s="255">
        <f>E28</f>
        <v>1198</v>
      </c>
      <c r="H46" s="257" t="str">
        <f>CONCATENATE("",F3," Non-AV Receipts (est.)")</f>
        <v>2012 Non-AV Receipts (est.)</v>
      </c>
      <c r="I46" s="257"/>
      <c r="J46" s="254"/>
    </row>
    <row r="47" spans="2:10">
      <c r="B47" s="125" t="s">
        <v>390</v>
      </c>
      <c r="C47" s="223"/>
      <c r="D47" s="223"/>
      <c r="E47" s="169">
        <v>0</v>
      </c>
      <c r="G47" s="258">
        <f>E57</f>
        <v>7480</v>
      </c>
      <c r="H47" s="257" t="str">
        <f>CONCATENATE("",F3," Ad Valorem Tax (est.)")</f>
        <v>2012 Ad Valorem Tax (est.)</v>
      </c>
      <c r="I47" s="257"/>
      <c r="J47" s="254"/>
    </row>
    <row r="48" spans="2:10">
      <c r="B48" s="125" t="s">
        <v>389</v>
      </c>
      <c r="C48" s="223"/>
      <c r="D48" s="223"/>
      <c r="E48" s="37"/>
      <c r="G48" s="255">
        <f>SUM(G45:G47)</f>
        <v>20155</v>
      </c>
      <c r="H48" s="257" t="str">
        <f>CONCATENATE("Total ",E4," Resources Available")</f>
        <v>Total  Resources Available</v>
      </c>
      <c r="I48" s="257"/>
      <c r="J48" s="254"/>
    </row>
    <row r="49" spans="2:10">
      <c r="B49" s="125" t="s">
        <v>457</v>
      </c>
      <c r="C49" s="225" t="str">
        <f>IF(C50*0.1&lt;C48,"Exceed 10% Rule","")</f>
        <v/>
      </c>
      <c r="D49" s="225" t="str">
        <f>IF(D50*0.1&lt;D48,"Exceed 10% Rule","")</f>
        <v/>
      </c>
      <c r="E49" s="251" t="str">
        <f>IF(E50*0.1&lt;E48,"Exceed 10% Rule","")</f>
        <v/>
      </c>
      <c r="G49" s="259"/>
      <c r="H49" s="257"/>
      <c r="I49" s="257"/>
      <c r="J49" s="254"/>
    </row>
    <row r="50" spans="2:10">
      <c r="B50" s="180" t="s">
        <v>265</v>
      </c>
      <c r="C50" s="226">
        <f>SUM(C31:C48)</f>
        <v>5288</v>
      </c>
      <c r="D50" s="226">
        <f>SUM(D31:D48)</f>
        <v>16590</v>
      </c>
      <c r="E50" s="181">
        <f>SUM(E31:E48)</f>
        <v>20155</v>
      </c>
      <c r="G50" s="258">
        <f>C50*0.05+C50</f>
        <v>5552.4</v>
      </c>
      <c r="H50" s="257" t="str">
        <f>CONCATENATE("Less ",F3-2," Expenditures + 5%")</f>
        <v>Less 2010 Expenditures + 5%</v>
      </c>
      <c r="I50" s="257"/>
      <c r="J50" s="254"/>
    </row>
    <row r="51" spans="2:10">
      <c r="B51" s="121" t="s">
        <v>323</v>
      </c>
      <c r="C51" s="227">
        <f>C29-C50</f>
        <v>17863</v>
      </c>
      <c r="D51" s="227">
        <f>D29-D50</f>
        <v>11477</v>
      </c>
      <c r="E51" s="128" t="s">
        <v>253</v>
      </c>
      <c r="G51" s="260">
        <f>G48-G50</f>
        <v>14602.6</v>
      </c>
      <c r="H51" s="261" t="str">
        <f>CONCATENATE("Projected ",F3+1," Carryover (est.)")</f>
        <v>Projected 2013 Carryover (est.)</v>
      </c>
      <c r="I51" s="262"/>
      <c r="J51" s="263"/>
    </row>
    <row r="52" spans="2:10">
      <c r="B52" s="138" t="str">
        <f>CONCATENATE("",F3-2,"/",F3-1," Budget Authority Amount:")</f>
        <v>2010/2011 Budget Authority Amount:</v>
      </c>
      <c r="C52" s="122">
        <f>[1]inputOth!B42</f>
        <v>15740</v>
      </c>
      <c r="D52" s="264">
        <f>[1]inputPrYr!D19</f>
        <v>16590</v>
      </c>
      <c r="E52" s="128" t="s">
        <v>253</v>
      </c>
      <c r="F52" s="182"/>
      <c r="G52" s="16"/>
      <c r="H52" s="16"/>
      <c r="I52" s="16"/>
      <c r="J52" s="16"/>
    </row>
    <row r="53" spans="2:10">
      <c r="B53" s="138"/>
      <c r="C53" s="317" t="s">
        <v>458</v>
      </c>
      <c r="D53" s="318"/>
      <c r="E53" s="37"/>
      <c r="F53" s="182" t="str">
        <f>IF(E50/0.95-E50&lt;E53,"Exceeds 5%","")</f>
        <v/>
      </c>
      <c r="G53" s="265">
        <f>IF([1]inputOth!E7=0,"",ROUND([1]gen!E57/[1]inputOth!E7*1000,3))</f>
        <v>4.7149999999999999</v>
      </c>
      <c r="H53" s="266" t="str">
        <f>CONCATENATE("Projected ",F3-1," Mill Rate (est.)")</f>
        <v>Projected 2011 Mill Rate (est.)</v>
      </c>
      <c r="I53" s="267"/>
      <c r="J53" s="268"/>
    </row>
    <row r="54" spans="2:10">
      <c r="B54" s="269" t="str">
        <f>CONCATENATE(C70,"     ",D70)</f>
        <v xml:space="preserve">     </v>
      </c>
      <c r="C54" s="319" t="s">
        <v>459</v>
      </c>
      <c r="D54" s="320"/>
      <c r="E54" s="47">
        <f>E50+E53</f>
        <v>20155</v>
      </c>
      <c r="G54" s="270"/>
      <c r="H54" s="270"/>
      <c r="I54" s="270"/>
      <c r="J54" s="270"/>
    </row>
    <row r="55" spans="2:10">
      <c r="B55" s="269" t="str">
        <f>CONCATENATE(C71,"     ",D71)</f>
        <v xml:space="preserve">     </v>
      </c>
      <c r="C55" s="271"/>
      <c r="D55" s="272" t="s">
        <v>266</v>
      </c>
      <c r="E55" s="44">
        <f>IF(E54-E29&gt;0,E54-E29,0)</f>
        <v>7480</v>
      </c>
      <c r="G55" s="314" t="str">
        <f>CONCATENATE("Desired Carryover Into ",F3+1,"")</f>
        <v>Desired Carryover Into 2013</v>
      </c>
      <c r="H55" s="321"/>
      <c r="I55" s="321"/>
      <c r="J55" s="316"/>
    </row>
    <row r="56" spans="2:10">
      <c r="B56" s="158"/>
      <c r="C56" s="273" t="s">
        <v>460</v>
      </c>
      <c r="D56" s="274">
        <f>[1]inputOth!$E$36</f>
        <v>0</v>
      </c>
      <c r="E56" s="47">
        <f>ROUND(IF(D56&gt;0,(E55*D56),0),0)</f>
        <v>0</v>
      </c>
      <c r="G56" s="275"/>
      <c r="H56" s="253"/>
      <c r="I56" s="257"/>
      <c r="J56" s="276"/>
    </row>
    <row r="57" spans="2:10">
      <c r="B57" s="18"/>
      <c r="C57" s="322" t="str">
        <f>CONCATENATE("Amount of  ",$F$3-1," Ad Valorem Tax")</f>
        <v>Amount of  2011 Ad Valorem Tax</v>
      </c>
      <c r="D57" s="323"/>
      <c r="E57" s="44">
        <f>E55+E56</f>
        <v>7480</v>
      </c>
      <c r="G57" s="277" t="s">
        <v>461</v>
      </c>
      <c r="H57" s="257"/>
      <c r="I57" s="257"/>
      <c r="J57" s="278"/>
    </row>
    <row r="58" spans="2:10">
      <c r="B58" s="18"/>
      <c r="C58" s="18"/>
      <c r="D58" s="18"/>
      <c r="E58" s="18"/>
      <c r="G58" s="275" t="s">
        <v>462</v>
      </c>
      <c r="H58" s="253"/>
      <c r="I58" s="253"/>
      <c r="J58" s="279" t="str">
        <f>IF([1]gen!J57=0,"",ROUND((J57+E57-G51)/[1]inputOth!E7*1000,3)-G53)</f>
        <v/>
      </c>
    </row>
    <row r="59" spans="2:10">
      <c r="B59" s="18"/>
      <c r="C59" s="18"/>
      <c r="D59" s="18"/>
      <c r="E59" s="18"/>
      <c r="G59" s="280" t="str">
        <f>CONCATENATE("",F3," Total Expenditures Must Be:")</f>
        <v>2012 Total Expenditures Must Be:</v>
      </c>
      <c r="H59" s="281"/>
      <c r="I59" s="262"/>
      <c r="J59" s="282">
        <f>IF((J57&gt;0),(E50+J57-G51),0)</f>
        <v>0</v>
      </c>
    </row>
    <row r="60" spans="2:10">
      <c r="B60" s="18"/>
      <c r="C60" s="18"/>
      <c r="D60" s="18"/>
      <c r="E60" s="18"/>
    </row>
    <row r="61" spans="2:10">
      <c r="B61" s="18"/>
      <c r="C61" s="18"/>
      <c r="D61" s="18"/>
      <c r="E61" s="18"/>
    </row>
    <row r="62" spans="2:10">
      <c r="B62" s="18"/>
      <c r="C62" s="171"/>
      <c r="D62" s="171"/>
      <c r="E62" s="171"/>
    </row>
    <row r="63" spans="2:10">
      <c r="B63" s="138"/>
      <c r="C63" s="18" t="s">
        <v>214</v>
      </c>
      <c r="D63" s="18"/>
      <c r="E63" s="18"/>
    </row>
    <row r="65" spans="2:2">
      <c r="B65" s="63"/>
    </row>
  </sheetData>
  <mergeCells count="5">
    <mergeCell ref="G43:J43"/>
    <mergeCell ref="C53:D53"/>
    <mergeCell ref="C54:D54"/>
    <mergeCell ref="G55:J55"/>
    <mergeCell ref="C57:D57"/>
  </mergeCells>
  <phoneticPr fontId="0" type="noConversion"/>
  <conditionalFormatting sqref="G43">
    <cfRule type="cellIs" dxfId="43" priority="35" stopIfTrue="1" operator="greaterThan">
      <formula>$G$41/0.95-$G$41</formula>
    </cfRule>
  </conditionalFormatting>
  <conditionalFormatting sqref="C39:D39">
    <cfRule type="cellIs" dxfId="42" priority="36" stopIfTrue="1" operator="greaterThan">
      <formula>$C$41*0.1</formula>
    </cfRule>
  </conditionalFormatting>
  <conditionalFormatting sqref="E39:F39">
    <cfRule type="cellIs" dxfId="41" priority="37" stopIfTrue="1" operator="greaterThan">
      <formula>$E$41*0.1</formula>
    </cfRule>
  </conditionalFormatting>
  <conditionalFormatting sqref="G39">
    <cfRule type="cellIs" dxfId="40" priority="38" stopIfTrue="1" operator="greaterThan">
      <formula>$G$41*0.1</formula>
    </cfRule>
  </conditionalFormatting>
  <conditionalFormatting sqref="C24:D24">
    <cfRule type="cellIs" dxfId="39" priority="39" stopIfTrue="1" operator="greaterThan">
      <formula>$C$26*0.1</formula>
    </cfRule>
  </conditionalFormatting>
  <conditionalFormatting sqref="E24:F24">
    <cfRule type="cellIs" dxfId="38" priority="40" stopIfTrue="1" operator="greaterThan">
      <formula>$E$26*0.1</formula>
    </cfRule>
  </conditionalFormatting>
  <conditionalFormatting sqref="C42:D42">
    <cfRule type="cellIs" dxfId="37" priority="41" stopIfTrue="1" operator="lessThan">
      <formula>0</formula>
    </cfRule>
  </conditionalFormatting>
  <conditionalFormatting sqref="C41:D41">
    <cfRule type="cellIs" dxfId="36" priority="42" stopIfTrue="1" operator="greaterThan">
      <formula>$B$43</formula>
    </cfRule>
  </conditionalFormatting>
  <conditionalFormatting sqref="E41:F41">
    <cfRule type="cellIs" dxfId="35" priority="43" stopIfTrue="1" operator="greaterThan">
      <formula>$C$43</formula>
    </cfRule>
  </conditionalFormatting>
  <conditionalFormatting sqref="G24">
    <cfRule type="cellIs" dxfId="34" priority="44" stopIfTrue="1" operator="greaterThan">
      <formula>$G$26*0.1+$G$47</formula>
    </cfRule>
  </conditionalFormatting>
  <conditionalFormatting sqref="E42:F42">
    <cfRule type="cellIs" dxfId="33" priority="34" stopIfTrue="1" operator="lessThan">
      <formula>0</formula>
    </cfRule>
  </conditionalFormatting>
  <conditionalFormatting sqref="E53">
    <cfRule type="cellIs" dxfId="32" priority="33" stopIfTrue="1" operator="greaterThan">
      <formula>$E$50/0.95-$E$50</formula>
    </cfRule>
  </conditionalFormatting>
  <conditionalFormatting sqref="C48">
    <cfRule type="cellIs" dxfId="31" priority="32" stopIfTrue="1" operator="greaterThan">
      <formula>$C$50*0.1</formula>
    </cfRule>
  </conditionalFormatting>
  <conditionalFormatting sqref="D48">
    <cfRule type="cellIs" dxfId="30" priority="31" stopIfTrue="1" operator="greaterThan">
      <formula>$D$50*0.1</formula>
    </cfRule>
  </conditionalFormatting>
  <conditionalFormatting sqref="E48">
    <cfRule type="cellIs" dxfId="29" priority="30" stopIfTrue="1" operator="greaterThan">
      <formula>$E$50*0.1</formula>
    </cfRule>
  </conditionalFormatting>
  <conditionalFormatting sqref="C26">
    <cfRule type="cellIs" dxfId="28" priority="29" stopIfTrue="1" operator="greaterThan">
      <formula>$C$28*0.1</formula>
    </cfRule>
  </conditionalFormatting>
  <conditionalFormatting sqref="D26">
    <cfRule type="cellIs" dxfId="27" priority="28" stopIfTrue="1" operator="greaterThan">
      <formula>$D$28*0.1</formula>
    </cfRule>
  </conditionalFormatting>
  <conditionalFormatting sqref="C51">
    <cfRule type="cellIs" dxfId="26" priority="27" stopIfTrue="1" operator="lessThan">
      <formula>0</formula>
    </cfRule>
  </conditionalFormatting>
  <conditionalFormatting sqref="E26">
    <cfRule type="cellIs" dxfId="25" priority="26" stopIfTrue="1" operator="greaterThan">
      <formula>$E$28*0.1+$E$57</formula>
    </cfRule>
  </conditionalFormatting>
  <conditionalFormatting sqref="D51">
    <cfRule type="cellIs" dxfId="24" priority="25" stopIfTrue="1" operator="lessThan">
      <formula>0</formula>
    </cfRule>
  </conditionalFormatting>
  <conditionalFormatting sqref="D50">
    <cfRule type="cellIs" dxfId="23" priority="24" stopIfTrue="1" operator="greaterThan">
      <formula>$D$52</formula>
    </cfRule>
  </conditionalFormatting>
  <conditionalFormatting sqref="C50">
    <cfRule type="cellIs" dxfId="22" priority="23" stopIfTrue="1" operator="greaterThan">
      <formula>$C$52</formula>
    </cfRule>
  </conditionalFormatting>
  <conditionalFormatting sqref="E53">
    <cfRule type="cellIs" dxfId="21" priority="22" stopIfTrue="1" operator="greaterThan">
      <formula>$E$50/0.95-$E$50</formula>
    </cfRule>
  </conditionalFormatting>
  <conditionalFormatting sqref="C48">
    <cfRule type="cellIs" dxfId="20" priority="21" stopIfTrue="1" operator="greaterThan">
      <formula>$C$50*0.1</formula>
    </cfRule>
  </conditionalFormatting>
  <conditionalFormatting sqref="D48">
    <cfRule type="cellIs" dxfId="19" priority="20" stopIfTrue="1" operator="greaterThan">
      <formula>$D$50*0.1</formula>
    </cfRule>
  </conditionalFormatting>
  <conditionalFormatting sqref="E48">
    <cfRule type="cellIs" dxfId="18" priority="19" stopIfTrue="1" operator="greaterThan">
      <formula>$E$50*0.1</formula>
    </cfRule>
  </conditionalFormatting>
  <conditionalFormatting sqref="C26">
    <cfRule type="cellIs" dxfId="17" priority="18" stopIfTrue="1" operator="greaterThan">
      <formula>$C$28*0.1</formula>
    </cfRule>
  </conditionalFormatting>
  <conditionalFormatting sqref="D26">
    <cfRule type="cellIs" dxfId="16" priority="17" stopIfTrue="1" operator="greaterThan">
      <formula>$D$28*0.1</formula>
    </cfRule>
  </conditionalFormatting>
  <conditionalFormatting sqref="C51">
    <cfRule type="cellIs" dxfId="15" priority="16" stopIfTrue="1" operator="lessThan">
      <formula>0</formula>
    </cfRule>
  </conditionalFormatting>
  <conditionalFormatting sqref="E26">
    <cfRule type="cellIs" dxfId="14" priority="15" stopIfTrue="1" operator="greaterThan">
      <formula>$E$28*0.1+$E$57</formula>
    </cfRule>
  </conditionalFormatting>
  <conditionalFormatting sqref="D51">
    <cfRule type="cellIs" dxfId="13" priority="14" stopIfTrue="1" operator="lessThan">
      <formula>0</formula>
    </cfRule>
  </conditionalFormatting>
  <conditionalFormatting sqref="D50">
    <cfRule type="cellIs" dxfId="12" priority="13" stopIfTrue="1" operator="greaterThan">
      <formula>$D$52</formula>
    </cfRule>
  </conditionalFormatting>
  <conditionalFormatting sqref="C50">
    <cfRule type="cellIs" dxfId="11" priority="12" stopIfTrue="1" operator="greaterThan">
      <formula>$C$52</formula>
    </cfRule>
  </conditionalFormatting>
  <conditionalFormatting sqref="E53">
    <cfRule type="cellIs" dxfId="10" priority="11" stopIfTrue="1" operator="greaterThan">
      <formula>$E$50/0.95-$E$50</formula>
    </cfRule>
  </conditionalFormatting>
  <conditionalFormatting sqref="C48">
    <cfRule type="cellIs" dxfId="9" priority="10" stopIfTrue="1" operator="greaterThan">
      <formula>$C$50*0.1</formula>
    </cfRule>
  </conditionalFormatting>
  <conditionalFormatting sqref="D48">
    <cfRule type="cellIs" dxfId="8" priority="9" stopIfTrue="1" operator="greaterThan">
      <formula>$D$50*0.1</formula>
    </cfRule>
  </conditionalFormatting>
  <conditionalFormatting sqref="E48">
    <cfRule type="cellIs" dxfId="7" priority="8" stopIfTrue="1" operator="greaterThan">
      <formula>$E$50*0.1</formula>
    </cfRule>
  </conditionalFormatting>
  <conditionalFormatting sqref="C26">
    <cfRule type="cellIs" dxfId="6" priority="7" stopIfTrue="1" operator="greaterThan">
      <formula>$C$28*0.1</formula>
    </cfRule>
  </conditionalFormatting>
  <conditionalFormatting sqref="D26">
    <cfRule type="cellIs" dxfId="5" priority="6" stopIfTrue="1" operator="greaterThan">
      <formula>$D$28*0.1</formula>
    </cfRule>
  </conditionalFormatting>
  <conditionalFormatting sqref="C51">
    <cfRule type="cellIs" dxfId="4" priority="5" stopIfTrue="1" operator="lessThan">
      <formula>0</formula>
    </cfRule>
  </conditionalFormatting>
  <conditionalFormatting sqref="E26">
    <cfRule type="cellIs" dxfId="3" priority="4" stopIfTrue="1" operator="greaterThan">
      <formula>$E$28*0.1+$E$57</formula>
    </cfRule>
  </conditionalFormatting>
  <conditionalFormatting sqref="D51">
    <cfRule type="cellIs" dxfId="2" priority="3" stopIfTrue="1" operator="lessThan">
      <formula>0</formula>
    </cfRule>
  </conditionalFormatting>
  <conditionalFormatting sqref="D50">
    <cfRule type="cellIs" dxfId="1" priority="2" stopIfTrue="1" operator="greaterThan">
      <formula>$D$52</formula>
    </cfRule>
  </conditionalFormatting>
  <conditionalFormatting sqref="C50">
    <cfRule type="cellIs" dxfId="0" priority="1" stopIfTrue="1" operator="greaterThan">
      <formula>$C$52</formula>
    </cfRule>
  </conditionalFormatting>
  <pageMargins left="1" right="1" top="0.5" bottom="0.5" header="0.5" footer="0.5"/>
  <pageSetup scale="72" orientation="portrait" blackAndWhite="1" horizontalDpi="120" verticalDpi="144" r:id="rId1"/>
  <headerFooter alignWithMargins="0">
    <oddHeader xml:space="preserve">&amp;RState of Kansas
Special District
</oddHeader>
    <oddFooter>&amp;Lrevised 9/25/09</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J37"/>
  <sheetViews>
    <sheetView topLeftCell="A12" zoomScale="85" workbookViewId="0">
      <selection sqref="A1:IV39"/>
    </sheetView>
  </sheetViews>
  <sheetFormatPr defaultRowHeight="15.95" customHeight="1"/>
  <cols>
    <col min="1" max="2" width="3.33203125" style="146" customWidth="1"/>
    <col min="3" max="3" width="31.33203125" style="146" customWidth="1"/>
    <col min="4" max="4" width="2.33203125" style="146" customWidth="1"/>
    <col min="5" max="5" width="15.77734375" style="146" customWidth="1"/>
    <col min="6" max="6" width="2" style="146" customWidth="1"/>
    <col min="7" max="7" width="15.77734375" style="146" customWidth="1"/>
    <col min="8" max="8" width="1.88671875" style="146" customWidth="1"/>
    <col min="9" max="9" width="1.77734375" style="146" customWidth="1"/>
    <col min="10" max="10" width="15.77734375" style="146" customWidth="1"/>
    <col min="11" max="16384" width="8.88671875" style="146"/>
  </cols>
  <sheetData>
    <row r="1" spans="1:10" ht="15.95" customHeight="1">
      <c r="A1" s="18"/>
      <c r="B1" s="18"/>
      <c r="C1" s="18" t="str">
        <f>[1]inputPrYr!D3</f>
        <v>ELK FALLS CEMETERY</v>
      </c>
      <c r="D1" s="18"/>
      <c r="E1" s="18"/>
      <c r="F1" s="18"/>
      <c r="G1" s="18"/>
      <c r="H1" s="18"/>
      <c r="I1" s="18"/>
      <c r="J1" s="18">
        <f>[1]inputPrYr!D6</f>
        <v>2012</v>
      </c>
    </row>
    <row r="2" spans="1:10" ht="15.95" customHeight="1">
      <c r="A2" s="18"/>
      <c r="B2" s="18"/>
      <c r="C2" s="18" t="str">
        <f>[1]inputPrYr!D4</f>
        <v>ELK COUNTY</v>
      </c>
      <c r="D2" s="18"/>
      <c r="E2" s="18"/>
      <c r="F2" s="18"/>
      <c r="G2" s="18"/>
      <c r="H2" s="18"/>
      <c r="I2" s="18"/>
      <c r="J2" s="18"/>
    </row>
    <row r="3" spans="1:10" ht="15.75">
      <c r="A3" s="289" t="str">
        <f>CONCATENATE("Computation to Determine Limit for ",J1,"")</f>
        <v>Computation to Determine Limit for 2012</v>
      </c>
      <c r="B3" s="304"/>
      <c r="C3" s="304"/>
      <c r="D3" s="304"/>
      <c r="E3" s="304"/>
      <c r="F3" s="304"/>
      <c r="G3" s="304"/>
      <c r="H3" s="304"/>
      <c r="I3" s="304"/>
      <c r="J3" s="304"/>
    </row>
    <row r="4" spans="1:10" ht="15.75">
      <c r="A4" s="18"/>
      <c r="B4" s="18"/>
      <c r="C4" s="18"/>
      <c r="D4" s="18"/>
      <c r="E4" s="304"/>
      <c r="F4" s="304"/>
      <c r="G4" s="304"/>
      <c r="H4" s="99"/>
      <c r="I4" s="18"/>
      <c r="J4" s="147" t="s">
        <v>288</v>
      </c>
    </row>
    <row r="5" spans="1:10" ht="15.75">
      <c r="A5" s="148" t="s">
        <v>289</v>
      </c>
      <c r="B5" s="18" t="str">
        <f>CONCATENATE("Total Tax Levy Amount in ",J1-1," Budget")</f>
        <v>Total Tax Levy Amount in 2011 Budget</v>
      </c>
      <c r="C5" s="18"/>
      <c r="D5" s="18"/>
      <c r="E5" s="39"/>
      <c r="F5" s="39"/>
      <c r="G5" s="39"/>
      <c r="H5" s="149" t="s">
        <v>290</v>
      </c>
      <c r="I5" s="39" t="s">
        <v>291</v>
      </c>
      <c r="J5" s="248">
        <f>[1]inputPrYr!E24</f>
        <v>8319</v>
      </c>
    </row>
    <row r="6" spans="1:10" ht="15.75">
      <c r="A6" s="148" t="s">
        <v>292</v>
      </c>
      <c r="B6" s="18" t="str">
        <f>CONCATENATE("Debt Service Levy in ",J1-1," Budget")</f>
        <v>Debt Service Levy in 2011 Budget</v>
      </c>
      <c r="C6" s="18"/>
      <c r="D6" s="18"/>
      <c r="E6" s="39"/>
      <c r="F6" s="39"/>
      <c r="G6" s="39"/>
      <c r="H6" s="149" t="s">
        <v>293</v>
      </c>
      <c r="I6" s="39" t="s">
        <v>291</v>
      </c>
      <c r="J6" s="150">
        <f>[1]inputPrYr!E20</f>
        <v>0</v>
      </c>
    </row>
    <row r="7" spans="1:10" ht="15.75">
      <c r="A7" s="148" t="s">
        <v>316</v>
      </c>
      <c r="B7" s="27" t="s">
        <v>310</v>
      </c>
      <c r="C7" s="18"/>
      <c r="D7" s="18"/>
      <c r="E7" s="39"/>
      <c r="F7" s="39"/>
      <c r="G7" s="39"/>
      <c r="H7" s="39"/>
      <c r="I7" s="39" t="s">
        <v>291</v>
      </c>
      <c r="J7" s="43">
        <f>J5-J6</f>
        <v>8319</v>
      </c>
    </row>
    <row r="8" spans="1:10" ht="15.75">
      <c r="A8" s="18"/>
      <c r="B8" s="18"/>
      <c r="C8" s="18"/>
      <c r="D8" s="18"/>
      <c r="E8" s="39"/>
      <c r="F8" s="39"/>
      <c r="G8" s="39"/>
      <c r="H8" s="39"/>
      <c r="I8" s="39"/>
      <c r="J8" s="39"/>
    </row>
    <row r="9" spans="1:10" ht="15.75">
      <c r="A9" s="18"/>
      <c r="B9" s="27" t="str">
        <f>CONCATENATE("",J1-1," Valuation Information for Valuation Adjustments:")</f>
        <v>2011 Valuation Information for Valuation Adjustments:</v>
      </c>
      <c r="C9" s="18"/>
      <c r="D9" s="18"/>
      <c r="E9" s="39"/>
      <c r="F9" s="39"/>
      <c r="G9" s="39"/>
      <c r="H9" s="39"/>
      <c r="I9" s="39"/>
      <c r="J9" s="39"/>
    </row>
    <row r="10" spans="1:10" ht="15.75">
      <c r="A10" s="18"/>
      <c r="B10" s="18"/>
      <c r="C10" s="27"/>
      <c r="D10" s="18"/>
      <c r="E10" s="39"/>
      <c r="F10" s="39"/>
      <c r="G10" s="39"/>
      <c r="H10" s="39"/>
      <c r="I10" s="39"/>
      <c r="J10" s="39"/>
    </row>
    <row r="11" spans="1:10" ht="15.75">
      <c r="A11" s="148" t="s">
        <v>294</v>
      </c>
      <c r="B11" s="27" t="str">
        <f>CONCATENATE("New Improvements for ",J1-1,":")</f>
        <v>New Improvements for 2011:</v>
      </c>
      <c r="C11" s="18"/>
      <c r="D11" s="18"/>
      <c r="E11" s="149"/>
      <c r="F11" s="149" t="s">
        <v>290</v>
      </c>
      <c r="G11" s="151">
        <f>[1]inputOth!E8</f>
        <v>4461</v>
      </c>
      <c r="H11" s="152"/>
      <c r="I11" s="39"/>
      <c r="J11" s="39"/>
    </row>
    <row r="12" spans="1:10" ht="15.75">
      <c r="A12" s="148"/>
      <c r="B12" s="148"/>
      <c r="C12" s="18"/>
      <c r="D12" s="18"/>
      <c r="E12" s="149"/>
      <c r="F12" s="149"/>
      <c r="G12" s="152"/>
      <c r="H12" s="152"/>
      <c r="I12" s="39"/>
      <c r="J12" s="39"/>
    </row>
    <row r="13" spans="1:10" ht="15.75">
      <c r="A13" s="148" t="s">
        <v>295</v>
      </c>
      <c r="B13" s="27" t="str">
        <f>CONCATENATE("Increase in Personal Property for ",J1-1,":")</f>
        <v>Increase in Personal Property for 2011:</v>
      </c>
      <c r="C13" s="18"/>
      <c r="D13" s="18"/>
      <c r="E13" s="149"/>
      <c r="F13" s="149"/>
      <c r="G13" s="152"/>
      <c r="H13" s="152"/>
      <c r="I13" s="39"/>
      <c r="J13" s="39"/>
    </row>
    <row r="14" spans="1:10" ht="15.75">
      <c r="A14" s="18"/>
      <c r="B14" s="18" t="s">
        <v>296</v>
      </c>
      <c r="C14" s="18" t="str">
        <f>CONCATENATE("Personal Property ",J1-1,"")</f>
        <v>Personal Property 2011</v>
      </c>
      <c r="D14" s="148" t="s">
        <v>290</v>
      </c>
      <c r="E14" s="151">
        <f>[1]inputOth!E9</f>
        <v>18335</v>
      </c>
      <c r="F14" s="149"/>
      <c r="G14" s="39"/>
      <c r="H14" s="39"/>
      <c r="I14" s="152"/>
      <c r="J14" s="39"/>
    </row>
    <row r="15" spans="1:10" ht="15.75">
      <c r="A15" s="148"/>
      <c r="B15" s="18" t="s">
        <v>297</v>
      </c>
      <c r="C15" s="18" t="str">
        <f>CONCATENATE("Personal Property ",J1-2,"")</f>
        <v>Personal Property 2010</v>
      </c>
      <c r="D15" s="148" t="s">
        <v>293</v>
      </c>
      <c r="E15" s="43">
        <f>[1]inputOth!E11</f>
        <v>212855</v>
      </c>
      <c r="F15" s="149"/>
      <c r="G15" s="152"/>
      <c r="H15" s="152"/>
      <c r="I15" s="39"/>
      <c r="J15" s="39"/>
    </row>
    <row r="16" spans="1:10" ht="15.75">
      <c r="A16" s="148"/>
      <c r="B16" s="18" t="s">
        <v>298</v>
      </c>
      <c r="C16" s="18" t="s">
        <v>311</v>
      </c>
      <c r="D16" s="18"/>
      <c r="E16" s="39"/>
      <c r="F16" s="39" t="s">
        <v>290</v>
      </c>
      <c r="G16" s="151">
        <f>IF(E14&gt;E15,E14-E15,0)</f>
        <v>0</v>
      </c>
      <c r="H16" s="152"/>
      <c r="I16" s="39"/>
      <c r="J16" s="39"/>
    </row>
    <row r="17" spans="1:10" ht="15.75">
      <c r="A17" s="148"/>
      <c r="B17" s="148"/>
      <c r="C17" s="18"/>
      <c r="D17" s="18"/>
      <c r="E17" s="39"/>
      <c r="F17" s="39"/>
      <c r="G17" s="152" t="s">
        <v>306</v>
      </c>
      <c r="H17" s="152"/>
      <c r="I17" s="39"/>
      <c r="J17" s="39"/>
    </row>
    <row r="18" spans="1:10" ht="15.75">
      <c r="A18" s="148" t="s">
        <v>299</v>
      </c>
      <c r="B18" s="27" t="str">
        <f>CONCATENATE("Valuation of Property that has Changed in Use during ",J1-1,":")</f>
        <v>Valuation of Property that has Changed in Use during 2011:</v>
      </c>
      <c r="C18" s="18"/>
      <c r="D18" s="148"/>
      <c r="E18" s="39"/>
      <c r="F18" s="39"/>
      <c r="G18" s="39">
        <f>[1]inputOth!E10</f>
        <v>3093</v>
      </c>
      <c r="H18" s="39"/>
      <c r="I18" s="39"/>
      <c r="J18" s="39"/>
    </row>
    <row r="19" spans="1:10" ht="15.75">
      <c r="A19" s="18" t="s">
        <v>244</v>
      </c>
      <c r="B19" s="18"/>
      <c r="C19" s="18"/>
      <c r="D19" s="18"/>
      <c r="E19" s="152"/>
      <c r="F19" s="39"/>
      <c r="G19" s="153"/>
      <c r="H19" s="152"/>
      <c r="I19" s="39"/>
      <c r="J19" s="39"/>
    </row>
    <row r="20" spans="1:10" ht="15.75">
      <c r="A20" s="148" t="s">
        <v>300</v>
      </c>
      <c r="B20" s="27" t="s">
        <v>312</v>
      </c>
      <c r="C20" s="18"/>
      <c r="D20" s="148"/>
      <c r="E20" s="39"/>
      <c r="F20" s="39"/>
      <c r="G20" s="151">
        <f>G11+G16+G18</f>
        <v>7554</v>
      </c>
      <c r="H20" s="152"/>
      <c r="I20" s="39"/>
      <c r="J20" s="39"/>
    </row>
    <row r="21" spans="1:10" ht="15.75">
      <c r="A21" s="148"/>
      <c r="B21" s="148"/>
      <c r="C21" s="27"/>
      <c r="D21" s="18"/>
      <c r="E21" s="39"/>
      <c r="F21" s="39"/>
      <c r="G21" s="152"/>
      <c r="H21" s="152"/>
      <c r="I21" s="39"/>
      <c r="J21" s="39"/>
    </row>
    <row r="22" spans="1:10" ht="15.75">
      <c r="A22" s="148" t="s">
        <v>301</v>
      </c>
      <c r="B22" s="18" t="str">
        <f>CONCATENATE("Total Estimated Valuation July, 1,",J1-1,"")</f>
        <v>Total Estimated Valuation July, 1,2011</v>
      </c>
      <c r="C22" s="18"/>
      <c r="D22" s="18"/>
      <c r="E22" s="151">
        <f>[1]inputOth!E7</f>
        <v>1586585</v>
      </c>
      <c r="F22" s="39"/>
      <c r="G22" s="39"/>
      <c r="H22" s="39"/>
      <c r="I22" s="149"/>
      <c r="J22" s="39"/>
    </row>
    <row r="23" spans="1:10" ht="15.75">
      <c r="A23" s="148"/>
      <c r="B23" s="148"/>
      <c r="C23" s="18"/>
      <c r="D23" s="18"/>
      <c r="E23" s="152"/>
      <c r="F23" s="39"/>
      <c r="G23" s="39"/>
      <c r="H23" s="39"/>
      <c r="I23" s="149"/>
      <c r="J23" s="39"/>
    </row>
    <row r="24" spans="1:10" ht="15.75">
      <c r="A24" s="148" t="s">
        <v>302</v>
      </c>
      <c r="B24" s="27" t="s">
        <v>313</v>
      </c>
      <c r="C24" s="18"/>
      <c r="D24" s="18"/>
      <c r="E24" s="39"/>
      <c r="F24" s="39"/>
      <c r="G24" s="151">
        <f>E22-G20</f>
        <v>1579031</v>
      </c>
      <c r="H24" s="152"/>
      <c r="I24" s="149"/>
      <c r="J24" s="39"/>
    </row>
    <row r="25" spans="1:10" ht="15.75">
      <c r="A25" s="148"/>
      <c r="B25" s="148"/>
      <c r="C25" s="27"/>
      <c r="D25" s="18"/>
      <c r="E25" s="39"/>
      <c r="F25" s="39"/>
      <c r="G25" s="153"/>
      <c r="H25" s="152"/>
      <c r="I25" s="149"/>
      <c r="J25" s="39"/>
    </row>
    <row r="26" spans="1:10" ht="15.75">
      <c r="A26" s="148" t="s">
        <v>303</v>
      </c>
      <c r="B26" s="18" t="s">
        <v>314</v>
      </c>
      <c r="C26" s="18"/>
      <c r="D26" s="18"/>
      <c r="E26" s="18"/>
      <c r="F26" s="18"/>
      <c r="G26" s="154">
        <f>IF(G20&gt;0,G20/G24,0)</f>
        <v>4.7839466102945413E-3</v>
      </c>
      <c r="H26" s="71"/>
      <c r="I26" s="18"/>
      <c r="J26" s="18"/>
    </row>
    <row r="27" spans="1:10" ht="15.75">
      <c r="A27" s="148"/>
      <c r="B27" s="148"/>
      <c r="C27" s="18"/>
      <c r="D27" s="18"/>
      <c r="E27" s="18"/>
      <c r="F27" s="18"/>
      <c r="G27" s="71"/>
      <c r="H27" s="71"/>
      <c r="I27" s="18"/>
      <c r="J27" s="18"/>
    </row>
    <row r="28" spans="1:10" ht="15.75">
      <c r="A28" s="148" t="s">
        <v>304</v>
      </c>
      <c r="B28" s="18" t="s">
        <v>315</v>
      </c>
      <c r="C28" s="18"/>
      <c r="D28" s="18"/>
      <c r="E28" s="18"/>
      <c r="F28" s="18"/>
      <c r="G28" s="71"/>
      <c r="H28" s="155" t="s">
        <v>290</v>
      </c>
      <c r="I28" s="18" t="s">
        <v>291</v>
      </c>
      <c r="J28" s="151">
        <f>ROUND(G26*J7,0)</f>
        <v>40</v>
      </c>
    </row>
    <row r="29" spans="1:10" ht="15.75">
      <c r="A29" s="148"/>
      <c r="B29" s="148"/>
      <c r="C29" s="18"/>
      <c r="D29" s="18"/>
      <c r="E29" s="18"/>
      <c r="F29" s="18"/>
      <c r="G29" s="71"/>
      <c r="H29" s="155"/>
      <c r="I29" s="18"/>
      <c r="J29" s="152"/>
    </row>
    <row r="30" spans="1:10" ht="16.5" thickBot="1">
      <c r="A30" s="148" t="s">
        <v>305</v>
      </c>
      <c r="B30" s="27" t="s">
        <v>320</v>
      </c>
      <c r="C30" s="18"/>
      <c r="D30" s="18"/>
      <c r="E30" s="18"/>
      <c r="F30" s="18"/>
      <c r="G30" s="18"/>
      <c r="H30" s="18"/>
      <c r="I30" s="18" t="s">
        <v>291</v>
      </c>
      <c r="J30" s="156">
        <f>J7+J28</f>
        <v>8359</v>
      </c>
    </row>
    <row r="31" spans="1:10" ht="16.5" thickTop="1">
      <c r="A31" s="148"/>
      <c r="B31" s="27"/>
      <c r="C31" s="18"/>
      <c r="D31" s="18"/>
      <c r="E31" s="18"/>
      <c r="F31" s="18"/>
      <c r="G31" s="18"/>
      <c r="H31" s="18"/>
      <c r="I31" s="18"/>
      <c r="J31" s="18"/>
    </row>
    <row r="32" spans="1:10" ht="15.75">
      <c r="A32" s="148" t="s">
        <v>318</v>
      </c>
      <c r="B32" s="27" t="str">
        <f>CONCATENATE("Debt Service Levy in this ",J1," Budget")</f>
        <v>Debt Service Levy in this 2012 Budget</v>
      </c>
      <c r="C32" s="18"/>
      <c r="D32" s="18"/>
      <c r="E32" s="18"/>
      <c r="F32" s="18"/>
      <c r="G32" s="18"/>
      <c r="H32" s="18"/>
      <c r="I32" s="18"/>
      <c r="J32" s="157">
        <v>0</v>
      </c>
    </row>
    <row r="33" spans="1:10" ht="15.75">
      <c r="A33" s="148"/>
      <c r="B33" s="27"/>
      <c r="C33" s="18"/>
      <c r="D33" s="18"/>
      <c r="E33" s="18"/>
      <c r="F33" s="18"/>
      <c r="G33" s="18"/>
      <c r="H33" s="18"/>
      <c r="I33" s="18"/>
      <c r="J33" s="71"/>
    </row>
    <row r="34" spans="1:10" ht="16.5" thickBot="1">
      <c r="A34" s="148" t="s">
        <v>319</v>
      </c>
      <c r="B34" s="27" t="s">
        <v>321</v>
      </c>
      <c r="C34" s="18"/>
      <c r="D34" s="18"/>
      <c r="E34" s="18"/>
      <c r="F34" s="18"/>
      <c r="G34" s="18"/>
      <c r="H34" s="18"/>
      <c r="I34" s="18"/>
      <c r="J34" s="156">
        <f>J30+J32</f>
        <v>8359</v>
      </c>
    </row>
    <row r="35" spans="1:10" ht="16.5" thickTop="1">
      <c r="A35" s="18"/>
      <c r="B35" s="18"/>
      <c r="C35" s="18"/>
      <c r="D35" s="18"/>
      <c r="E35" s="18"/>
      <c r="F35" s="18"/>
      <c r="G35" s="18"/>
      <c r="H35" s="18"/>
      <c r="I35" s="18"/>
      <c r="J35" s="18"/>
    </row>
    <row r="36" spans="1:10" ht="15.75">
      <c r="A36" s="324" t="str">
        <f>CONCATENATE("If the ",J1," budget includes tax levies exceeding the total on line 14, you must")</f>
        <v>If the 2012 budget includes tax levies exceeding the total on line 14, you must</v>
      </c>
      <c r="B36" s="324"/>
      <c r="C36" s="324"/>
      <c r="D36" s="324"/>
      <c r="E36" s="324"/>
      <c r="F36" s="324"/>
      <c r="G36" s="324"/>
      <c r="H36" s="324"/>
      <c r="I36" s="324"/>
      <c r="J36" s="324"/>
    </row>
    <row r="37" spans="1:10" ht="15.75">
      <c r="A37" s="324" t="s">
        <v>317</v>
      </c>
      <c r="B37" s="324"/>
      <c r="C37" s="324"/>
      <c r="D37" s="324"/>
      <c r="E37" s="324"/>
      <c r="F37" s="324"/>
      <c r="G37" s="324"/>
      <c r="H37" s="324"/>
      <c r="I37" s="324"/>
      <c r="J37" s="324"/>
    </row>
  </sheetData>
  <mergeCells count="4">
    <mergeCell ref="A36:J36"/>
    <mergeCell ref="A37:J37"/>
    <mergeCell ref="A3:J3"/>
    <mergeCell ref="E4:G4"/>
  </mergeCells>
  <phoneticPr fontId="0" type="noConversion"/>
  <pageMargins left="0.5" right="0.5" top="0.75" bottom="0.5" header="0.5" footer="0.5"/>
  <pageSetup scale="85" orientation="portrait" blackAndWhite="1" r:id="rId1"/>
  <headerFooter alignWithMargins="0">
    <oddHeader xml:space="preserve">&amp;RState of Kansas
Special District
</oddHeader>
    <oddFooter>&amp;Lrevised 8/06/07&amp;CPage No. 2</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J33"/>
  <sheetViews>
    <sheetView topLeftCell="B1" workbookViewId="0">
      <selection activeCell="B1" sqref="A1:IV34"/>
    </sheetView>
  </sheetViews>
  <sheetFormatPr defaultRowHeight="15.75"/>
  <cols>
    <col min="1" max="1" width="8.88671875" style="166"/>
    <col min="2" max="2" width="17.77734375" style="16" customWidth="1"/>
    <col min="3" max="3" width="15.77734375" style="16" customWidth="1"/>
    <col min="4" max="4" width="11.77734375" style="16" customWidth="1"/>
    <col min="5" max="5" width="12.33203125" style="16" customWidth="1"/>
    <col min="6" max="6" width="11.77734375" style="16" customWidth="1"/>
    <col min="7" max="10" width="10.77734375" style="16" customWidth="1"/>
    <col min="11" max="16384" width="8.88671875" style="16"/>
  </cols>
  <sheetData>
    <row r="1" spans="1:10">
      <c r="A1" s="18"/>
      <c r="B1" s="18" t="str">
        <f>inputPrYr!D3</f>
        <v>ELK FALLS CEMETERY</v>
      </c>
      <c r="C1" s="18"/>
      <c r="D1" s="18"/>
      <c r="E1" s="18"/>
      <c r="F1" s="18"/>
      <c r="G1" s="18"/>
      <c r="H1" s="18"/>
      <c r="I1" s="158"/>
      <c r="J1" s="18"/>
    </row>
    <row r="2" spans="1:10">
      <c r="A2" s="18"/>
      <c r="B2" s="18" t="str">
        <f>inputPrYr!D4</f>
        <v>ELK COUNTY</v>
      </c>
      <c r="C2" s="18"/>
      <c r="D2" s="18"/>
      <c r="E2" s="18"/>
      <c r="F2" s="18"/>
      <c r="G2" s="18"/>
      <c r="H2" s="18"/>
      <c r="I2" s="138"/>
      <c r="J2" s="18">
        <f>inputPrYr!D6</f>
        <v>2012</v>
      </c>
    </row>
    <row r="3" spans="1:10">
      <c r="A3" s="18"/>
      <c r="B3" s="18"/>
      <c r="C3" s="159"/>
      <c r="D3" s="159"/>
      <c r="E3" s="159"/>
      <c r="F3" s="159"/>
      <c r="G3" s="159"/>
      <c r="H3" s="159"/>
      <c r="I3" s="159"/>
      <c r="J3" s="18"/>
    </row>
    <row r="4" spans="1:10">
      <c r="A4" s="54"/>
      <c r="B4" s="18"/>
      <c r="C4" s="18"/>
      <c r="D4" s="18"/>
      <c r="E4" s="18"/>
      <c r="F4" s="18"/>
      <c r="G4" s="18"/>
      <c r="H4" s="18"/>
      <c r="I4" s="159"/>
      <c r="J4" s="18"/>
    </row>
    <row r="5" spans="1:10">
      <c r="A5" s="54"/>
      <c r="B5" s="18"/>
      <c r="C5" s="26"/>
      <c r="D5" s="26"/>
      <c r="E5" s="26"/>
      <c r="F5" s="18"/>
      <c r="G5" s="18"/>
      <c r="H5" s="18"/>
      <c r="I5" s="18"/>
      <c r="J5" s="18"/>
    </row>
    <row r="6" spans="1:10">
      <c r="A6" s="54"/>
      <c r="B6" s="325" t="s">
        <v>394</v>
      </c>
      <c r="C6" s="325"/>
      <c r="D6" s="325"/>
      <c r="E6" s="325"/>
      <c r="F6" s="325"/>
      <c r="G6" s="18"/>
      <c r="H6" s="18"/>
      <c r="I6" s="18"/>
      <c r="J6" s="18"/>
    </row>
    <row r="7" spans="1:10">
      <c r="A7" s="54"/>
      <c r="B7" s="160"/>
      <c r="C7" s="160"/>
      <c r="D7" s="160"/>
      <c r="E7" s="160"/>
      <c r="F7" s="160"/>
      <c r="G7" s="18"/>
      <c r="H7" s="18"/>
      <c r="I7" s="18"/>
      <c r="J7" s="18"/>
    </row>
    <row r="8" spans="1:10">
      <c r="A8" s="18"/>
      <c r="B8" s="18"/>
      <c r="C8" s="18"/>
      <c r="D8" s="18"/>
      <c r="E8" s="18"/>
      <c r="F8" s="18"/>
      <c r="G8" s="18"/>
      <c r="H8" s="18"/>
      <c r="I8" s="18"/>
      <c r="J8" s="18"/>
    </row>
    <row r="9" spans="1:10">
      <c r="A9" s="18"/>
      <c r="B9" s="328" t="str">
        <f>CONCATENATE("",J2-1,"                    Budgeted Funds")</f>
        <v>2011                    Budgeted Funds</v>
      </c>
      <c r="C9" s="326" t="str">
        <f>CONCATENATE("Tax Levy Amount in ",J2-2," Budget")</f>
        <v>Tax Levy Amount in 2010 Budget</v>
      </c>
      <c r="D9" s="306" t="str">
        <f>CONCATENATE("Allocation for Year ",J2,"")</f>
        <v>Allocation for Year 2012</v>
      </c>
      <c r="E9" s="329"/>
      <c r="F9" s="329"/>
      <c r="G9" s="308"/>
      <c r="H9" s="18"/>
      <c r="I9" s="18"/>
      <c r="J9" s="18"/>
    </row>
    <row r="10" spans="1:10">
      <c r="A10" s="18"/>
      <c r="B10" s="327"/>
      <c r="C10" s="327"/>
      <c r="D10" s="116" t="s">
        <v>268</v>
      </c>
      <c r="E10" s="116" t="s">
        <v>269</v>
      </c>
      <c r="F10" s="116" t="s">
        <v>285</v>
      </c>
      <c r="G10" s="113" t="s">
        <v>345</v>
      </c>
      <c r="H10" s="18"/>
      <c r="I10" s="18"/>
      <c r="J10" s="18"/>
    </row>
    <row r="11" spans="1:10">
      <c r="A11" s="18"/>
      <c r="B11" s="38" t="str">
        <f>inputPrYr!B19</f>
        <v>General</v>
      </c>
      <c r="C11" s="126">
        <f>inputPrYr!E19</f>
        <v>8319</v>
      </c>
      <c r="D11" s="126">
        <f>IF(E17=0,0,E17-D12-D13-D14)</f>
        <v>1078</v>
      </c>
      <c r="E11" s="126">
        <f>IF(E19=0,0,E19-E12-E13-E14)</f>
        <v>16</v>
      </c>
      <c r="F11" s="126">
        <f>IF(E21=0,0,E21-F12-F13-F14)</f>
        <v>104</v>
      </c>
      <c r="G11" s="126">
        <f>IF(E23=0,0,E23-G12-G13-G14)</f>
        <v>0</v>
      </c>
      <c r="H11" s="18"/>
      <c r="I11" s="18"/>
      <c r="J11" s="18"/>
    </row>
    <row r="12" spans="1:10">
      <c r="A12" s="18"/>
      <c r="B12" s="38" t="str">
        <f>inputPrYr!B20</f>
        <v>Debt Service</v>
      </c>
      <c r="C12" s="126">
        <f>inputPrYr!E20</f>
        <v>0</v>
      </c>
      <c r="D12" s="126">
        <f>IF($E$17=0,0,ROUND(C12*$C$25,0))</f>
        <v>0</v>
      </c>
      <c r="E12" s="126">
        <f>IF($E$19=0,0,ROUND(C12*$D$27,0))</f>
        <v>0</v>
      </c>
      <c r="F12" s="126">
        <f>IF($E21=0,0,ROUND(C12*$E$29,0))</f>
        <v>0</v>
      </c>
      <c r="G12" s="126">
        <f>IF($E23=0,0,ROUND(C12*$F$31,0))</f>
        <v>0</v>
      </c>
      <c r="H12" s="18"/>
      <c r="I12" s="18"/>
      <c r="J12" s="18"/>
    </row>
    <row r="13" spans="1:10">
      <c r="A13" s="18"/>
      <c r="B13" s="38" t="str">
        <f>IF(inputPrYr!$B$22&gt;"  ",inputPrYr!$B$22,"  ")</f>
        <v xml:space="preserve">  </v>
      </c>
      <c r="C13" s="126">
        <f>inputPrYr!E22</f>
        <v>0</v>
      </c>
      <c r="D13" s="126">
        <f>IF($E$17=0,0,ROUND(C13*$C$25,0))</f>
        <v>0</v>
      </c>
      <c r="E13" s="126">
        <f>IF($E$19=0,0,ROUND(C13*$D$27,0))</f>
        <v>0</v>
      </c>
      <c r="F13" s="126">
        <f>IF($E21=0,0,ROUND(C13*$E$29,0))</f>
        <v>0</v>
      </c>
      <c r="G13" s="126">
        <f>IF($E23=0,0,ROUND(C13*$F$31,0))</f>
        <v>0</v>
      </c>
      <c r="H13" s="101"/>
      <c r="I13" s="101"/>
      <c r="J13" s="18"/>
    </row>
    <row r="14" spans="1:10">
      <c r="A14" s="18"/>
      <c r="B14" s="38" t="str">
        <f>IF(inputPrYr!$B$23&gt;"  ",inputPrYr!$B$23,"  ")</f>
        <v xml:space="preserve">  </v>
      </c>
      <c r="C14" s="126">
        <f>inputPrYr!E23</f>
        <v>0</v>
      </c>
      <c r="D14" s="126">
        <f>IF($E$17=0,0,ROUND(C14*$C$25,0))</f>
        <v>0</v>
      </c>
      <c r="E14" s="126">
        <f>IF($E$19=0,0,ROUND(C14*$D$27,0))</f>
        <v>0</v>
      </c>
      <c r="F14" s="126">
        <f>IF($E21=0,0,ROUND(C14*$E$29,0))</f>
        <v>0</v>
      </c>
      <c r="G14" s="126">
        <f>IF($E23=0,0,ROUND(C14*$F$31,0))</f>
        <v>0</v>
      </c>
      <c r="H14" s="18"/>
      <c r="I14" s="18"/>
      <c r="J14" s="18"/>
    </row>
    <row r="15" spans="1:10" ht="16.5" thickBot="1">
      <c r="A15" s="18"/>
      <c r="B15" s="35" t="s">
        <v>239</v>
      </c>
      <c r="C15" s="130">
        <f>SUM(C11:C14)</f>
        <v>8319</v>
      </c>
      <c r="D15" s="130">
        <f>SUM(D11:D14)</f>
        <v>1078</v>
      </c>
      <c r="E15" s="130">
        <f>SUM(E11:E14)</f>
        <v>16</v>
      </c>
      <c r="F15" s="130">
        <f>SUM(F11:F14)</f>
        <v>104</v>
      </c>
      <c r="G15" s="129">
        <f>SUM(G11:G14)</f>
        <v>0</v>
      </c>
      <c r="H15" s="18"/>
      <c r="I15" s="18"/>
      <c r="J15" s="18"/>
    </row>
    <row r="16" spans="1:10" ht="16.5" thickTop="1">
      <c r="A16" s="18"/>
      <c r="B16" s="18"/>
      <c r="C16" s="18"/>
      <c r="D16" s="18"/>
      <c r="E16" s="18"/>
      <c r="F16" s="18"/>
      <c r="G16" s="18"/>
      <c r="H16" s="18"/>
      <c r="I16" s="18"/>
      <c r="J16" s="18"/>
    </row>
    <row r="17" spans="1:10">
      <c r="A17" s="18"/>
      <c r="B17" s="17" t="s">
        <v>270</v>
      </c>
      <c r="C17" s="18"/>
      <c r="D17" s="18"/>
      <c r="E17" s="161">
        <f>inputOth!E27</f>
        <v>1078</v>
      </c>
      <c r="F17" s="18"/>
      <c r="G17" s="18"/>
      <c r="H17" s="18"/>
      <c r="I17" s="18"/>
      <c r="J17" s="18"/>
    </row>
    <row r="18" spans="1:10">
      <c r="A18" s="18"/>
      <c r="B18" s="18"/>
      <c r="C18" s="18"/>
      <c r="D18" s="159"/>
      <c r="E18" s="159"/>
      <c r="F18" s="18"/>
      <c r="G18" s="18"/>
      <c r="H18" s="18"/>
      <c r="I18" s="18"/>
      <c r="J18" s="18"/>
    </row>
    <row r="19" spans="1:10">
      <c r="A19" s="18"/>
      <c r="B19" s="17" t="s">
        <v>271</v>
      </c>
      <c r="C19" s="18"/>
      <c r="D19" s="159"/>
      <c r="E19" s="161">
        <f>inputOth!E28</f>
        <v>16</v>
      </c>
      <c r="F19" s="18"/>
      <c r="G19" s="18"/>
      <c r="H19" s="18"/>
      <c r="I19" s="18"/>
      <c r="J19" s="18"/>
    </row>
    <row r="20" spans="1:10">
      <c r="A20" s="18"/>
      <c r="B20" s="18"/>
      <c r="C20" s="18"/>
      <c r="D20" s="18"/>
      <c r="E20" s="18"/>
      <c r="F20" s="18"/>
      <c r="G20" s="18"/>
      <c r="H20" s="18"/>
      <c r="I20" s="18"/>
      <c r="J20" s="18"/>
    </row>
    <row r="21" spans="1:10">
      <c r="A21" s="18"/>
      <c r="B21" s="17" t="s">
        <v>286</v>
      </c>
      <c r="C21" s="18"/>
      <c r="D21" s="18"/>
      <c r="E21" s="161">
        <f>inputOth!E29</f>
        <v>104</v>
      </c>
      <c r="F21" s="18"/>
      <c r="G21" s="18"/>
      <c r="H21" s="18"/>
      <c r="I21" s="18"/>
      <c r="J21" s="18"/>
    </row>
    <row r="22" spans="1:10">
      <c r="A22" s="18"/>
      <c r="B22" s="18"/>
      <c r="C22" s="18"/>
      <c r="D22" s="18"/>
      <c r="E22" s="18"/>
      <c r="F22" s="18"/>
      <c r="G22" s="18"/>
      <c r="H22" s="18"/>
      <c r="I22" s="18"/>
      <c r="J22" s="18"/>
    </row>
    <row r="23" spans="1:10">
      <c r="A23" s="18"/>
      <c r="B23" s="18" t="s">
        <v>381</v>
      </c>
      <c r="C23" s="18"/>
      <c r="D23" s="18"/>
      <c r="E23" s="151">
        <f>inputOth!E31</f>
        <v>0</v>
      </c>
      <c r="F23" s="18"/>
      <c r="G23" s="18"/>
      <c r="H23" s="18"/>
      <c r="I23" s="18"/>
      <c r="J23" s="18"/>
    </row>
    <row r="24" spans="1:10">
      <c r="A24" s="18"/>
      <c r="B24" s="18"/>
      <c r="C24" s="18"/>
      <c r="D24" s="18"/>
      <c r="E24" s="18"/>
      <c r="F24" s="18"/>
      <c r="G24" s="18"/>
      <c r="H24" s="18"/>
      <c r="I24" s="18"/>
      <c r="J24" s="18"/>
    </row>
    <row r="25" spans="1:10">
      <c r="A25" s="18"/>
      <c r="B25" s="138" t="s">
        <v>272</v>
      </c>
      <c r="C25" s="162">
        <f>IF(C15=0,0,E17/C15)</f>
        <v>0.12958288255799977</v>
      </c>
      <c r="D25" s="18"/>
      <c r="E25" s="18"/>
      <c r="F25" s="18"/>
      <c r="G25" s="18"/>
      <c r="H25" s="18"/>
      <c r="I25" s="18"/>
      <c r="J25" s="18"/>
    </row>
    <row r="26" spans="1:10">
      <c r="A26" s="18"/>
      <c r="B26" s="17"/>
      <c r="C26" s="163"/>
      <c r="D26" s="18"/>
      <c r="E26" s="18"/>
      <c r="F26" s="18"/>
      <c r="G26" s="18"/>
      <c r="H26" s="18"/>
      <c r="I26" s="18"/>
      <c r="J26" s="18"/>
    </row>
    <row r="27" spans="1:10">
      <c r="A27" s="18"/>
      <c r="B27" s="18"/>
      <c r="C27" s="138" t="s">
        <v>273</v>
      </c>
      <c r="D27" s="164">
        <f>IF(C15=0,0,E19/C15)</f>
        <v>1.9233080899146533E-3</v>
      </c>
      <c r="E27" s="18"/>
      <c r="F27" s="18"/>
      <c r="G27" s="18"/>
      <c r="H27" s="18"/>
      <c r="I27" s="18"/>
      <c r="J27" s="18"/>
    </row>
    <row r="28" spans="1:10">
      <c r="A28" s="18"/>
      <c r="B28" s="18"/>
      <c r="C28" s="17"/>
      <c r="D28" s="165"/>
      <c r="E28" s="18"/>
      <c r="F28" s="18"/>
      <c r="G28" s="18"/>
      <c r="H28" s="18"/>
      <c r="I28" s="18"/>
      <c r="J28" s="18"/>
    </row>
    <row r="29" spans="1:10">
      <c r="A29" s="18"/>
      <c r="B29" s="18"/>
      <c r="C29" s="18"/>
      <c r="D29" s="138" t="s">
        <v>287</v>
      </c>
      <c r="E29" s="164">
        <f>IF(C15=0,0,E21/C15)</f>
        <v>1.2501502584445245E-2</v>
      </c>
      <c r="F29" s="18"/>
      <c r="G29" s="18"/>
      <c r="H29" s="18"/>
      <c r="I29" s="18"/>
      <c r="J29" s="18"/>
    </row>
    <row r="30" spans="1:10">
      <c r="A30" s="18"/>
      <c r="B30" s="18"/>
      <c r="C30" s="18"/>
      <c r="D30" s="18"/>
      <c r="E30" s="18"/>
      <c r="F30" s="18"/>
      <c r="G30" s="18"/>
      <c r="H30" s="18"/>
      <c r="I30" s="18"/>
      <c r="J30" s="18"/>
    </row>
    <row r="31" spans="1:10">
      <c r="A31" s="18"/>
      <c r="B31" s="18"/>
      <c r="C31" s="54"/>
      <c r="D31" s="54"/>
      <c r="E31" s="54" t="s">
        <v>382</v>
      </c>
      <c r="F31" s="164">
        <f>IF(C15=0,0,E23/C15)</f>
        <v>0</v>
      </c>
      <c r="G31" s="54"/>
      <c r="H31" s="54"/>
      <c r="I31" s="18"/>
      <c r="J31" s="18"/>
    </row>
    <row r="32" spans="1:10">
      <c r="A32" s="18"/>
      <c r="B32" s="18"/>
      <c r="C32" s="54"/>
      <c r="D32" s="54"/>
      <c r="E32" s="54"/>
      <c r="F32" s="54"/>
      <c r="G32" s="54"/>
      <c r="H32" s="54"/>
      <c r="I32" s="18"/>
      <c r="J32" s="18"/>
    </row>
    <row r="33" spans="1:10">
      <c r="A33" s="18"/>
      <c r="B33" s="18"/>
      <c r="C33" s="54"/>
      <c r="D33" s="54"/>
      <c r="E33" s="54"/>
      <c r="F33" s="54"/>
      <c r="G33" s="54"/>
      <c r="H33" s="54"/>
      <c r="I33" s="18"/>
      <c r="J33" s="18"/>
    </row>
  </sheetData>
  <sheetProtection sheet="1" objects="1" scenarios="1"/>
  <mergeCells count="4">
    <mergeCell ref="B6:F6"/>
    <mergeCell ref="C9:C10"/>
    <mergeCell ref="B9:B10"/>
    <mergeCell ref="D9:G9"/>
  </mergeCells>
  <phoneticPr fontId="0" type="noConversion"/>
  <pageMargins left="0.5" right="0.5" top="1" bottom="0.5" header="0.5" footer="0.5"/>
  <pageSetup scale="87" orientation="landscape" blackAndWhite="1" horizontalDpi="120" verticalDpi="144" r:id="rId1"/>
  <headerFooter alignWithMargins="0">
    <oddHeader xml:space="preserve">&amp;RState of Kansas
Special District
</oddHeader>
    <oddFooter>&amp;Lrevised 9/22/09&amp;CPage No. 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inputPrYr</vt:lpstr>
      <vt:lpstr>inputOth</vt:lpstr>
      <vt:lpstr>inputBudSum</vt:lpstr>
      <vt:lpstr>SignCert</vt:lpstr>
      <vt:lpstr>PubNotice</vt:lpstr>
      <vt:lpstr>cert</vt:lpstr>
      <vt:lpstr>gen</vt:lpstr>
      <vt:lpstr>computation</vt:lpstr>
      <vt:lpstr>mvalloc</vt:lpstr>
      <vt:lpstr>summ</vt:lpstr>
      <vt:lpstr>Resolution</vt:lpstr>
      <vt:lpstr>Tab A</vt:lpstr>
      <vt:lpstr>Tab B</vt:lpstr>
      <vt:lpstr>Tab C</vt:lpstr>
      <vt:lpstr>Tab D</vt:lpstr>
      <vt:lpstr>Tab E</vt:lpstr>
      <vt:lpstr>legend</vt:lpstr>
      <vt:lpstr>inputPrYr!Print_Area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district</dc:title>
  <dc:creator>Valued Customer of</dc:creator>
  <cp:lastModifiedBy>dkaminska</cp:lastModifiedBy>
  <cp:lastPrinted>2010-07-20T20:55:51Z</cp:lastPrinted>
  <dcterms:created xsi:type="dcterms:W3CDTF">1999-08-06T13:59:57Z</dcterms:created>
  <dcterms:modified xsi:type="dcterms:W3CDTF">2012-02-14T16:33:28Z</dcterms:modified>
</cp:coreProperties>
</file>