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2715" tabRatio="869" activeTab="8"/>
  </bookViews>
  <sheets>
    <sheet name="inputPrYr" sheetId="1" r:id="rId1"/>
    <sheet name="inputOth" sheetId="2" r:id="rId2"/>
    <sheet name="cert" sheetId="3" r:id="rId3"/>
    <sheet name="Pub" sheetId="4" r:id="rId4"/>
    <sheet name="computation" sheetId="5" r:id="rId5"/>
    <sheet name="mvalloc" sheetId="6" r:id="rId6"/>
    <sheet name="gen" sheetId="7" r:id="rId7"/>
    <sheet name="summ" sheetId="8" r:id="rId8"/>
    <sheet name="Signed Cert" sheetId="9" r:id="rId9"/>
    <sheet name="Resolution" sheetId="10" r:id="rId10"/>
  </sheets>
  <definedNames>
    <definedName name="_xlnm.Print_Area" localSheetId="6">'gen'!$B$1:$F$63</definedName>
    <definedName name="_xlnm.Print_Area" localSheetId="0">'inputPrYr'!$A$1:$E$46</definedName>
  </definedNames>
  <calcPr fullCalcOnLoad="1"/>
</workbook>
</file>

<file path=xl/sharedStrings.xml><?xml version="1.0" encoding="utf-8"?>
<sst xmlns="http://schemas.openxmlformats.org/spreadsheetml/2006/main" count="209" uniqueCount="174">
  <si>
    <t>Input sheet for Special District budget form</t>
  </si>
  <si>
    <t>Fund Names:</t>
  </si>
  <si>
    <t>Statute</t>
  </si>
  <si>
    <t>General</t>
  </si>
  <si>
    <t>Fund name for all funds with a tax levy:</t>
  </si>
  <si>
    <t>Other (non-tax levy) fund names:</t>
  </si>
  <si>
    <t>Total</t>
  </si>
  <si>
    <t>Motor Vehicle Tax Estimate</t>
  </si>
  <si>
    <t>Recreational Vehicle Tax Estimate</t>
  </si>
  <si>
    <t>certify that: (1) the hearing mentioned in the attached publication was held;</t>
  </si>
  <si>
    <t>(2) after the Budget Hearing this budget was duly approved and adopted</t>
  </si>
  <si>
    <t xml:space="preserve"> </t>
  </si>
  <si>
    <t>County</t>
  </si>
  <si>
    <t>Page</t>
  </si>
  <si>
    <t>Clerk's</t>
  </si>
  <si>
    <t>Table of Contents:</t>
  </si>
  <si>
    <t>No.</t>
  </si>
  <si>
    <t>Use Only</t>
  </si>
  <si>
    <t>Fund</t>
  </si>
  <si>
    <t>K.S.A.</t>
  </si>
  <si>
    <t>x</t>
  </si>
  <si>
    <t>Governing Body</t>
  </si>
  <si>
    <t>County Clerk</t>
  </si>
  <si>
    <t>Adopted Budget</t>
  </si>
  <si>
    <t>Ad Valorem Tax</t>
  </si>
  <si>
    <t>Delinquent Tax</t>
  </si>
  <si>
    <t>Motor Vehicle Tax</t>
  </si>
  <si>
    <t>Recreational Vehicle Tax</t>
  </si>
  <si>
    <t>In Lieu of Taxes</t>
  </si>
  <si>
    <t>Interest on Idle Funds</t>
  </si>
  <si>
    <t>Total Receipts</t>
  </si>
  <si>
    <t>Resources Available:</t>
  </si>
  <si>
    <t>Expenditures:</t>
  </si>
  <si>
    <t>Total Expenditures</t>
  </si>
  <si>
    <t>Page No.</t>
  </si>
  <si>
    <t>MVT</t>
  </si>
  <si>
    <t>RVT</t>
  </si>
  <si>
    <t>County Treas MVT Estimate</t>
  </si>
  <si>
    <t>County Treas RVT Estimate</t>
  </si>
  <si>
    <t>MVT Factor</t>
  </si>
  <si>
    <t>RVT Factor</t>
  </si>
  <si>
    <t>Actual</t>
  </si>
  <si>
    <t>FUND</t>
  </si>
  <si>
    <t>Expenditures</t>
  </si>
  <si>
    <t>Total Tax Levied</t>
  </si>
  <si>
    <t>Outstanding Indebtedness,</t>
  </si>
  <si>
    <t>G.O. Bonds</t>
  </si>
  <si>
    <t>Revenue Bonds</t>
  </si>
  <si>
    <t xml:space="preserve">     Total</t>
  </si>
  <si>
    <t xml:space="preserve">  *Tax rates are expressed in mills.</t>
  </si>
  <si>
    <t>Clerk</t>
  </si>
  <si>
    <t>Rate</t>
  </si>
  <si>
    <t xml:space="preserve">on the budget forms in the appropriate locations.  If any of the numbers are wrong, change  </t>
  </si>
  <si>
    <t>CERTIFICATE</t>
  </si>
  <si>
    <t>FUND PAGE FOR FUNDS WITH A TAX LEVY</t>
  </si>
  <si>
    <t>NOTICE OF BUDGET HEARING</t>
  </si>
  <si>
    <t>BUDGET SUMMARY</t>
  </si>
  <si>
    <t>16/20M Veh</t>
  </si>
  <si>
    <t>County Treas 16/20 M Vehicle Tax Estimate</t>
  </si>
  <si>
    <t>16/20M Factor</t>
  </si>
  <si>
    <t>Amount of Levy</t>
  </si>
  <si>
    <t xml:space="preserve"> 1.</t>
  </si>
  <si>
    <t>+</t>
  </si>
  <si>
    <t>$</t>
  </si>
  <si>
    <t xml:space="preserve"> 2.</t>
  </si>
  <si>
    <t>-</t>
  </si>
  <si>
    <t xml:space="preserve"> 4.</t>
  </si>
  <si>
    <t xml:space="preserve"> 5.</t>
  </si>
  <si>
    <t>5a.</t>
  </si>
  <si>
    <t>5b.</t>
  </si>
  <si>
    <t>5c.</t>
  </si>
  <si>
    <t>6.</t>
  </si>
  <si>
    <t>7.</t>
  </si>
  <si>
    <t>8.</t>
  </si>
  <si>
    <t>9.</t>
  </si>
  <si>
    <t>10.</t>
  </si>
  <si>
    <t>11.</t>
  </si>
  <si>
    <t>12.</t>
  </si>
  <si>
    <t>(Use Only if &gt; 0)</t>
  </si>
  <si>
    <t>16/20M Vehicle Tax</t>
  </si>
  <si>
    <t xml:space="preserve">The governing body of </t>
  </si>
  <si>
    <t>Computation of Delinquency</t>
  </si>
  <si>
    <t>Tax Levy Excluding Debt Service</t>
  </si>
  <si>
    <t>Increase in Personal Property (5a minus 5b)</t>
  </si>
  <si>
    <r>
      <t xml:space="preserve">Total Valuation Adjustment </t>
    </r>
    <r>
      <rPr>
        <sz val="12"/>
        <rFont val="Times New Roman"/>
        <family val="1"/>
      </rPr>
      <t>(Sum of 4, 5c, 6)</t>
    </r>
  </si>
  <si>
    <t>Total Valuation less Valuation Adjustment (8 minus 7)</t>
  </si>
  <si>
    <t>Factor for Increase (7 divided by 9)</t>
  </si>
  <si>
    <t>Amount of Increase (10 times 3)</t>
  </si>
  <si>
    <t xml:space="preserve"> 3.</t>
  </si>
  <si>
    <t>adopt a resolution to exceed this limit and attach a copy to this budget.</t>
  </si>
  <si>
    <t>13.</t>
  </si>
  <si>
    <t>14.</t>
  </si>
  <si>
    <t>Maximum Tax Levy, excluding debt service, without Resolution (3 plus 11)</t>
  </si>
  <si>
    <t>Maximum levy, including debt service, without a Resolution (12 plus 13)</t>
  </si>
  <si>
    <t>Unencumbered Cash Balance Jan 1</t>
  </si>
  <si>
    <t>Unencumbered Cash Balance Dec 31</t>
  </si>
  <si>
    <t>Receipts:</t>
  </si>
  <si>
    <t>Enter Special District Name (Can be Longer than green cell)</t>
  </si>
  <si>
    <t>Totals</t>
  </si>
  <si>
    <t>Lease Pur. Princ.</t>
  </si>
  <si>
    <t>County Clerk's Use Only</t>
  </si>
  <si>
    <t>Statement of Indebt. &amp; Lease/Purchase</t>
  </si>
  <si>
    <t>Schedule of Transfers</t>
  </si>
  <si>
    <t xml:space="preserve">Enter year being budgeted (YYYY) </t>
  </si>
  <si>
    <t xml:space="preserve">  G.O. Bonds</t>
  </si>
  <si>
    <t xml:space="preserve">  Revenue Bonds</t>
  </si>
  <si>
    <t xml:space="preserve">  Lease Purchase Principal</t>
  </si>
  <si>
    <t xml:space="preserve">The input for the following comes directly from </t>
  </si>
  <si>
    <t>We, the undersigned, officers of</t>
  </si>
  <si>
    <t>10-113</t>
  </si>
  <si>
    <t>LAVTR</t>
  </si>
  <si>
    <t>Slider</t>
  </si>
  <si>
    <t xml:space="preserve">  Jan 1,</t>
  </si>
  <si>
    <t>Net Expenditures</t>
  </si>
  <si>
    <t>Assessed Valuation</t>
  </si>
  <si>
    <t>16\20 M Vehicle Tax</t>
  </si>
  <si>
    <t xml:space="preserve">   </t>
  </si>
  <si>
    <r>
      <t>**</t>
    </r>
    <r>
      <rPr>
        <b/>
        <u val="single"/>
        <sz val="12"/>
        <rFont val="Times New Roman"/>
        <family val="1"/>
      </rPr>
      <t>Note</t>
    </r>
    <r>
      <rPr>
        <sz val="12"/>
        <rFont val="Times New Roman"/>
        <family val="1"/>
      </rPr>
      <t>: The delinquency rate can be up to 5% more than the actual delinquency rate from the previous year.</t>
    </r>
  </si>
  <si>
    <t>xxxxxxxxxxxxxxxx</t>
  </si>
  <si>
    <t>Note:  All amounts are to be entered in as whole numbers only.</t>
  </si>
  <si>
    <t>Attest: _________________,</t>
  </si>
  <si>
    <t>Tax Rate*</t>
  </si>
  <si>
    <t>Resolution</t>
  </si>
  <si>
    <t>Is a Resolution required?</t>
  </si>
  <si>
    <t>Budget Summary</t>
  </si>
  <si>
    <t>Total Tax Rates</t>
  </si>
  <si>
    <t>Rate used in this budget will be shown on all fund pages with a tax levy**</t>
  </si>
  <si>
    <t xml:space="preserve">          the information on this input sheet.</t>
  </si>
  <si>
    <t>Enter the following information from the sources shown.  This information will be entered</t>
  </si>
  <si>
    <t>Outstanding Indebtedness, January 1:</t>
  </si>
  <si>
    <t>Allocation MVT, RVT,16/20M Veh &amp; Slider</t>
  </si>
  <si>
    <t>County Treas Slider Estimate</t>
  </si>
  <si>
    <t>Slider Factor</t>
  </si>
  <si>
    <t>Funds</t>
  </si>
  <si>
    <t>Budget Authority</t>
  </si>
  <si>
    <t xml:space="preserve">expenditure amounts should reflect the amended </t>
  </si>
  <si>
    <t>expenditure amounts.</t>
  </si>
  <si>
    <t>Miscellaneous</t>
  </si>
  <si>
    <t>Neighborhood Revitalization Rebate</t>
  </si>
  <si>
    <t>Enter County Name followed by 'County'</t>
  </si>
  <si>
    <t>ALLOCATION OF MOTOR, RECREATIONAL ,16/20M VEHICLE TAXES &amp; SLIDER</t>
  </si>
  <si>
    <t>Non-budgeted funds:</t>
  </si>
  <si>
    <t xml:space="preserve">Proposed Budget </t>
  </si>
  <si>
    <t xml:space="preserve">Current Year </t>
  </si>
  <si>
    <t>Prior Year</t>
  </si>
  <si>
    <t>Debt Service</t>
  </si>
  <si>
    <r>
      <rPr>
        <b/>
        <sz val="12"/>
        <color indexed="10"/>
        <rFont val="Times New Roman"/>
        <family val="1"/>
      </rPr>
      <t>*</t>
    </r>
    <r>
      <rPr>
        <b/>
        <sz val="12"/>
        <rFont val="Times New Roman"/>
        <family val="1"/>
      </rPr>
      <t>If amended, then use the amended figures.</t>
    </r>
    <r>
      <rPr>
        <b/>
        <sz val="12"/>
        <color indexed="10"/>
        <rFont val="Times New Roman"/>
        <family val="1"/>
      </rPr>
      <t>*</t>
    </r>
  </si>
  <si>
    <r>
      <rPr>
        <sz val="12"/>
        <color indexed="10"/>
        <rFont val="Times New Roman"/>
        <family val="1"/>
      </rPr>
      <t>*</t>
    </r>
    <r>
      <rPr>
        <sz val="12"/>
        <rFont val="Times New Roman"/>
        <family val="1"/>
      </rPr>
      <t>Expenditures</t>
    </r>
    <r>
      <rPr>
        <sz val="12"/>
        <color indexed="10"/>
        <rFont val="Times New Roman"/>
        <family val="1"/>
      </rPr>
      <t>*</t>
    </r>
  </si>
  <si>
    <t>answering objections of taxpayers relating  to the proposed use of all funds and the amount of tax to levied.</t>
  </si>
  <si>
    <t>for Expenditures</t>
  </si>
  <si>
    <t>Does misc. exceed 10% Total Expenditures</t>
  </si>
  <si>
    <t>Does misc. exceed 10% of Total Receipts</t>
  </si>
  <si>
    <t>Assisted by:</t>
  </si>
  <si>
    <t>Address:</t>
  </si>
  <si>
    <t>Estimate</t>
  </si>
  <si>
    <t>Non-Appropriated Balance</t>
  </si>
  <si>
    <t>Total Expenditure/Non-Appr Balance</t>
  </si>
  <si>
    <t>Tax Required</t>
  </si>
  <si>
    <t>Delinquent Comp Rate:</t>
  </si>
  <si>
    <t>Other</t>
  </si>
  <si>
    <t xml:space="preserve">  Other</t>
  </si>
  <si>
    <t>Desired Carryover Amount:</t>
  </si>
  <si>
    <t>Estimated Mill Rate Impact:</t>
  </si>
  <si>
    <t>The estimated value of one mill would be:</t>
  </si>
  <si>
    <t>Change in Ad Valorem Tax Revenue:</t>
  </si>
  <si>
    <t>What Mill Rate Would Be Desired?</t>
  </si>
  <si>
    <t>ELK COUNTY</t>
  </si>
  <si>
    <t>CRESCO CEMETERY</t>
  </si>
  <si>
    <t>Treasurer's Beginning Balance</t>
  </si>
  <si>
    <t>Treasurer's Ending Balance</t>
  </si>
  <si>
    <t>Operations</t>
  </si>
  <si>
    <t>Mowing</t>
  </si>
  <si>
    <t>Page No. 4</t>
  </si>
  <si>
    <t>Janet F. Miller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</si>
</sst>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_)"/>
    <numFmt numFmtId="165" formatCode="0_)"/>
    <numFmt numFmtId="166" formatCode="0.00000_)"/>
    <numFmt numFmtId="167" formatCode="0.00_)"/>
    <numFmt numFmtId="168" formatCode="#,##0.00000_);\(#,##0.00000\)"/>
    <numFmt numFmtId="169" formatCode="0.00000"/>
    <numFmt numFmtId="170" formatCode="_(* #,##0.0_);_(* \(#,##0.0\);_(* &quot;-&quot;??_);_(@_)"/>
    <numFmt numFmtId="171" formatCode="_(* #,##0_);_(* \(#,##0\);_(* &quot;-&quot;??_);_(@_)"/>
    <numFmt numFmtId="172" formatCode="m/d/yy"/>
    <numFmt numFmtId="173" formatCode="m/d"/>
    <numFmt numFmtId="174" formatCode="#,##0.0_);\(#,##0.0\)"/>
    <numFmt numFmtId="175" formatCode="#,##0.000_);\(#,##0.000\)"/>
    <numFmt numFmtId="176" formatCode="General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0%"/>
    <numFmt numFmtId="182" formatCode="0.000"/>
    <numFmt numFmtId="183" formatCode="#,##0.000"/>
    <numFmt numFmtId="184" formatCode="[$-409]mmmm\ d\,\ yyyy;@"/>
    <numFmt numFmtId="185" formatCode="[$-409]h:mm\ AM/PM;@"/>
    <numFmt numFmtId="186" formatCode="[$-409]dddd\,\ mmmm\ dd\,\ yyyy"/>
    <numFmt numFmtId="187" formatCode="&quot;$&quot;#,##0"/>
    <numFmt numFmtId="188" formatCode="&quot;$&quot;#,##0.00"/>
    <numFmt numFmtId="189" formatCode="#,##0.0"/>
    <numFmt numFmtId="190" formatCode="#,###"/>
  </numFmts>
  <fonts count="62">
    <font>
      <sz val="12"/>
      <name val="Courier"/>
      <family val="0"/>
    </font>
    <font>
      <b/>
      <sz val="12"/>
      <name val="Courier"/>
      <family val="0"/>
    </font>
    <font>
      <i/>
      <sz val="12"/>
      <name val="Courier"/>
      <family val="0"/>
    </font>
    <font>
      <b/>
      <i/>
      <sz val="12"/>
      <name val="Courier"/>
      <family val="0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name val="Courier New"/>
      <family val="3"/>
    </font>
    <font>
      <u val="single"/>
      <sz val="12"/>
      <color indexed="36"/>
      <name val="Courier New"/>
      <family val="3"/>
    </font>
    <font>
      <u val="single"/>
      <sz val="12"/>
      <color indexed="12"/>
      <name val="Courier New"/>
      <family val="3"/>
    </font>
    <font>
      <sz val="8"/>
      <name val="Courier New"/>
      <family val="3"/>
    </font>
    <font>
      <b/>
      <sz val="8"/>
      <name val="Times New Roman"/>
      <family val="1"/>
    </font>
    <font>
      <sz val="8"/>
      <name val="Courier"/>
      <family val="3"/>
    </font>
    <font>
      <b/>
      <u val="single"/>
      <sz val="12"/>
      <name val="Times New Roman"/>
      <family val="1"/>
    </font>
    <font>
      <b/>
      <u val="single"/>
      <sz val="12"/>
      <color indexed="10"/>
      <name val="Times New Roman"/>
      <family val="1"/>
    </font>
    <font>
      <b/>
      <u val="single"/>
      <sz val="12"/>
      <name val="Courier"/>
      <family val="3"/>
    </font>
    <font>
      <sz val="10"/>
      <name val="Courier"/>
      <family val="3"/>
    </font>
    <font>
      <sz val="12"/>
      <color indexed="10"/>
      <name val="Times New Roman"/>
      <family val="1"/>
    </font>
    <font>
      <sz val="12"/>
      <color indexed="10"/>
      <name val="Courier"/>
      <family val="3"/>
    </font>
    <font>
      <b/>
      <sz val="12"/>
      <color indexed="10"/>
      <name val="Times New Roman"/>
      <family val="1"/>
    </font>
    <font>
      <u val="single"/>
      <sz val="12"/>
      <color indexed="12"/>
      <name val="Courier"/>
      <family val="3"/>
    </font>
    <font>
      <b/>
      <u val="single"/>
      <sz val="10"/>
      <name val="Times New Roman"/>
      <family val="1"/>
    </font>
    <font>
      <b/>
      <u val="single"/>
      <sz val="10"/>
      <name val="Courier"/>
      <family val="3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Times New Roman"/>
      <family val="1"/>
    </font>
    <font>
      <b/>
      <u val="single"/>
      <sz val="12"/>
      <color rgb="FFFF0000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>
        <color indexed="63"/>
      </bottom>
    </border>
  </borders>
  <cellStyleXfs count="4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41">
    <xf numFmtId="0" fontId="0" fillId="0" borderId="0" xfId="0" applyAlignment="1">
      <alignment/>
    </xf>
    <xf numFmtId="0" fontId="10" fillId="0" borderId="0" xfId="452">
      <alignment/>
      <protection/>
    </xf>
    <xf numFmtId="0" fontId="7" fillId="0" borderId="0" xfId="452" applyFont="1">
      <alignment/>
      <protection/>
    </xf>
    <xf numFmtId="0" fontId="7" fillId="0" borderId="0" xfId="452" applyFont="1" applyAlignment="1">
      <alignment horizontal="left" indent="1"/>
      <protection/>
    </xf>
    <xf numFmtId="0" fontId="14" fillId="0" borderId="0" xfId="452" applyFont="1">
      <alignment/>
      <protection/>
    </xf>
    <xf numFmtId="0" fontId="7" fillId="0" borderId="0" xfId="452" applyFont="1" applyAlignment="1">
      <alignment horizontal="center"/>
      <protection/>
    </xf>
    <xf numFmtId="0" fontId="4" fillId="0" borderId="0" xfId="0" applyFont="1" applyAlignment="1" applyProtection="1">
      <alignment vertical="center"/>
      <protection locked="0"/>
    </xf>
    <xf numFmtId="0" fontId="4" fillId="33" borderId="0" xfId="0" applyFont="1" applyFill="1" applyAlignment="1" applyProtection="1">
      <alignment horizontal="left"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5" fillId="33" borderId="0" xfId="0" applyFont="1" applyFill="1" applyAlignment="1" applyProtection="1">
      <alignment horizontal="left" vertical="center"/>
      <protection/>
    </xf>
    <xf numFmtId="0" fontId="4" fillId="34" borderId="10" xfId="0" applyFont="1" applyFill="1" applyBorder="1" applyAlignment="1" applyProtection="1">
      <alignment horizontal="left" vertical="center"/>
      <protection locked="0"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34" borderId="11" xfId="0" applyFont="1" applyFill="1" applyBorder="1" applyAlignment="1" applyProtection="1">
      <alignment horizontal="left" vertical="center"/>
      <protection locked="0"/>
    </xf>
    <xf numFmtId="0" fontId="4" fillId="33" borderId="0" xfId="0" applyFont="1" applyFill="1" applyBorder="1" applyAlignment="1" applyProtection="1">
      <alignment horizontal="left" vertical="center"/>
      <protection locked="0"/>
    </xf>
    <xf numFmtId="0" fontId="5" fillId="34" borderId="12" xfId="0" applyFont="1" applyFill="1" applyBorder="1" applyAlignment="1" applyProtection="1">
      <alignment horizontal="center" vertical="center"/>
      <protection locked="0"/>
    </xf>
    <xf numFmtId="37" fontId="5" fillId="33" borderId="0" xfId="0" applyNumberFormat="1" applyFont="1" applyFill="1" applyAlignment="1" applyProtection="1">
      <alignment horizontal="centerContinuous" vertical="center"/>
      <protection/>
    </xf>
    <xf numFmtId="0" fontId="4" fillId="33" borderId="0" xfId="0" applyFont="1" applyFill="1" applyAlignment="1" applyProtection="1">
      <alignment horizontal="centerContinuous" vertical="center"/>
      <protection/>
    </xf>
    <xf numFmtId="0" fontId="5" fillId="33" borderId="0" xfId="0" applyFont="1" applyFill="1" applyAlignment="1" applyProtection="1">
      <alignment vertical="center"/>
      <protection/>
    </xf>
    <xf numFmtId="0" fontId="5" fillId="35" borderId="0" xfId="0" applyFont="1" applyFill="1" applyAlignment="1" applyProtection="1">
      <alignment vertical="center"/>
      <protection/>
    </xf>
    <xf numFmtId="0" fontId="4" fillId="35" borderId="0" xfId="0" applyFont="1" applyFill="1" applyAlignment="1" applyProtection="1">
      <alignment vertical="center"/>
      <protection/>
    </xf>
    <xf numFmtId="37" fontId="5" fillId="36" borderId="0" xfId="0" applyNumberFormat="1" applyFont="1" applyFill="1" applyAlignment="1" applyProtection="1">
      <alignment horizontal="left" vertical="center"/>
      <protection/>
    </xf>
    <xf numFmtId="0" fontId="4" fillId="36" borderId="0" xfId="0" applyFont="1" applyFill="1" applyAlignment="1" applyProtection="1">
      <alignment vertical="center"/>
      <protection/>
    </xf>
    <xf numFmtId="0" fontId="4" fillId="33" borderId="0" xfId="0" applyFont="1" applyFill="1" applyAlignment="1" applyProtection="1">
      <alignment horizontal="center" vertical="center"/>
      <protection/>
    </xf>
    <xf numFmtId="0" fontId="6" fillId="35" borderId="13" xfId="0" applyFont="1" applyFill="1" applyBorder="1" applyAlignment="1" applyProtection="1">
      <alignment horizontal="center" vertical="center"/>
      <protection/>
    </xf>
    <xf numFmtId="0" fontId="4" fillId="35" borderId="14" xfId="0" applyFont="1" applyFill="1" applyBorder="1" applyAlignment="1" applyProtection="1">
      <alignment horizontal="center" vertical="center"/>
      <protection/>
    </xf>
    <xf numFmtId="0" fontId="4" fillId="33" borderId="12" xfId="0" applyFont="1" applyFill="1" applyBorder="1" applyAlignment="1" applyProtection="1">
      <alignment horizontal="left" vertical="center"/>
      <protection/>
    </xf>
    <xf numFmtId="0" fontId="4" fillId="34" borderId="12" xfId="0" applyFont="1" applyFill="1" applyBorder="1" applyAlignment="1" applyProtection="1">
      <alignment vertical="center"/>
      <protection locked="0"/>
    </xf>
    <xf numFmtId="3" fontId="4" fillId="34" borderId="12" xfId="0" applyNumberFormat="1" applyFont="1" applyFill="1" applyBorder="1" applyAlignment="1" applyProtection="1">
      <alignment vertical="center"/>
      <protection locked="0"/>
    </xf>
    <xf numFmtId="0" fontId="4" fillId="33" borderId="12" xfId="0" applyFont="1" applyFill="1" applyBorder="1" applyAlignment="1" applyProtection="1">
      <alignment vertical="center"/>
      <protection/>
    </xf>
    <xf numFmtId="3" fontId="4" fillId="33" borderId="0" xfId="0" applyNumberFormat="1" applyFont="1" applyFill="1" applyAlignment="1" applyProtection="1">
      <alignment vertical="center"/>
      <protection/>
    </xf>
    <xf numFmtId="164" fontId="4" fillId="33" borderId="0" xfId="0" applyNumberFormat="1" applyFont="1" applyFill="1" applyAlignment="1" applyProtection="1">
      <alignment vertical="center"/>
      <protection/>
    </xf>
    <xf numFmtId="0" fontId="4" fillId="33" borderId="10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3" fontId="4" fillId="33" borderId="11" xfId="0" applyNumberFormat="1" applyFont="1" applyFill="1" applyBorder="1" applyAlignment="1" applyProtection="1">
      <alignment vertical="center"/>
      <protection/>
    </xf>
    <xf numFmtId="3" fontId="4" fillId="37" borderId="12" xfId="0" applyNumberFormat="1" applyFont="1" applyFill="1" applyBorder="1" applyAlignment="1" applyProtection="1">
      <alignment vertical="center"/>
      <protection/>
    </xf>
    <xf numFmtId="37" fontId="4" fillId="33" borderId="0" xfId="0" applyNumberFormat="1" applyFont="1" applyFill="1" applyAlignment="1" applyProtection="1">
      <alignment horizontal="left"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3" fontId="4" fillId="33" borderId="12" xfId="0" applyNumberFormat="1" applyFont="1" applyFill="1" applyBorder="1" applyAlignment="1" applyProtection="1">
      <alignment vertical="center"/>
      <protection/>
    </xf>
    <xf numFmtId="0" fontId="4" fillId="34" borderId="12" xfId="0" applyFont="1" applyFill="1" applyBorder="1" applyAlignment="1" applyProtection="1">
      <alignment vertical="center"/>
      <protection locked="0"/>
    </xf>
    <xf numFmtId="164" fontId="4" fillId="34" borderId="12" xfId="0" applyNumberFormat="1" applyFont="1" applyFill="1" applyBorder="1" applyAlignment="1" applyProtection="1">
      <alignment vertical="center"/>
      <protection locked="0"/>
    </xf>
    <xf numFmtId="164" fontId="4" fillId="37" borderId="16" xfId="0" applyNumberFormat="1" applyFont="1" applyFill="1" applyBorder="1" applyAlignment="1" applyProtection="1">
      <alignment vertical="center"/>
      <protection/>
    </xf>
    <xf numFmtId="37" fontId="4" fillId="35" borderId="0" xfId="0" applyNumberFormat="1" applyFont="1" applyFill="1" applyAlignment="1" applyProtection="1">
      <alignment horizontal="left" vertical="center"/>
      <protection/>
    </xf>
    <xf numFmtId="3" fontId="4" fillId="34" borderId="10" xfId="0" applyNumberFormat="1" applyFont="1" applyFill="1" applyBorder="1" applyAlignment="1" applyProtection="1">
      <alignment vertical="center"/>
      <protection locked="0"/>
    </xf>
    <xf numFmtId="3" fontId="4" fillId="34" borderId="11" xfId="0" applyNumberFormat="1" applyFont="1" applyFill="1" applyBorder="1" applyAlignment="1" applyProtection="1">
      <alignment vertical="center"/>
      <protection locked="0"/>
    </xf>
    <xf numFmtId="0" fontId="4" fillId="33" borderId="0" xfId="0" applyFont="1" applyFill="1" applyAlignment="1" applyProtection="1">
      <alignment vertical="center"/>
      <protection locked="0"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4" fillId="35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 locked="0"/>
    </xf>
    <xf numFmtId="3" fontId="4" fillId="34" borderId="12" xfId="0" applyNumberFormat="1" applyFont="1" applyFill="1" applyBorder="1" applyAlignment="1" applyProtection="1">
      <alignment vertical="center"/>
      <protection locked="0"/>
    </xf>
    <xf numFmtId="0" fontId="4" fillId="35" borderId="11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 locked="0"/>
    </xf>
    <xf numFmtId="0" fontId="4" fillId="33" borderId="11" xfId="0" applyFont="1" applyFill="1" applyBorder="1" applyAlignment="1" applyProtection="1">
      <alignment vertical="center"/>
      <protection locked="0"/>
    </xf>
    <xf numFmtId="0" fontId="4" fillId="33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5" fillId="38" borderId="0" xfId="0" applyFont="1" applyFill="1" applyAlignment="1" applyProtection="1">
      <alignment horizontal="left" vertical="center"/>
      <protection/>
    </xf>
    <xf numFmtId="0" fontId="4" fillId="38" borderId="0" xfId="0" applyFont="1" applyFill="1" applyAlignment="1" applyProtection="1">
      <alignment vertical="center"/>
      <protection/>
    </xf>
    <xf numFmtId="37" fontId="4" fillId="33" borderId="10" xfId="0" applyNumberFormat="1" applyFont="1" applyFill="1" applyBorder="1" applyAlignment="1" applyProtection="1">
      <alignment horizontal="left" vertical="center"/>
      <protection/>
    </xf>
    <xf numFmtId="37" fontId="4" fillId="33" borderId="11" xfId="0" applyNumberFormat="1" applyFont="1" applyFill="1" applyBorder="1" applyAlignment="1" applyProtection="1">
      <alignment horizontal="left" vertical="center"/>
      <protection/>
    </xf>
    <xf numFmtId="0" fontId="4" fillId="33" borderId="11" xfId="0" applyFont="1" applyFill="1" applyBorder="1" applyAlignment="1" applyProtection="1">
      <alignment vertical="center"/>
      <protection/>
    </xf>
    <xf numFmtId="37" fontId="4" fillId="34" borderId="11" xfId="0" applyNumberFormat="1" applyFont="1" applyFill="1" applyBorder="1" applyAlignment="1" applyProtection="1">
      <alignment vertical="center"/>
      <protection locked="0"/>
    </xf>
    <xf numFmtId="0" fontId="4" fillId="33" borderId="0" xfId="0" applyFont="1" applyFill="1" applyBorder="1" applyAlignment="1" applyProtection="1">
      <alignment vertical="center"/>
      <protection/>
    </xf>
    <xf numFmtId="37" fontId="4" fillId="33" borderId="0" xfId="0" applyNumberFormat="1" applyFont="1" applyFill="1" applyBorder="1" applyAlignment="1" applyProtection="1">
      <alignment vertical="center"/>
      <protection locked="0"/>
    </xf>
    <xf numFmtId="37" fontId="5" fillId="33" borderId="0" xfId="0" applyNumberFormat="1" applyFont="1" applyFill="1" applyBorder="1" applyAlignment="1" applyProtection="1">
      <alignment horizontal="left" vertical="center"/>
      <protection/>
    </xf>
    <xf numFmtId="3" fontId="4" fillId="33" borderId="0" xfId="0" applyNumberFormat="1" applyFont="1" applyFill="1" applyBorder="1" applyAlignment="1" applyProtection="1">
      <alignment vertical="center"/>
      <protection locked="0"/>
    </xf>
    <xf numFmtId="0" fontId="16" fillId="33" borderId="0" xfId="0" applyFont="1" applyFill="1" applyBorder="1" applyAlignment="1" applyProtection="1">
      <alignment horizontal="center" vertical="center"/>
      <protection/>
    </xf>
    <xf numFmtId="182" fontId="4" fillId="34" borderId="10" xfId="0" applyNumberFormat="1" applyFont="1" applyFill="1" applyBorder="1" applyAlignment="1" applyProtection="1">
      <alignment vertical="center"/>
      <protection locked="0"/>
    </xf>
    <xf numFmtId="182" fontId="4" fillId="34" borderId="11" xfId="0" applyNumberFormat="1" applyFont="1" applyFill="1" applyBorder="1" applyAlignment="1" applyProtection="1">
      <alignment vertical="center"/>
      <protection locked="0"/>
    </xf>
    <xf numFmtId="182" fontId="4" fillId="34" borderId="18" xfId="0" applyNumberFormat="1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/>
    </xf>
    <xf numFmtId="0" fontId="0" fillId="33" borderId="15" xfId="0" applyFill="1" applyBorder="1" applyAlignment="1" applyProtection="1">
      <alignment vertical="center"/>
      <protection/>
    </xf>
    <xf numFmtId="182" fontId="4" fillId="37" borderId="12" xfId="0" applyNumberFormat="1" applyFont="1" applyFill="1" applyBorder="1" applyAlignment="1" applyProtection="1">
      <alignment vertical="center"/>
      <protection/>
    </xf>
    <xf numFmtId="0" fontId="0" fillId="33" borderId="10" xfId="0" applyFill="1" applyBorder="1" applyAlignment="1" applyProtection="1">
      <alignment vertical="center"/>
      <protection/>
    </xf>
    <xf numFmtId="37" fontId="5" fillId="35" borderId="0" xfId="0" applyNumberFormat="1" applyFont="1" applyFill="1" applyAlignment="1" applyProtection="1">
      <alignment horizontal="left" vertical="center"/>
      <protection/>
    </xf>
    <xf numFmtId="3" fontId="4" fillId="35" borderId="0" xfId="0" applyNumberFormat="1" applyFont="1" applyFill="1" applyAlignment="1" applyProtection="1">
      <alignment vertical="center"/>
      <protection/>
    </xf>
    <xf numFmtId="3" fontId="4" fillId="33" borderId="15" xfId="0" applyNumberFormat="1" applyFont="1" applyFill="1" applyBorder="1" applyAlignment="1" applyProtection="1">
      <alignment vertical="center"/>
      <protection/>
    </xf>
    <xf numFmtId="3" fontId="4" fillId="33" borderId="17" xfId="0" applyNumberFormat="1" applyFont="1" applyFill="1" applyBorder="1" applyAlignment="1" applyProtection="1">
      <alignment vertical="center"/>
      <protection/>
    </xf>
    <xf numFmtId="37" fontId="5" fillId="33" borderId="0" xfId="0" applyNumberFormat="1" applyFont="1" applyFill="1" applyAlignment="1" applyProtection="1">
      <alignment horizontal="left" vertical="center"/>
      <protection/>
    </xf>
    <xf numFmtId="37" fontId="4" fillId="33" borderId="0" xfId="0" applyNumberFormat="1" applyFont="1" applyFill="1" applyBorder="1" applyAlignment="1" applyProtection="1">
      <alignment horizontal="left" vertical="center"/>
      <protection/>
    </xf>
    <xf numFmtId="182" fontId="4" fillId="34" borderId="12" xfId="0" applyNumberFormat="1" applyFont="1" applyFill="1" applyBorder="1" applyAlignment="1" applyProtection="1">
      <alignment vertical="center"/>
      <protection locked="0"/>
    </xf>
    <xf numFmtId="37" fontId="4" fillId="39" borderId="0" xfId="0" applyNumberFormat="1" applyFont="1" applyFill="1" applyBorder="1" applyAlignment="1" applyProtection="1">
      <alignment horizontal="left" vertical="center"/>
      <protection/>
    </xf>
    <xf numFmtId="0" fontId="4" fillId="39" borderId="0" xfId="0" applyFont="1" applyFill="1" applyBorder="1" applyAlignment="1" applyProtection="1">
      <alignment vertical="center"/>
      <protection/>
    </xf>
    <xf numFmtId="181" fontId="4" fillId="39" borderId="0" xfId="0" applyNumberFormat="1" applyFont="1" applyFill="1" applyBorder="1" applyAlignment="1" applyProtection="1">
      <alignment vertical="center"/>
      <protection locked="0"/>
    </xf>
    <xf numFmtId="0" fontId="4" fillId="38" borderId="13" xfId="0" applyFont="1" applyFill="1" applyBorder="1" applyAlignment="1">
      <alignment horizontal="center" vertical="center"/>
    </xf>
    <xf numFmtId="0" fontId="4" fillId="38" borderId="14" xfId="0" applyFont="1" applyFill="1" applyBorder="1" applyAlignment="1">
      <alignment horizontal="center" vertical="center"/>
    </xf>
    <xf numFmtId="0" fontId="20" fillId="33" borderId="0" xfId="0" applyFont="1" applyFill="1" applyAlignment="1">
      <alignment vertical="center"/>
    </xf>
    <xf numFmtId="0" fontId="21" fillId="33" borderId="0" xfId="0" applyFont="1" applyFill="1" applyAlignment="1">
      <alignment vertical="center"/>
    </xf>
    <xf numFmtId="37" fontId="4" fillId="33" borderId="12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5" fillId="33" borderId="0" xfId="0" applyFont="1" applyFill="1" applyAlignment="1" applyProtection="1">
      <alignment horizontal="center" vertical="center"/>
      <protection/>
    </xf>
    <xf numFmtId="37" fontId="4" fillId="33" borderId="0" xfId="0" applyNumberFormat="1" applyFont="1" applyFill="1" applyAlignment="1" applyProtection="1">
      <alignment horizontal="centerContinuous"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 horizontal="fill" vertical="center"/>
      <protection/>
    </xf>
    <xf numFmtId="0" fontId="4" fillId="33" borderId="0" xfId="0" applyFont="1" applyFill="1" applyBorder="1" applyAlignment="1" applyProtection="1">
      <alignment horizontal="fill" vertical="center"/>
      <protection/>
    </xf>
    <xf numFmtId="0" fontId="4" fillId="33" borderId="19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horizontal="center" vertical="center"/>
      <protection/>
    </xf>
    <xf numFmtId="0" fontId="4" fillId="33" borderId="20" xfId="0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 horizontal="center" vertical="center"/>
    </xf>
    <xf numFmtId="0" fontId="4" fillId="33" borderId="19" xfId="0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fill" vertical="center"/>
      <protection/>
    </xf>
    <xf numFmtId="0" fontId="4" fillId="33" borderId="14" xfId="0" applyFont="1" applyFill="1" applyBorder="1" applyAlignment="1" applyProtection="1">
      <alignment horizontal="fill" vertical="center"/>
      <protection/>
    </xf>
    <xf numFmtId="0" fontId="4" fillId="33" borderId="15" xfId="0" applyFont="1" applyFill="1" applyBorder="1" applyAlignment="1" applyProtection="1">
      <alignment horizontal="fill" vertical="center" wrapText="1"/>
      <protection/>
    </xf>
    <xf numFmtId="0" fontId="4" fillId="33" borderId="15" xfId="0" applyFont="1" applyFill="1" applyBorder="1" applyAlignment="1" applyProtection="1">
      <alignment horizontal="fill" vertical="center"/>
      <protection/>
    </xf>
    <xf numFmtId="0" fontId="4" fillId="33" borderId="21" xfId="0" applyFont="1" applyFill="1" applyBorder="1" applyAlignment="1" applyProtection="1">
      <alignment horizontal="fill" vertical="center"/>
      <protection/>
    </xf>
    <xf numFmtId="0" fontId="4" fillId="33" borderId="12" xfId="0" applyFont="1" applyFill="1" applyBorder="1" applyAlignment="1" applyProtection="1">
      <alignment horizontal="center" vertical="center"/>
      <protection/>
    </xf>
    <xf numFmtId="0" fontId="4" fillId="33" borderId="20" xfId="0" applyFont="1" applyFill="1" applyBorder="1" applyAlignment="1" applyProtection="1">
      <alignment horizontal="fill" vertical="center"/>
      <protection/>
    </xf>
    <xf numFmtId="37" fontId="4" fillId="33" borderId="21" xfId="0" applyNumberFormat="1" applyFont="1" applyFill="1" applyBorder="1" applyAlignment="1" applyProtection="1">
      <alignment horizontal="left" vertical="center"/>
      <protection/>
    </xf>
    <xf numFmtId="0" fontId="4" fillId="33" borderId="14" xfId="0" applyFont="1" applyFill="1" applyBorder="1" applyAlignment="1" applyProtection="1">
      <alignment horizontal="center" vertical="center"/>
      <protection/>
    </xf>
    <xf numFmtId="0" fontId="16" fillId="33" borderId="21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6" fillId="33" borderId="12" xfId="0" applyFont="1" applyFill="1" applyBorder="1" applyAlignment="1" applyProtection="1">
      <alignment horizontal="center"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3" fontId="4" fillId="33" borderId="12" xfId="0" applyNumberFormat="1" applyFont="1" applyFill="1" applyBorder="1" applyAlignment="1" applyProtection="1">
      <alignment horizontal="center" vertical="center"/>
      <protection/>
    </xf>
    <xf numFmtId="3" fontId="4" fillId="33" borderId="14" xfId="0" applyNumberFormat="1" applyFont="1" applyFill="1" applyBorder="1" applyAlignment="1" applyProtection="1">
      <alignment vertical="center"/>
      <protection/>
    </xf>
    <xf numFmtId="164" fontId="4" fillId="33" borderId="12" xfId="0" applyNumberFormat="1" applyFont="1" applyFill="1" applyBorder="1" applyAlignment="1" applyProtection="1">
      <alignment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horizontal="center" vertical="center"/>
      <protection/>
    </xf>
    <xf numFmtId="37" fontId="4" fillId="33" borderId="12" xfId="0" applyNumberFormat="1" applyFont="1" applyFill="1" applyBorder="1" applyAlignment="1" applyProtection="1">
      <alignment vertical="center"/>
      <protection/>
    </xf>
    <xf numFmtId="0" fontId="4" fillId="33" borderId="23" xfId="0" applyFont="1" applyFill="1" applyBorder="1" applyAlignment="1" applyProtection="1">
      <alignment vertical="center"/>
      <protection/>
    </xf>
    <xf numFmtId="0" fontId="4" fillId="33" borderId="18" xfId="0" applyFont="1" applyFill="1" applyBorder="1" applyAlignment="1" applyProtection="1">
      <alignment vertical="center"/>
      <protection/>
    </xf>
    <xf numFmtId="3" fontId="4" fillId="33" borderId="13" xfId="0" applyNumberFormat="1" applyFont="1" applyFill="1" applyBorder="1" applyAlignment="1" applyProtection="1">
      <alignment vertical="center"/>
      <protection/>
    </xf>
    <xf numFmtId="37" fontId="4" fillId="33" borderId="13" xfId="0" applyNumberFormat="1" applyFont="1" applyFill="1" applyBorder="1" applyAlignment="1" applyProtection="1">
      <alignment vertical="center"/>
      <protection/>
    </xf>
    <xf numFmtId="164" fontId="4" fillId="33" borderId="13" xfId="0" applyNumberFormat="1" applyFont="1" applyFill="1" applyBorder="1" applyAlignment="1" applyProtection="1">
      <alignment vertical="center"/>
      <protection/>
    </xf>
    <xf numFmtId="0" fontId="5" fillId="33" borderId="21" xfId="0" applyFont="1" applyFill="1" applyBorder="1" applyAlignment="1" applyProtection="1">
      <alignment horizontal="left" vertical="center"/>
      <protection/>
    </xf>
    <xf numFmtId="0" fontId="4" fillId="33" borderId="12" xfId="0" applyFont="1" applyFill="1" applyBorder="1" applyAlignment="1" applyProtection="1">
      <alignment horizontal="fill" vertical="center"/>
      <protection/>
    </xf>
    <xf numFmtId="3" fontId="4" fillId="37" borderId="16" xfId="0" applyNumberFormat="1" applyFont="1" applyFill="1" applyBorder="1" applyAlignment="1" applyProtection="1">
      <alignment vertical="center"/>
      <protection/>
    </xf>
    <xf numFmtId="37" fontId="4" fillId="37" borderId="16" xfId="0" applyNumberFormat="1" applyFont="1" applyFill="1" applyBorder="1" applyAlignment="1" applyProtection="1">
      <alignment vertical="center"/>
      <protection/>
    </xf>
    <xf numFmtId="165" fontId="4" fillId="33" borderId="12" xfId="0" applyNumberFormat="1" applyFont="1" applyFill="1" applyBorder="1" applyAlignment="1" applyProtection="1">
      <alignment horizontal="center" vertical="center"/>
      <protection/>
    </xf>
    <xf numFmtId="0" fontId="8" fillId="33" borderId="0" xfId="0" applyFont="1" applyFill="1" applyAlignment="1" applyProtection="1">
      <alignment horizontal="center" vertical="center"/>
      <protection/>
    </xf>
    <xf numFmtId="0" fontId="0" fillId="33" borderId="11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4" fillId="40" borderId="12" xfId="0" applyFont="1" applyFill="1" applyBorder="1" applyAlignment="1">
      <alignment horizontal="center" vertical="center" shrinkToFit="1"/>
    </xf>
    <xf numFmtId="0" fontId="4" fillId="33" borderId="11" xfId="0" applyFont="1" applyFill="1" applyBorder="1" applyAlignment="1">
      <alignment vertical="center"/>
    </xf>
    <xf numFmtId="165" fontId="4" fillId="33" borderId="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Alignment="1" applyProtection="1">
      <alignment horizontal="right" vertical="center"/>
      <protection/>
    </xf>
    <xf numFmtId="171" fontId="4" fillId="33" borderId="0" xfId="42" applyNumberFormat="1" applyFont="1" applyFill="1" applyBorder="1" applyAlignment="1" applyProtection="1">
      <alignment vertical="center"/>
      <protection locked="0"/>
    </xf>
    <xf numFmtId="171" fontId="4" fillId="34" borderId="12" xfId="42" applyNumberFormat="1" applyFont="1" applyFill="1" applyBorder="1" applyAlignment="1" applyProtection="1">
      <alignment vertical="center"/>
      <protection locked="0"/>
    </xf>
    <xf numFmtId="0" fontId="4" fillId="33" borderId="0" xfId="0" applyFont="1" applyFill="1" applyBorder="1" applyAlignment="1" applyProtection="1">
      <alignment horizontal="right" vertical="center"/>
      <protection/>
    </xf>
    <xf numFmtId="0" fontId="0" fillId="33" borderId="0" xfId="0" applyFill="1" applyAlignment="1">
      <alignment horizontal="center" vertical="center" wrapText="1"/>
    </xf>
    <xf numFmtId="0" fontId="4" fillId="33" borderId="0" xfId="0" applyFont="1" applyFill="1" applyBorder="1" applyAlignment="1" applyProtection="1">
      <alignment vertical="center"/>
      <protection locked="0"/>
    </xf>
    <xf numFmtId="0" fontId="4" fillId="33" borderId="10" xfId="0" applyFont="1" applyFill="1" applyBorder="1" applyAlignment="1" applyProtection="1">
      <alignment horizontal="fill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vertical="center"/>
      <protection/>
    </xf>
    <xf numFmtId="0" fontId="5" fillId="33" borderId="0" xfId="0" applyFont="1" applyFill="1" applyAlignment="1" applyProtection="1">
      <alignment horizontal="center" vertical="center" wrapText="1"/>
      <protection/>
    </xf>
    <xf numFmtId="0" fontId="4" fillId="33" borderId="0" xfId="0" applyFont="1" applyFill="1" applyAlignment="1" applyProtection="1" quotePrefix="1">
      <alignment vertical="center"/>
      <protection/>
    </xf>
    <xf numFmtId="3" fontId="4" fillId="33" borderId="0" xfId="0" applyNumberFormat="1" applyFont="1" applyFill="1" applyAlignment="1" applyProtection="1" quotePrefix="1">
      <alignment vertical="center"/>
      <protection/>
    </xf>
    <xf numFmtId="3" fontId="4" fillId="37" borderId="11" xfId="0" applyNumberFormat="1" applyFont="1" applyFill="1" applyBorder="1" applyAlignment="1" applyProtection="1">
      <alignment vertical="center"/>
      <protection/>
    </xf>
    <xf numFmtId="3" fontId="4" fillId="33" borderId="10" xfId="0" applyNumberFormat="1" applyFont="1" applyFill="1" applyBorder="1" applyAlignment="1" applyProtection="1">
      <alignment vertical="center"/>
      <protection/>
    </xf>
    <xf numFmtId="3" fontId="4" fillId="33" borderId="0" xfId="0" applyNumberFormat="1" applyFont="1" applyFill="1" applyBorder="1" applyAlignment="1" applyProtection="1">
      <alignment vertical="center"/>
      <protection/>
    </xf>
    <xf numFmtId="3" fontId="4" fillId="33" borderId="18" xfId="0" applyNumberFormat="1" applyFont="1" applyFill="1" applyBorder="1" applyAlignment="1" applyProtection="1">
      <alignment vertical="center"/>
      <protection/>
    </xf>
    <xf numFmtId="169" fontId="4" fillId="33" borderId="1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 quotePrefix="1">
      <alignment vertical="center"/>
      <protection/>
    </xf>
    <xf numFmtId="3" fontId="4" fillId="33" borderId="24" xfId="0" applyNumberFormat="1" applyFont="1" applyFill="1" applyBorder="1" applyAlignment="1" applyProtection="1">
      <alignment vertical="center"/>
      <protection/>
    </xf>
    <xf numFmtId="0" fontId="4" fillId="33" borderId="10" xfId="42" applyNumberFormat="1" applyFont="1" applyFill="1" applyBorder="1" applyAlignment="1" applyProtection="1">
      <alignment vertical="center"/>
      <protection/>
    </xf>
    <xf numFmtId="37" fontId="4" fillId="33" borderId="0" xfId="0" applyNumberFormat="1" applyFont="1" applyFill="1" applyAlignment="1" applyProtection="1">
      <alignment horizontal="right" vertical="center"/>
      <protection/>
    </xf>
    <xf numFmtId="37" fontId="4" fillId="33" borderId="0" xfId="0" applyNumberFormat="1" applyFont="1" applyFill="1" applyAlignment="1" applyProtection="1">
      <alignment vertical="center"/>
      <protection/>
    </xf>
    <xf numFmtId="37" fontId="5" fillId="33" borderId="0" xfId="0" applyNumberFormat="1" applyFont="1" applyFill="1" applyBorder="1" applyAlignment="1" applyProtection="1">
      <alignment horizontal="center" vertical="center"/>
      <protection/>
    </xf>
    <xf numFmtId="37" fontId="4" fillId="33" borderId="10" xfId="0" applyNumberFormat="1" applyFont="1" applyFill="1" applyBorder="1" applyAlignment="1" applyProtection="1">
      <alignment vertical="center"/>
      <protection/>
    </xf>
    <xf numFmtId="166" fontId="4" fillId="37" borderId="10" xfId="0" applyNumberFormat="1" applyFont="1" applyFill="1" applyBorder="1" applyAlignment="1" applyProtection="1">
      <alignment vertical="center"/>
      <protection/>
    </xf>
    <xf numFmtId="166" fontId="4" fillId="33" borderId="0" xfId="0" applyNumberFormat="1" applyFont="1" applyFill="1" applyBorder="1" applyAlignment="1" applyProtection="1">
      <alignment vertical="center"/>
      <protection/>
    </xf>
    <xf numFmtId="168" fontId="4" fillId="37" borderId="10" xfId="0" applyNumberFormat="1" applyFont="1" applyFill="1" applyBorder="1" applyAlignment="1" applyProtection="1">
      <alignment vertical="center"/>
      <protection/>
    </xf>
    <xf numFmtId="168" fontId="4" fillId="33" borderId="0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 locked="0"/>
    </xf>
    <xf numFmtId="0" fontId="5" fillId="33" borderId="14" xfId="0" applyFont="1" applyFill="1" applyBorder="1" applyAlignment="1" applyProtection="1">
      <alignment horizontal="center" vertical="center"/>
      <protection/>
    </xf>
    <xf numFmtId="0" fontId="4" fillId="33" borderId="0" xfId="0" applyNumberFormat="1" applyFont="1" applyFill="1" applyAlignment="1" applyProtection="1">
      <alignment horizontal="right" vertical="center"/>
      <protection/>
    </xf>
    <xf numFmtId="37" fontId="4" fillId="34" borderId="12" xfId="0" applyNumberFormat="1" applyFont="1" applyFill="1" applyBorder="1" applyAlignment="1" applyProtection="1">
      <alignment vertical="center"/>
      <protection locked="0"/>
    </xf>
    <xf numFmtId="37" fontId="4" fillId="37" borderId="12" xfId="0" applyNumberFormat="1" applyFont="1" applyFill="1" applyBorder="1" applyAlignment="1" applyProtection="1">
      <alignment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165" fontId="4" fillId="33" borderId="0" xfId="0" applyNumberFormat="1" applyFont="1" applyFill="1" applyAlignment="1" applyProtection="1">
      <alignment vertical="center"/>
      <protection/>
    </xf>
    <xf numFmtId="165" fontId="4" fillId="33" borderId="0" xfId="0" applyNumberFormat="1" applyFont="1" applyFill="1" applyAlignment="1" applyProtection="1" quotePrefix="1">
      <alignment horizontal="right" vertical="center"/>
      <protection/>
    </xf>
    <xf numFmtId="37" fontId="4" fillId="33" borderId="13" xfId="0" applyNumberFormat="1" applyFont="1" applyFill="1" applyBorder="1" applyAlignment="1" applyProtection="1">
      <alignment horizontal="center" vertical="center"/>
      <protection/>
    </xf>
    <xf numFmtId="0" fontId="4" fillId="33" borderId="14" xfId="0" applyNumberFormat="1" applyFont="1" applyFill="1" applyBorder="1" applyAlignment="1" applyProtection="1">
      <alignment horizontal="center" vertical="center"/>
      <protection/>
    </xf>
    <xf numFmtId="0" fontId="4" fillId="33" borderId="22" xfId="0" applyFont="1" applyFill="1" applyBorder="1" applyAlignment="1" applyProtection="1">
      <alignment horizontal="left" vertical="center"/>
      <protection/>
    </xf>
    <xf numFmtId="37" fontId="4" fillId="33" borderId="21" xfId="0" applyNumberFormat="1" applyFont="1" applyFill="1" applyBorder="1" applyAlignment="1" applyProtection="1">
      <alignment vertical="center"/>
      <protection/>
    </xf>
    <xf numFmtId="37" fontId="4" fillId="34" borderId="21" xfId="0" applyNumberFormat="1" applyFont="1" applyFill="1" applyBorder="1" applyAlignment="1" applyProtection="1">
      <alignment vertical="center"/>
      <protection locked="0"/>
    </xf>
    <xf numFmtId="0" fontId="4" fillId="34" borderId="21" xfId="0" applyFont="1" applyFill="1" applyBorder="1" applyAlignment="1" applyProtection="1">
      <alignment horizontal="left" vertical="center"/>
      <protection locked="0"/>
    </xf>
    <xf numFmtId="37" fontId="4" fillId="33" borderId="21" xfId="0" applyNumberFormat="1" applyFont="1" applyFill="1" applyBorder="1" applyAlignment="1" applyProtection="1">
      <alignment horizontal="left" vertical="center"/>
      <protection locked="0"/>
    </xf>
    <xf numFmtId="37" fontId="5" fillId="33" borderId="21" xfId="0" applyNumberFormat="1" applyFont="1" applyFill="1" applyBorder="1" applyAlignment="1" applyProtection="1">
      <alignment horizontal="left" vertical="center"/>
      <protection/>
    </xf>
    <xf numFmtId="3" fontId="5" fillId="37" borderId="12" xfId="0" applyNumberFormat="1" applyFont="1" applyFill="1" applyBorder="1" applyAlignment="1" applyProtection="1">
      <alignment vertical="center"/>
      <protection/>
    </xf>
    <xf numFmtId="0" fontId="20" fillId="0" borderId="0" xfId="0" applyFont="1" applyAlignment="1">
      <alignment vertical="center"/>
    </xf>
    <xf numFmtId="37" fontId="4" fillId="33" borderId="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Alignment="1" applyProtection="1">
      <alignment horizontal="left" vertical="center"/>
      <protection locked="0"/>
    </xf>
    <xf numFmtId="0" fontId="4" fillId="33" borderId="10" xfId="0" applyFont="1" applyFill="1" applyBorder="1" applyAlignment="1">
      <alignment vertical="center"/>
    </xf>
    <xf numFmtId="0" fontId="4" fillId="33" borderId="0" xfId="0" applyFont="1" applyFill="1" applyAlignment="1" applyProtection="1">
      <alignment horizontal="centerContinuous" vertical="center"/>
      <protection locked="0"/>
    </xf>
    <xf numFmtId="0" fontId="4" fillId="33" borderId="21" xfId="0" applyFont="1" applyFill="1" applyBorder="1" applyAlignment="1" applyProtection="1">
      <alignment horizontal="centerContinuous" vertical="center"/>
      <protection/>
    </xf>
    <xf numFmtId="0" fontId="4" fillId="33" borderId="17" xfId="0" applyFont="1" applyFill="1" applyBorder="1" applyAlignment="1" applyProtection="1">
      <alignment horizontal="centerContinuous" vertical="center"/>
      <protection/>
    </xf>
    <xf numFmtId="0" fontId="4" fillId="33" borderId="12" xfId="0" applyFont="1" applyFill="1" applyBorder="1" applyAlignment="1" applyProtection="1">
      <alignment horizontal="centerContinuous" vertical="center"/>
      <protection/>
    </xf>
    <xf numFmtId="0" fontId="4" fillId="33" borderId="11" xfId="0" applyFont="1" applyFill="1" applyBorder="1" applyAlignment="1" applyProtection="1">
      <alignment horizontal="centerContinuous" vertical="center"/>
      <protection/>
    </xf>
    <xf numFmtId="0" fontId="4" fillId="33" borderId="19" xfId="0" applyFont="1" applyFill="1" applyBorder="1" applyAlignment="1" applyProtection="1">
      <alignment horizontal="center" vertical="center"/>
      <protection locked="0"/>
    </xf>
    <xf numFmtId="0" fontId="4" fillId="33" borderId="14" xfId="0" applyFont="1" applyFill="1" applyBorder="1" applyAlignment="1" applyProtection="1">
      <alignment horizontal="center" vertical="center"/>
      <protection locked="0"/>
    </xf>
    <xf numFmtId="164" fontId="4" fillId="33" borderId="0" xfId="0" applyNumberFormat="1" applyFont="1" applyFill="1" applyBorder="1" applyAlignment="1" applyProtection="1">
      <alignment vertical="center"/>
      <protection/>
    </xf>
    <xf numFmtId="164" fontId="4" fillId="33" borderId="19" xfId="0" applyNumberFormat="1" applyFont="1" applyFill="1" applyBorder="1" applyAlignment="1" applyProtection="1">
      <alignment vertical="center"/>
      <protection/>
    </xf>
    <xf numFmtId="37" fontId="4" fillId="37" borderId="14" xfId="0" applyNumberFormat="1" applyFont="1" applyFill="1" applyBorder="1" applyAlignment="1" applyProtection="1">
      <alignment vertical="center"/>
      <protection/>
    </xf>
    <xf numFmtId="37" fontId="4" fillId="33" borderId="15" xfId="0" applyNumberFormat="1" applyFont="1" applyFill="1" applyBorder="1" applyAlignment="1" applyProtection="1">
      <alignment vertical="center"/>
      <protection/>
    </xf>
    <xf numFmtId="37" fontId="4" fillId="37" borderId="12" xfId="0" applyNumberFormat="1" applyFont="1" applyFill="1" applyBorder="1" applyAlignment="1" applyProtection="1">
      <alignment horizontal="center" vertical="center"/>
      <protection/>
    </xf>
    <xf numFmtId="37" fontId="4" fillId="37" borderId="16" xfId="0" applyNumberFormat="1" applyFont="1" applyFill="1" applyBorder="1" applyAlignment="1" applyProtection="1">
      <alignment horizontal="center" vertical="center"/>
      <protection/>
    </xf>
    <xf numFmtId="165" fontId="4" fillId="33" borderId="0" xfId="0" applyNumberFormat="1" applyFont="1" applyFill="1" applyAlignment="1" applyProtection="1">
      <alignment vertical="center"/>
      <protection locked="0"/>
    </xf>
    <xf numFmtId="37" fontId="4" fillId="41" borderId="0" xfId="0" applyNumberFormat="1" applyFont="1" applyFill="1" applyAlignment="1" applyProtection="1">
      <alignment horizontal="centerContinuous" vertical="center"/>
      <protection/>
    </xf>
    <xf numFmtId="0" fontId="4" fillId="41" borderId="0" xfId="0" applyFont="1" applyFill="1" applyAlignment="1" applyProtection="1">
      <alignment horizontal="centerContinuous" vertical="center"/>
      <protection/>
    </xf>
    <xf numFmtId="3" fontId="4" fillId="42" borderId="10" xfId="0" applyNumberFormat="1" applyFont="1" applyFill="1" applyBorder="1" applyAlignment="1" applyProtection="1">
      <alignment vertical="center"/>
      <protection/>
    </xf>
    <xf numFmtId="3" fontId="4" fillId="34" borderId="21" xfId="0" applyNumberFormat="1" applyFont="1" applyFill="1" applyBorder="1" applyAlignment="1" applyProtection="1">
      <alignment vertical="center"/>
      <protection locked="0"/>
    </xf>
    <xf numFmtId="3" fontId="20" fillId="40" borderId="21" xfId="0" applyNumberFormat="1" applyFont="1" applyFill="1" applyBorder="1" applyAlignment="1" applyProtection="1">
      <alignment horizontal="center" vertical="center"/>
      <protection/>
    </xf>
    <xf numFmtId="3" fontId="5" fillId="37" borderId="21" xfId="0" applyNumberFormat="1" applyFont="1" applyFill="1" applyBorder="1" applyAlignment="1" applyProtection="1">
      <alignment vertical="center"/>
      <protection/>
    </xf>
    <xf numFmtId="3" fontId="4" fillId="37" borderId="21" xfId="0" applyNumberFormat="1" applyFont="1" applyFill="1" applyBorder="1" applyAlignment="1" applyProtection="1">
      <alignment vertical="center"/>
      <protection/>
    </xf>
    <xf numFmtId="1" fontId="4" fillId="33" borderId="23" xfId="0" applyNumberFormat="1" applyFont="1" applyFill="1" applyBorder="1" applyAlignment="1" applyProtection="1">
      <alignment horizontal="center" vertical="center"/>
      <protection/>
    </xf>
    <xf numFmtId="37" fontId="4" fillId="33" borderId="23" xfId="0" applyNumberFormat="1" applyFont="1" applyFill="1" applyBorder="1" applyAlignment="1" applyProtection="1">
      <alignment horizontal="center" vertical="center"/>
      <protection/>
    </xf>
    <xf numFmtId="0" fontId="4" fillId="33" borderId="22" xfId="0" applyNumberFormat="1" applyFont="1" applyFill="1" applyBorder="1" applyAlignment="1" applyProtection="1">
      <alignment horizontal="center" vertical="center"/>
      <protection/>
    </xf>
    <xf numFmtId="3" fontId="4" fillId="33" borderId="21" xfId="0" applyNumberFormat="1" applyFont="1" applyFill="1" applyBorder="1" applyAlignment="1" applyProtection="1">
      <alignment vertical="center"/>
      <protection/>
    </xf>
    <xf numFmtId="183" fontId="4" fillId="34" borderId="12" xfId="0" applyNumberFormat="1" applyFont="1" applyFill="1" applyBorder="1" applyAlignment="1" applyProtection="1">
      <alignment vertical="center"/>
      <protection locked="0"/>
    </xf>
    <xf numFmtId="3" fontId="4" fillId="37" borderId="13" xfId="0" applyNumberFormat="1" applyFont="1" applyFill="1" applyBorder="1" applyAlignment="1" applyProtection="1">
      <alignment vertical="center"/>
      <protection/>
    </xf>
    <xf numFmtId="37" fontId="4" fillId="37" borderId="13" xfId="0" applyNumberFormat="1" applyFont="1" applyFill="1" applyBorder="1" applyAlignment="1" applyProtection="1">
      <alignment vertical="center"/>
      <protection/>
    </xf>
    <xf numFmtId="0" fontId="4" fillId="41" borderId="0" xfId="0" applyFont="1" applyFill="1" applyBorder="1" applyAlignment="1">
      <alignment horizontal="center" vertical="center" shrinkToFit="1"/>
    </xf>
    <xf numFmtId="0" fontId="4" fillId="41" borderId="0" xfId="0" applyFont="1" applyFill="1" applyBorder="1" applyAlignment="1" applyProtection="1">
      <alignment horizontal="left" vertical="center"/>
      <protection locked="0"/>
    </xf>
    <xf numFmtId="0" fontId="20" fillId="40" borderId="21" xfId="0" applyFont="1" applyFill="1" applyBorder="1" applyAlignment="1" applyProtection="1">
      <alignment horizontal="center" vertical="center"/>
      <protection/>
    </xf>
    <xf numFmtId="175" fontId="4" fillId="37" borderId="13" xfId="0" applyNumberFormat="1" applyFont="1" applyFill="1" applyBorder="1" applyAlignment="1" applyProtection="1">
      <alignment vertical="center"/>
      <protection/>
    </xf>
    <xf numFmtId="0" fontId="8" fillId="38" borderId="13" xfId="0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vertical="center"/>
      <protection locked="0"/>
    </xf>
    <xf numFmtId="0" fontId="0" fillId="33" borderId="10" xfId="0" applyFill="1" applyBorder="1" applyAlignment="1">
      <alignment horizontal="center" vertical="center" wrapText="1"/>
    </xf>
    <xf numFmtId="0" fontId="60" fillId="33" borderId="0" xfId="0" applyFont="1" applyFill="1" applyAlignment="1" applyProtection="1">
      <alignment horizontal="center" vertical="center"/>
      <protection/>
    </xf>
    <xf numFmtId="3" fontId="20" fillId="40" borderId="12" xfId="0" applyNumberFormat="1" applyFont="1" applyFill="1" applyBorder="1" applyAlignment="1" applyProtection="1">
      <alignment horizontal="center" vertical="center"/>
      <protection/>
    </xf>
    <xf numFmtId="37" fontId="4" fillId="33" borderId="12" xfId="0" applyNumberFormat="1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 vertical="center"/>
      <protection/>
    </xf>
    <xf numFmtId="0" fontId="4" fillId="43" borderId="10" xfId="0" applyFont="1" applyFill="1" applyBorder="1" applyAlignment="1" applyProtection="1">
      <alignment vertical="center"/>
      <protection/>
    </xf>
    <xf numFmtId="0" fontId="4" fillId="43" borderId="11" xfId="0" applyFont="1" applyFill="1" applyBorder="1" applyAlignment="1" applyProtection="1">
      <alignment horizontal="right" vertical="center"/>
      <protection/>
    </xf>
    <xf numFmtId="0" fontId="4" fillId="43" borderId="11" xfId="0" applyFont="1" applyFill="1" applyBorder="1" applyAlignment="1" applyProtection="1">
      <alignment vertical="center"/>
      <protection/>
    </xf>
    <xf numFmtId="0" fontId="4" fillId="43" borderId="11" xfId="0" applyFont="1" applyFill="1" applyBorder="1" applyAlignment="1" applyProtection="1">
      <alignment vertical="center"/>
      <protection locked="0"/>
    </xf>
    <xf numFmtId="0" fontId="4" fillId="43" borderId="11" xfId="0" applyFont="1" applyFill="1" applyBorder="1" applyAlignment="1" applyProtection="1">
      <alignment horizontal="left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0" fillId="33" borderId="18" xfId="0" applyFill="1" applyBorder="1" applyAlignment="1">
      <alignment horizontal="center" vertical="center"/>
    </xf>
    <xf numFmtId="0" fontId="4" fillId="34" borderId="12" xfId="0" applyFont="1" applyFill="1" applyBorder="1" applyAlignment="1" applyProtection="1">
      <alignment horizontal="center" vertical="center"/>
      <protection locked="0"/>
    </xf>
    <xf numFmtId="187" fontId="26" fillId="44" borderId="15" xfId="0" applyNumberFormat="1" applyFont="1" applyFill="1" applyBorder="1" applyAlignment="1" applyProtection="1">
      <alignment horizontal="center" vertical="center"/>
      <protection/>
    </xf>
    <xf numFmtId="0" fontId="8" fillId="44" borderId="10" xfId="0" applyFont="1" applyFill="1" applyBorder="1" applyAlignment="1" applyProtection="1">
      <alignment vertical="center"/>
      <protection/>
    </xf>
    <xf numFmtId="0" fontId="4" fillId="44" borderId="10" xfId="0" applyFont="1" applyFill="1" applyBorder="1" applyAlignment="1" applyProtection="1">
      <alignment vertical="center"/>
      <protection/>
    </xf>
    <xf numFmtId="0" fontId="26" fillId="44" borderId="22" xfId="0" applyFont="1" applyFill="1" applyBorder="1" applyAlignment="1" applyProtection="1">
      <alignment vertical="center"/>
      <protection/>
    </xf>
    <xf numFmtId="0" fontId="26" fillId="41" borderId="15" xfId="0" applyFont="1" applyFill="1" applyBorder="1" applyAlignment="1" applyProtection="1">
      <alignment horizontal="center" vertical="center"/>
      <protection/>
    </xf>
    <xf numFmtId="187" fontId="8" fillId="43" borderId="12" xfId="0" applyNumberFormat="1" applyFont="1" applyFill="1" applyBorder="1" applyAlignment="1" applyProtection="1">
      <alignment horizontal="center" vertical="center"/>
      <protection locked="0"/>
    </xf>
    <xf numFmtId="0" fontId="8" fillId="41" borderId="25" xfId="0" applyFont="1" applyFill="1" applyBorder="1" applyAlignment="1" applyProtection="1">
      <alignment horizontal="left" vertical="center"/>
      <protection/>
    </xf>
    <xf numFmtId="187" fontId="8" fillId="41" borderId="20" xfId="0" applyNumberFormat="1" applyFont="1" applyFill="1" applyBorder="1" applyAlignment="1" applyProtection="1">
      <alignment horizontal="center" vertical="center"/>
      <protection/>
    </xf>
    <xf numFmtId="0" fontId="8" fillId="41" borderId="25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41" borderId="17" xfId="0" applyFill="1" applyBorder="1" applyAlignment="1" applyProtection="1">
      <alignment vertical="center"/>
      <protection/>
    </xf>
    <xf numFmtId="0" fontId="24" fillId="41" borderId="11" xfId="0" applyFont="1" applyFill="1" applyBorder="1" applyAlignment="1" applyProtection="1">
      <alignment horizontal="center" vertical="center"/>
      <protection/>
    </xf>
    <xf numFmtId="0" fontId="8" fillId="41" borderId="11" xfId="0" applyFont="1" applyFill="1" applyBorder="1" applyAlignment="1" applyProtection="1">
      <alignment horizontal="left" vertical="center"/>
      <protection/>
    </xf>
    <xf numFmtId="183" fontId="26" fillId="41" borderId="21" xfId="0" applyNumberFormat="1" applyFont="1" applyFill="1" applyBorder="1" applyAlignment="1" applyProtection="1">
      <alignment horizontal="center" vertical="center"/>
      <protection/>
    </xf>
    <xf numFmtId="0" fontId="4" fillId="44" borderId="15" xfId="0" applyFont="1" applyFill="1" applyBorder="1" applyAlignment="1" applyProtection="1">
      <alignment vertical="center"/>
      <protection/>
    </xf>
    <xf numFmtId="0" fontId="26" fillId="44" borderId="10" xfId="0" applyFont="1" applyFill="1" applyBorder="1" applyAlignment="1" applyProtection="1">
      <alignment vertical="center"/>
      <protection/>
    </xf>
    <xf numFmtId="187" fontId="26" fillId="44" borderId="22" xfId="0" applyNumberFormat="1" applyFont="1" applyFill="1" applyBorder="1" applyAlignment="1" applyProtection="1">
      <alignment horizontal="center" vertical="center"/>
      <protection/>
    </xf>
    <xf numFmtId="187" fontId="8" fillId="41" borderId="25" xfId="0" applyNumberFormat="1" applyFont="1" applyFill="1" applyBorder="1" applyAlignment="1" applyProtection="1">
      <alignment vertical="center"/>
      <protection/>
    </xf>
    <xf numFmtId="187" fontId="8" fillId="41" borderId="22" xfId="0" applyNumberFormat="1" applyFont="1" applyFill="1" applyBorder="1" applyAlignment="1" applyProtection="1">
      <alignment horizontal="center" vertical="center"/>
      <protection/>
    </xf>
    <xf numFmtId="0" fontId="8" fillId="41" borderId="0" xfId="0" applyFont="1" applyFill="1" applyBorder="1" applyAlignment="1" applyProtection="1">
      <alignment vertical="center"/>
      <protection/>
    </xf>
    <xf numFmtId="0" fontId="4" fillId="41" borderId="20" xfId="0" applyFont="1" applyFill="1" applyBorder="1" applyAlignment="1" applyProtection="1">
      <alignment vertical="center"/>
      <protection/>
    </xf>
    <xf numFmtId="0" fontId="4" fillId="41" borderId="0" xfId="0" applyFont="1" applyFill="1" applyBorder="1" applyAlignment="1" applyProtection="1">
      <alignment vertical="center"/>
      <protection/>
    </xf>
    <xf numFmtId="3" fontId="4" fillId="37" borderId="26" xfId="0" applyNumberFormat="1" applyFont="1" applyFill="1" applyBorder="1" applyAlignment="1" applyProtection="1">
      <alignment vertical="center"/>
      <protection/>
    </xf>
    <xf numFmtId="164" fontId="4" fillId="37" borderId="14" xfId="0" applyNumberFormat="1" applyFont="1" applyFill="1" applyBorder="1" applyAlignment="1" applyProtection="1">
      <alignment vertical="center"/>
      <protection/>
    </xf>
    <xf numFmtId="165" fontId="4" fillId="34" borderId="0" xfId="0" applyNumberFormat="1" applyFont="1" applyFill="1" applyAlignment="1" applyProtection="1">
      <alignment horizontal="left" vertical="center"/>
      <protection locked="0"/>
    </xf>
    <xf numFmtId="0" fontId="8" fillId="41" borderId="0" xfId="0" applyFont="1" applyFill="1" applyBorder="1" applyAlignment="1" applyProtection="1">
      <alignment horizontal="left" vertical="center"/>
      <protection/>
    </xf>
    <xf numFmtId="187" fontId="8" fillId="41" borderId="25" xfId="0" applyNumberFormat="1" applyFont="1" applyFill="1" applyBorder="1" applyAlignment="1" applyProtection="1">
      <alignment horizontal="center" vertical="center"/>
      <protection/>
    </xf>
    <xf numFmtId="0" fontId="5" fillId="33" borderId="0" xfId="83" applyFont="1" applyFill="1" applyAlignment="1" applyProtection="1">
      <alignment vertical="center"/>
      <protection/>
    </xf>
    <xf numFmtId="0" fontId="4" fillId="33" borderId="0" xfId="95" applyFont="1" applyFill="1" applyAlignment="1" applyProtection="1">
      <alignment horizontal="right" vertical="center"/>
      <protection/>
    </xf>
    <xf numFmtId="183" fontId="4" fillId="33" borderId="0" xfId="79" applyNumberFormat="1" applyFont="1" applyFill="1" applyAlignment="1" applyProtection="1">
      <alignment horizontal="center" vertical="center"/>
      <protection/>
    </xf>
    <xf numFmtId="37" fontId="4" fillId="33" borderId="0" xfId="79" applyNumberFormat="1" applyFont="1" applyFill="1" applyAlignment="1" applyProtection="1">
      <alignment horizontal="right" vertical="center"/>
      <protection/>
    </xf>
    <xf numFmtId="0" fontId="61" fillId="33" borderId="0" xfId="79" applyFont="1" applyFill="1" applyAlignment="1" applyProtection="1">
      <alignment horizontal="center" vertical="center"/>
      <protection/>
    </xf>
    <xf numFmtId="0" fontId="4" fillId="41" borderId="25" xfId="0" applyFont="1" applyFill="1" applyBorder="1" applyAlignment="1" applyProtection="1">
      <alignment vertical="center"/>
      <protection/>
    </xf>
    <xf numFmtId="0" fontId="8" fillId="41" borderId="25" xfId="0" applyFont="1" applyFill="1" applyBorder="1" applyAlignment="1" applyProtection="1">
      <alignment/>
      <protection/>
    </xf>
    <xf numFmtId="0" fontId="4" fillId="41" borderId="0" xfId="0" applyFont="1" applyFill="1" applyBorder="1" applyAlignment="1" applyProtection="1">
      <alignment/>
      <protection/>
    </xf>
    <xf numFmtId="187" fontId="4" fillId="41" borderId="20" xfId="0" applyNumberFormat="1" applyFont="1" applyFill="1" applyBorder="1" applyAlignment="1" applyProtection="1">
      <alignment horizontal="center"/>
      <protection/>
    </xf>
    <xf numFmtId="0" fontId="4" fillId="41" borderId="22" xfId="0" applyFont="1" applyFill="1" applyBorder="1" applyAlignment="1" applyProtection="1">
      <alignment/>
      <protection/>
    </xf>
    <xf numFmtId="0" fontId="4" fillId="41" borderId="10" xfId="0" applyFont="1" applyFill="1" applyBorder="1" applyAlignment="1" applyProtection="1">
      <alignment/>
      <protection/>
    </xf>
    <xf numFmtId="187" fontId="4" fillId="44" borderId="15" xfId="0" applyNumberFormat="1" applyFont="1" applyFill="1" applyBorder="1" applyAlignment="1" applyProtection="1">
      <alignment horizontal="center"/>
      <protection/>
    </xf>
    <xf numFmtId="0" fontId="4" fillId="41" borderId="25" xfId="0" applyFont="1" applyFill="1" applyBorder="1" applyAlignment="1" applyProtection="1">
      <alignment/>
      <protection/>
    </xf>
    <xf numFmtId="0" fontId="4" fillId="41" borderId="20" xfId="0" applyFont="1" applyFill="1" applyBorder="1" applyAlignment="1" applyProtection="1">
      <alignment/>
      <protection/>
    </xf>
    <xf numFmtId="182" fontId="4" fillId="41" borderId="20" xfId="0" applyNumberFormat="1" applyFont="1" applyFill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187" fontId="4" fillId="41" borderId="15" xfId="0" applyNumberFormat="1" applyFont="1" applyFill="1" applyBorder="1" applyAlignment="1" applyProtection="1">
      <alignment horizontal="center"/>
      <protection/>
    </xf>
    <xf numFmtId="0" fontId="4" fillId="44" borderId="22" xfId="0" applyFont="1" applyFill="1" applyBorder="1" applyAlignment="1" applyProtection="1">
      <alignment/>
      <protection/>
    </xf>
    <xf numFmtId="0" fontId="4" fillId="44" borderId="1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183" fontId="4" fillId="43" borderId="20" xfId="0" applyNumberFormat="1" applyFont="1" applyFill="1" applyBorder="1" applyAlignment="1" applyProtection="1">
      <alignment horizontal="center"/>
      <protection locked="0"/>
    </xf>
    <xf numFmtId="37" fontId="4" fillId="35" borderId="0" xfId="0" applyNumberFormat="1" applyFont="1" applyFill="1" applyAlignment="1" applyProtection="1">
      <alignment horizontal="center" vertical="center" wrapText="1"/>
      <protection/>
    </xf>
    <xf numFmtId="0" fontId="0" fillId="35" borderId="10" xfId="0" applyFill="1" applyBorder="1" applyAlignment="1">
      <alignment vertical="center" wrapText="1"/>
    </xf>
    <xf numFmtId="37" fontId="17" fillId="33" borderId="0" xfId="0" applyNumberFormat="1" applyFont="1" applyFill="1" applyAlignment="1" applyProtection="1">
      <alignment horizontal="center" vertical="center"/>
      <protection/>
    </xf>
    <xf numFmtId="0" fontId="18" fillId="0" borderId="0" xfId="0" applyFont="1" applyAlignment="1">
      <alignment horizontal="center" vertical="center"/>
    </xf>
    <xf numFmtId="0" fontId="16" fillId="33" borderId="0" xfId="0" applyFont="1" applyFill="1" applyAlignment="1" applyProtection="1">
      <alignment horizontal="center" vertical="center"/>
      <protection/>
    </xf>
    <xf numFmtId="0" fontId="1" fillId="0" borderId="0" xfId="0" applyFont="1" applyAlignment="1">
      <alignment horizontal="center" vertical="center"/>
    </xf>
    <xf numFmtId="37" fontId="5" fillId="33" borderId="0" xfId="0" applyNumberFormat="1" applyFont="1" applyFill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5" fillId="33" borderId="0" xfId="0" applyFont="1" applyFill="1" applyAlignment="1" applyProtection="1">
      <alignment horizontal="left" vertical="center"/>
      <protection/>
    </xf>
    <xf numFmtId="0" fontId="0" fillId="0" borderId="0" xfId="0" applyAlignment="1">
      <alignment horizontal="left" vertical="center"/>
    </xf>
    <xf numFmtId="0" fontId="4" fillId="35" borderId="13" xfId="0" applyFont="1" applyFill="1" applyBorder="1" applyAlignment="1" applyProtection="1">
      <alignment horizontal="center" vertical="center" wrapText="1"/>
      <protection/>
    </xf>
    <xf numFmtId="0" fontId="4" fillId="35" borderId="14" xfId="0" applyFont="1" applyFill="1" applyBorder="1" applyAlignment="1" applyProtection="1">
      <alignment horizontal="center" vertical="center" wrapText="1"/>
      <protection/>
    </xf>
    <xf numFmtId="37" fontId="16" fillId="33" borderId="0" xfId="0" applyNumberFormat="1" applyFont="1" applyFill="1" applyBorder="1" applyAlignment="1" applyProtection="1">
      <alignment horizontal="center" vertical="center"/>
      <protection/>
    </xf>
    <xf numFmtId="0" fontId="5" fillId="38" borderId="0" xfId="0" applyFont="1" applyFill="1" applyBorder="1" applyAlignment="1">
      <alignment horizontal="center" vertical="center"/>
    </xf>
    <xf numFmtId="0" fontId="1" fillId="38" borderId="0" xfId="0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vertical="center"/>
    </xf>
    <xf numFmtId="0" fontId="21" fillId="0" borderId="0" xfId="0" applyFont="1" applyAlignment="1">
      <alignment vertical="center"/>
    </xf>
    <xf numFmtId="0" fontId="9" fillId="45" borderId="0" xfId="0" applyFont="1" applyFill="1" applyAlignment="1">
      <alignment horizontal="right" vertical="center" textRotation="180" wrapText="1"/>
    </xf>
    <xf numFmtId="0" fontId="5" fillId="33" borderId="0" xfId="0" applyFont="1" applyFill="1" applyAlignment="1" applyProtection="1">
      <alignment horizontal="center" vertical="center"/>
      <protection/>
    </xf>
    <xf numFmtId="37" fontId="4" fillId="33" borderId="0" xfId="0" applyNumberFormat="1" applyFont="1" applyFill="1" applyAlignment="1" applyProtection="1">
      <alignment horizontal="center" vertical="center"/>
      <protection/>
    </xf>
    <xf numFmtId="0" fontId="4" fillId="33" borderId="21" xfId="0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 vertical="center"/>
    </xf>
    <xf numFmtId="0" fontId="0" fillId="0" borderId="17" xfId="0" applyBorder="1" applyAlignment="1">
      <alignment vertical="center"/>
    </xf>
    <xf numFmtId="0" fontId="4" fillId="33" borderId="19" xfId="0" applyFont="1" applyFill="1" applyBorder="1" applyAlignment="1" applyProtection="1">
      <alignment horizontal="center" vertical="center" wrapText="1"/>
      <protection/>
    </xf>
    <xf numFmtId="0" fontId="8" fillId="38" borderId="13" xfId="0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horizontal="center" vertical="center" wrapText="1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4" fillId="33" borderId="18" xfId="0" applyFont="1" applyFill="1" applyBorder="1" applyAlignment="1" applyProtection="1">
      <alignment horizontal="center" vertical="center"/>
      <protection/>
    </xf>
    <xf numFmtId="0" fontId="0" fillId="0" borderId="18" xfId="0" applyBorder="1" applyAlignment="1">
      <alignment vertical="center"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 horizontal="center" vertical="center" wrapText="1"/>
    </xf>
    <xf numFmtId="0" fontId="4" fillId="33" borderId="0" xfId="0" applyFont="1" applyFill="1" applyAlignment="1" applyProtection="1">
      <alignment horizontal="center" vertical="center"/>
      <protection/>
    </xf>
    <xf numFmtId="37" fontId="5" fillId="33" borderId="0" xfId="0" applyNumberFormat="1" applyFont="1" applyFill="1" applyBorder="1" applyAlignment="1" applyProtection="1">
      <alignment horizontal="center" vertical="center"/>
      <protection/>
    </xf>
    <xf numFmtId="0" fontId="4" fillId="33" borderId="13" xfId="0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37" fontId="4" fillId="33" borderId="13" xfId="0" applyNumberFormat="1" applyFont="1" applyFill="1" applyBorder="1" applyAlignment="1" applyProtection="1">
      <alignment horizontal="center" vertical="center" wrapText="1"/>
      <protection/>
    </xf>
    <xf numFmtId="0" fontId="4" fillId="33" borderId="11" xfId="0" applyFont="1" applyFill="1" applyBorder="1" applyAlignment="1" applyProtection="1">
      <alignment horizontal="center" vertical="center"/>
      <protection/>
    </xf>
    <xf numFmtId="0" fontId="4" fillId="33" borderId="0" xfId="63" applyNumberFormat="1" applyFont="1" applyFill="1" applyBorder="1" applyAlignment="1" applyProtection="1">
      <alignment horizontal="right" vertical="center"/>
      <protection/>
    </xf>
    <xf numFmtId="0" fontId="4" fillId="0" borderId="0" xfId="63" applyFont="1" applyAlignment="1" applyProtection="1">
      <alignment horizontal="right" vertical="center"/>
      <protection/>
    </xf>
    <xf numFmtId="3" fontId="4" fillId="33" borderId="18" xfId="95" applyNumberFormat="1" applyFont="1" applyFill="1" applyBorder="1" applyAlignment="1" applyProtection="1">
      <alignment horizontal="right" vertical="center"/>
      <protection/>
    </xf>
    <xf numFmtId="0" fontId="0" fillId="0" borderId="27" xfId="95" applyBorder="1" applyAlignment="1">
      <alignment horizontal="right" vertical="center"/>
      <protection/>
    </xf>
    <xf numFmtId="0" fontId="4" fillId="33" borderId="0" xfId="95" applyFont="1" applyFill="1" applyAlignment="1" applyProtection="1">
      <alignment horizontal="right" vertical="center"/>
      <protection/>
    </xf>
    <xf numFmtId="0" fontId="4" fillId="0" borderId="20" xfId="95" applyFont="1" applyBorder="1" applyAlignment="1">
      <alignment horizontal="right" vertical="center"/>
      <protection/>
    </xf>
    <xf numFmtId="0" fontId="24" fillId="41" borderId="23" xfId="0" applyFont="1" applyFill="1" applyBorder="1" applyAlignment="1" applyProtection="1">
      <alignment horizontal="center" vertical="center"/>
      <protection/>
    </xf>
    <xf numFmtId="0" fontId="25" fillId="0" borderId="18" xfId="0" applyFont="1" applyBorder="1" applyAlignment="1" applyProtection="1">
      <alignment horizontal="center" vertical="center"/>
      <protection/>
    </xf>
    <xf numFmtId="0" fontId="0" fillId="0" borderId="27" xfId="0" applyBorder="1" applyAlignment="1" applyProtection="1">
      <alignment vertical="center"/>
      <protection/>
    </xf>
    <xf numFmtId="0" fontId="24" fillId="41" borderId="18" xfId="0" applyFont="1" applyFill="1" applyBorder="1" applyAlignment="1" applyProtection="1">
      <alignment horizontal="center" vertical="center"/>
      <protection/>
    </xf>
    <xf numFmtId="37" fontId="4" fillId="41" borderId="0" xfId="0" applyNumberFormat="1" applyFont="1" applyFill="1" applyAlignment="1" applyProtection="1">
      <alignment horizontal="center" vertical="center"/>
      <protection/>
    </xf>
    <xf numFmtId="0" fontId="16" fillId="41" borderId="23" xfId="0" applyFont="1" applyFill="1" applyBorder="1" applyAlignment="1" applyProtection="1">
      <alignment horizontal="center"/>
      <protection/>
    </xf>
    <xf numFmtId="0" fontId="0" fillId="0" borderId="18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8" xfId="0" applyBorder="1" applyAlignment="1" applyProtection="1">
      <alignment horizontal="center"/>
      <protection/>
    </xf>
    <xf numFmtId="0" fontId="0" fillId="0" borderId="27" xfId="0" applyBorder="1" applyAlignment="1" applyProtection="1">
      <alignment horizontal="center"/>
      <protection/>
    </xf>
    <xf numFmtId="0" fontId="16" fillId="41" borderId="18" xfId="0" applyFont="1" applyFill="1" applyBorder="1" applyAlignment="1" applyProtection="1">
      <alignment horizontal="center"/>
      <protection/>
    </xf>
    <xf numFmtId="0" fontId="16" fillId="41" borderId="27" xfId="0" applyFont="1" applyFill="1" applyBorder="1" applyAlignment="1" applyProtection="1">
      <alignment horizontal="center"/>
      <protection/>
    </xf>
    <xf numFmtId="0" fontId="0" fillId="0" borderId="0" xfId="0" applyAlignment="1">
      <alignment vertical="center"/>
    </xf>
    <xf numFmtId="0" fontId="8" fillId="33" borderId="13" xfId="0" applyFont="1" applyFill="1" applyBorder="1" applyAlignment="1">
      <alignment horizontal="center" vertical="center" wrapText="1" shrinkToFit="1"/>
    </xf>
    <xf numFmtId="0" fontId="19" fillId="0" borderId="14" xfId="0" applyFont="1" applyBorder="1" applyAlignment="1">
      <alignment horizontal="center" vertical="center" wrapText="1" shrinkToFit="1"/>
    </xf>
    <xf numFmtId="0" fontId="6" fillId="33" borderId="0" xfId="0" applyFont="1" applyFill="1" applyAlignment="1" applyProtection="1">
      <alignment horizontal="center" vertical="center"/>
      <protection/>
    </xf>
    <xf numFmtId="0" fontId="7" fillId="0" borderId="0" xfId="452" applyFont="1" applyAlignment="1">
      <alignment horizontal="center"/>
      <protection/>
    </xf>
  </cellXfs>
  <cellStyles count="4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6" xfId="44"/>
    <cellStyle name="Comma 16 2" xfId="45"/>
    <cellStyle name="Comma 16 3" xfId="46"/>
    <cellStyle name="Comma 2" xfId="47"/>
    <cellStyle name="Comma 3" xfId="48"/>
    <cellStyle name="Comma 3 2" xfId="49"/>
    <cellStyle name="Comma 4" xfId="50"/>
    <cellStyle name="Comma 5" xfId="51"/>
    <cellStyle name="Comma 6" xfId="52"/>
    <cellStyle name="Comma 7" xfId="53"/>
    <cellStyle name="Currency" xfId="54"/>
    <cellStyle name="Currency [0]" xfId="55"/>
    <cellStyle name="Explanatory Text" xfId="56"/>
    <cellStyle name="Followed Hyperlink" xfId="57"/>
    <cellStyle name="Good" xfId="58"/>
    <cellStyle name="Heading 1" xfId="59"/>
    <cellStyle name="Heading 2" xfId="60"/>
    <cellStyle name="Heading 3" xfId="61"/>
    <cellStyle name="Heading 4" xfId="62"/>
    <cellStyle name="Hyperlink" xfId="63"/>
    <cellStyle name="Hyperlink 2" xfId="64"/>
    <cellStyle name="Hyperlink 2 2" xfId="65"/>
    <cellStyle name="Hyperlink 3" xfId="66"/>
    <cellStyle name="Hyperlink 3 2" xfId="67"/>
    <cellStyle name="Hyperlink 3 3" xfId="68"/>
    <cellStyle name="Hyperlink 3 4" xfId="69"/>
    <cellStyle name="Hyperlink 4" xfId="70"/>
    <cellStyle name="Hyperlink 4 2" xfId="71"/>
    <cellStyle name="Hyperlink 5" xfId="72"/>
    <cellStyle name="Hyperlink 7" xfId="73"/>
    <cellStyle name="Hyperlink 7 2" xfId="74"/>
    <cellStyle name="Input" xfId="75"/>
    <cellStyle name="Linked Cell" xfId="76"/>
    <cellStyle name="Neutral" xfId="77"/>
    <cellStyle name="Normal 10" xfId="78"/>
    <cellStyle name="Normal 10 2" xfId="79"/>
    <cellStyle name="Normal 10 2 2" xfId="80"/>
    <cellStyle name="Normal 10 3" xfId="81"/>
    <cellStyle name="Normal 10 4" xfId="82"/>
    <cellStyle name="Normal 10 5" xfId="83"/>
    <cellStyle name="Normal 10 6" xfId="84"/>
    <cellStyle name="Normal 11" xfId="85"/>
    <cellStyle name="Normal 11 2" xfId="86"/>
    <cellStyle name="Normal 11 2 2" xfId="87"/>
    <cellStyle name="Normal 11 3" xfId="88"/>
    <cellStyle name="Normal 11 4" xfId="89"/>
    <cellStyle name="Normal 11 5" xfId="90"/>
    <cellStyle name="Normal 12" xfId="91"/>
    <cellStyle name="Normal 12 10" xfId="92"/>
    <cellStyle name="Normal 12 11" xfId="93"/>
    <cellStyle name="Normal 12 12" xfId="94"/>
    <cellStyle name="Normal 12 2" xfId="95"/>
    <cellStyle name="Normal 12 2 2" xfId="96"/>
    <cellStyle name="Normal 12 3" xfId="97"/>
    <cellStyle name="Normal 12 4" xfId="98"/>
    <cellStyle name="Normal 12 5" xfId="99"/>
    <cellStyle name="Normal 12 6" xfId="100"/>
    <cellStyle name="Normal 12 7" xfId="101"/>
    <cellStyle name="Normal 12 8" xfId="102"/>
    <cellStyle name="Normal 12 9" xfId="103"/>
    <cellStyle name="Normal 13" xfId="104"/>
    <cellStyle name="Normal 13 10" xfId="105"/>
    <cellStyle name="Normal 13 11" xfId="106"/>
    <cellStyle name="Normal 13 12" xfId="107"/>
    <cellStyle name="Normal 13 2" xfId="108"/>
    <cellStyle name="Normal 13 2 2" xfId="109"/>
    <cellStyle name="Normal 13 3" xfId="110"/>
    <cellStyle name="Normal 13 4" xfId="111"/>
    <cellStyle name="Normal 13 5" xfId="112"/>
    <cellStyle name="Normal 13 6" xfId="113"/>
    <cellStyle name="Normal 13 7" xfId="114"/>
    <cellStyle name="Normal 13 8" xfId="115"/>
    <cellStyle name="Normal 13 9" xfId="116"/>
    <cellStyle name="Normal 14" xfId="117"/>
    <cellStyle name="Normal 14 2" xfId="118"/>
    <cellStyle name="Normal 14 3" xfId="119"/>
    <cellStyle name="Normal 14 4" xfId="120"/>
    <cellStyle name="Normal 14 5" xfId="121"/>
    <cellStyle name="Normal 14 6" xfId="122"/>
    <cellStyle name="Normal 15" xfId="123"/>
    <cellStyle name="Normal 15 2" xfId="124"/>
    <cellStyle name="Normal 15 3" xfId="125"/>
    <cellStyle name="Normal 15 4" xfId="126"/>
    <cellStyle name="Normal 16" xfId="127"/>
    <cellStyle name="Normal 16 2" xfId="128"/>
    <cellStyle name="Normal 16 3" xfId="129"/>
    <cellStyle name="Normal 16 4" xfId="130"/>
    <cellStyle name="Normal 17" xfId="131"/>
    <cellStyle name="Normal 17 2" xfId="132"/>
    <cellStyle name="Normal 17 3" xfId="133"/>
    <cellStyle name="Normal 17 4" xfId="134"/>
    <cellStyle name="Normal 18" xfId="135"/>
    <cellStyle name="Normal 18 2" xfId="136"/>
    <cellStyle name="Normal 18 2 2" xfId="137"/>
    <cellStyle name="Normal 18 2 3" xfId="138"/>
    <cellStyle name="Normal 18 3" xfId="139"/>
    <cellStyle name="Normal 18 4" xfId="140"/>
    <cellStyle name="Normal 18 5" xfId="141"/>
    <cellStyle name="Normal 18 6" xfId="142"/>
    <cellStyle name="Normal 18 7" xfId="143"/>
    <cellStyle name="Normal 18 8" xfId="144"/>
    <cellStyle name="Normal 19" xfId="145"/>
    <cellStyle name="Normal 19 2" xfId="146"/>
    <cellStyle name="Normal 19 2 2" xfId="147"/>
    <cellStyle name="Normal 19 2 3" xfId="148"/>
    <cellStyle name="Normal 19 3" xfId="149"/>
    <cellStyle name="Normal 19 4" xfId="150"/>
    <cellStyle name="Normal 19 5" xfId="151"/>
    <cellStyle name="Normal 19 6" xfId="152"/>
    <cellStyle name="Normal 19 7" xfId="153"/>
    <cellStyle name="Normal 2" xfId="154"/>
    <cellStyle name="Normal 2 10" xfId="155"/>
    <cellStyle name="Normal 2 10 10" xfId="156"/>
    <cellStyle name="Normal 2 10 11" xfId="157"/>
    <cellStyle name="Normal 2 10 12" xfId="158"/>
    <cellStyle name="Normal 2 10 2" xfId="159"/>
    <cellStyle name="Normal 2 10 2 2" xfId="160"/>
    <cellStyle name="Normal 2 10 3" xfId="161"/>
    <cellStyle name="Normal 2 10 3 2" xfId="162"/>
    <cellStyle name="Normal 2 10 4" xfId="163"/>
    <cellStyle name="Normal 2 10 4 2" xfId="164"/>
    <cellStyle name="Normal 2 10 5" xfId="165"/>
    <cellStyle name="Normal 2 10 5 2" xfId="166"/>
    <cellStyle name="Normal 2 10 6" xfId="167"/>
    <cellStyle name="Normal 2 10 6 2" xfId="168"/>
    <cellStyle name="Normal 2 10 7" xfId="169"/>
    <cellStyle name="Normal 2 10 7 2" xfId="170"/>
    <cellStyle name="Normal 2 10 8" xfId="171"/>
    <cellStyle name="Normal 2 10 8 2" xfId="172"/>
    <cellStyle name="Normal 2 10 9" xfId="173"/>
    <cellStyle name="Normal 2 11" xfId="174"/>
    <cellStyle name="Normal 2 11 10" xfId="175"/>
    <cellStyle name="Normal 2 11 2" xfId="176"/>
    <cellStyle name="Normal 2 11 2 2" xfId="177"/>
    <cellStyle name="Normal 2 11 3" xfId="178"/>
    <cellStyle name="Normal 2 11 3 2" xfId="179"/>
    <cellStyle name="Normal 2 11 4" xfId="180"/>
    <cellStyle name="Normal 2 11 4 2" xfId="181"/>
    <cellStyle name="Normal 2 11 5" xfId="182"/>
    <cellStyle name="Normal 2 11 5 2" xfId="183"/>
    <cellStyle name="Normal 2 11 6" xfId="184"/>
    <cellStyle name="Normal 2 11 6 2" xfId="185"/>
    <cellStyle name="Normal 2 11 7" xfId="186"/>
    <cellStyle name="Normal 2 11 7 2" xfId="187"/>
    <cellStyle name="Normal 2 11 8" xfId="188"/>
    <cellStyle name="Normal 2 11 8 2" xfId="189"/>
    <cellStyle name="Normal 2 11 9" xfId="190"/>
    <cellStyle name="Normal 2 12" xfId="191"/>
    <cellStyle name="Normal 2 13" xfId="192"/>
    <cellStyle name="Normal 2 14" xfId="193"/>
    <cellStyle name="Normal 2 15" xfId="194"/>
    <cellStyle name="Normal 2 16" xfId="195"/>
    <cellStyle name="Normal 2 2" xfId="196"/>
    <cellStyle name="Normal 2 2 10" xfId="197"/>
    <cellStyle name="Normal 2 2 10 2" xfId="198"/>
    <cellStyle name="Normal 2 2 11" xfId="199"/>
    <cellStyle name="Normal 2 2 11 2" xfId="200"/>
    <cellStyle name="Normal 2 2 12" xfId="201"/>
    <cellStyle name="Normal 2 2 12 2" xfId="202"/>
    <cellStyle name="Normal 2 2 12 2 2" xfId="203"/>
    <cellStyle name="Normal 2 2 12 3" xfId="204"/>
    <cellStyle name="Normal 2 2 13" xfId="205"/>
    <cellStyle name="Normal 2 2 13 2" xfId="206"/>
    <cellStyle name="Normal 2 2 13 2 2" xfId="207"/>
    <cellStyle name="Normal 2 2 13 3" xfId="208"/>
    <cellStyle name="Normal 2 2 14" xfId="209"/>
    <cellStyle name="Normal 2 2 14 2" xfId="210"/>
    <cellStyle name="Normal 2 2 15" xfId="211"/>
    <cellStyle name="Normal 2 2 15 2" xfId="212"/>
    <cellStyle name="Normal 2 2 16" xfId="213"/>
    <cellStyle name="Normal 2 2 16 2" xfId="214"/>
    <cellStyle name="Normal 2 2 16 3" xfId="215"/>
    <cellStyle name="Normal 2 2 17" xfId="216"/>
    <cellStyle name="Normal 2 2 18" xfId="217"/>
    <cellStyle name="Normal 2 2 19" xfId="218"/>
    <cellStyle name="Normal 2 2 2" xfId="219"/>
    <cellStyle name="Normal 2 2 2 2" xfId="220"/>
    <cellStyle name="Normal 2 2 2 2 2" xfId="221"/>
    <cellStyle name="Normal 2 2 2 2 3" xfId="222"/>
    <cellStyle name="Normal 2 2 2 3" xfId="223"/>
    <cellStyle name="Normal 2 2 2 3 2" xfId="224"/>
    <cellStyle name="Normal 2 2 2 4" xfId="225"/>
    <cellStyle name="Normal 2 2 2 4 2" xfId="226"/>
    <cellStyle name="Normal 2 2 2 5" xfId="227"/>
    <cellStyle name="Normal 2 2 2 5 2" xfId="228"/>
    <cellStyle name="Normal 2 2 2 6" xfId="229"/>
    <cellStyle name="Normal 2 2 2 6 2" xfId="230"/>
    <cellStyle name="Normal 2 2 2 7" xfId="231"/>
    <cellStyle name="Normal 2 2 2 8" xfId="232"/>
    <cellStyle name="Normal 2 2 20" xfId="233"/>
    <cellStyle name="Normal 2 2 21" xfId="234"/>
    <cellStyle name="Normal 2 2 3" xfId="235"/>
    <cellStyle name="Normal 2 2 3 2" xfId="236"/>
    <cellStyle name="Normal 2 2 4" xfId="237"/>
    <cellStyle name="Normal 2 2 4 2" xfId="238"/>
    <cellStyle name="Normal 2 2 5" xfId="239"/>
    <cellStyle name="Normal 2 2 5 2" xfId="240"/>
    <cellStyle name="Normal 2 2 6" xfId="241"/>
    <cellStyle name="Normal 2 2 6 2" xfId="242"/>
    <cellStyle name="Normal 2 2 7" xfId="243"/>
    <cellStyle name="Normal 2 2 7 2" xfId="244"/>
    <cellStyle name="Normal 2 2 8" xfId="245"/>
    <cellStyle name="Normal 2 2 8 2" xfId="246"/>
    <cellStyle name="Normal 2 2 9" xfId="247"/>
    <cellStyle name="Normal 2 2 9 2" xfId="248"/>
    <cellStyle name="Normal 2 3" xfId="249"/>
    <cellStyle name="Normal 2 3 10" xfId="250"/>
    <cellStyle name="Normal 2 3 11" xfId="251"/>
    <cellStyle name="Normal 2 3 12" xfId="252"/>
    <cellStyle name="Normal 2 3 13" xfId="253"/>
    <cellStyle name="Normal 2 3 14" xfId="254"/>
    <cellStyle name="Normal 2 3 15" xfId="255"/>
    <cellStyle name="Normal 2 3 2" xfId="256"/>
    <cellStyle name="Normal 2 3 2 2" xfId="257"/>
    <cellStyle name="Normal 2 3 2 2 2" xfId="258"/>
    <cellStyle name="Normal 2 3 2 2 3" xfId="259"/>
    <cellStyle name="Normal 2 3 2 3" xfId="260"/>
    <cellStyle name="Normal 2 3 2 4" xfId="261"/>
    <cellStyle name="Normal 2 3 3" xfId="262"/>
    <cellStyle name="Normal 2 3 3 2" xfId="263"/>
    <cellStyle name="Normal 2 3 3 3" xfId="264"/>
    <cellStyle name="Normal 2 3 4" xfId="265"/>
    <cellStyle name="Normal 2 3 5" xfId="266"/>
    <cellStyle name="Normal 2 3 6" xfId="267"/>
    <cellStyle name="Normal 2 3 7" xfId="268"/>
    <cellStyle name="Normal 2 3 8" xfId="269"/>
    <cellStyle name="Normal 2 3 9" xfId="270"/>
    <cellStyle name="Normal 2 4" xfId="271"/>
    <cellStyle name="Normal 2 4 10" xfId="272"/>
    <cellStyle name="Normal 2 4 11" xfId="273"/>
    <cellStyle name="Normal 2 4 12" xfId="274"/>
    <cellStyle name="Normal 2 4 13" xfId="275"/>
    <cellStyle name="Normal 2 4 2" xfId="276"/>
    <cellStyle name="Normal 2 4 2 2" xfId="277"/>
    <cellStyle name="Normal 2 4 2 2 2" xfId="278"/>
    <cellStyle name="Normal 2 4 2 2 3" xfId="279"/>
    <cellStyle name="Normal 2 4 2 3" xfId="280"/>
    <cellStyle name="Normal 2 4 2 4" xfId="281"/>
    <cellStyle name="Normal 2 4 3" xfId="282"/>
    <cellStyle name="Normal 2 4 3 2" xfId="283"/>
    <cellStyle name="Normal 2 4 3 3" xfId="284"/>
    <cellStyle name="Normal 2 4 4" xfId="285"/>
    <cellStyle name="Normal 2 4 5" xfId="286"/>
    <cellStyle name="Normal 2 4 6" xfId="287"/>
    <cellStyle name="Normal 2 4 7" xfId="288"/>
    <cellStyle name="Normal 2 4 8" xfId="289"/>
    <cellStyle name="Normal 2 4 9" xfId="290"/>
    <cellStyle name="Normal 2 5" xfId="291"/>
    <cellStyle name="Normal 2 5 10" xfId="292"/>
    <cellStyle name="Normal 2 5 11" xfId="293"/>
    <cellStyle name="Normal 2 5 12" xfId="294"/>
    <cellStyle name="Normal 2 5 12 2" xfId="295"/>
    <cellStyle name="Normal 2 5 2" xfId="296"/>
    <cellStyle name="Normal 2 5 2 2" xfId="297"/>
    <cellStyle name="Normal 2 5 3" xfId="298"/>
    <cellStyle name="Normal 2 5 3 2" xfId="299"/>
    <cellStyle name="Normal 2 5 4" xfId="300"/>
    <cellStyle name="Normal 2 5 5" xfId="301"/>
    <cellStyle name="Normal 2 5 6" xfId="302"/>
    <cellStyle name="Normal 2 5 7" xfId="303"/>
    <cellStyle name="Normal 2 5 8" xfId="304"/>
    <cellStyle name="Normal 2 5 9" xfId="305"/>
    <cellStyle name="Normal 2 6" xfId="306"/>
    <cellStyle name="Normal 2 6 10" xfId="307"/>
    <cellStyle name="Normal 2 6 11" xfId="308"/>
    <cellStyle name="Normal 2 6 12" xfId="309"/>
    <cellStyle name="Normal 2 6 2" xfId="310"/>
    <cellStyle name="Normal 2 6 2 2" xfId="311"/>
    <cellStyle name="Normal 2 6 3" xfId="312"/>
    <cellStyle name="Normal 2 6 3 2" xfId="313"/>
    <cellStyle name="Normal 2 6 4" xfId="314"/>
    <cellStyle name="Normal 2 6 5" xfId="315"/>
    <cellStyle name="Normal 2 6 6" xfId="316"/>
    <cellStyle name="Normal 2 6 7" xfId="317"/>
    <cellStyle name="Normal 2 6 8" xfId="318"/>
    <cellStyle name="Normal 2 6 9" xfId="319"/>
    <cellStyle name="Normal 2 7" xfId="320"/>
    <cellStyle name="Normal 2 7 10" xfId="321"/>
    <cellStyle name="Normal 2 7 2" xfId="322"/>
    <cellStyle name="Normal 2 7 2 2" xfId="323"/>
    <cellStyle name="Normal 2 7 2 3" xfId="324"/>
    <cellStyle name="Normal 2 7 3" xfId="325"/>
    <cellStyle name="Normal 2 7 3 2" xfId="326"/>
    <cellStyle name="Normal 2 7 4" xfId="327"/>
    <cellStyle name="Normal 2 7 4 2" xfId="328"/>
    <cellStyle name="Normal 2 7 5" xfId="329"/>
    <cellStyle name="Normal 2 7 5 2" xfId="330"/>
    <cellStyle name="Normal 2 7 6" xfId="331"/>
    <cellStyle name="Normal 2 7 6 2" xfId="332"/>
    <cellStyle name="Normal 2 7 7" xfId="333"/>
    <cellStyle name="Normal 2 7 7 2" xfId="334"/>
    <cellStyle name="Normal 2 7 8" xfId="335"/>
    <cellStyle name="Normal 2 7 8 2" xfId="336"/>
    <cellStyle name="Normal 2 7 9" xfId="337"/>
    <cellStyle name="Normal 2 8" xfId="338"/>
    <cellStyle name="Normal 2 8 10" xfId="339"/>
    <cellStyle name="Normal 2 8 2" xfId="340"/>
    <cellStyle name="Normal 2 8 2 2" xfId="341"/>
    <cellStyle name="Normal 2 8 3" xfId="342"/>
    <cellStyle name="Normal 2 8 3 2" xfId="343"/>
    <cellStyle name="Normal 2 8 4" xfId="344"/>
    <cellStyle name="Normal 2 8 4 2" xfId="345"/>
    <cellStyle name="Normal 2 8 5" xfId="346"/>
    <cellStyle name="Normal 2 8 5 2" xfId="347"/>
    <cellStyle name="Normal 2 8 6" xfId="348"/>
    <cellStyle name="Normal 2 8 6 2" xfId="349"/>
    <cellStyle name="Normal 2 8 7" xfId="350"/>
    <cellStyle name="Normal 2 8 7 2" xfId="351"/>
    <cellStyle name="Normal 2 8 8" xfId="352"/>
    <cellStyle name="Normal 2 8 8 2" xfId="353"/>
    <cellStyle name="Normal 2 8 9" xfId="354"/>
    <cellStyle name="Normal 2 9" xfId="355"/>
    <cellStyle name="Normal 2 9 10" xfId="356"/>
    <cellStyle name="Normal 2 9 2" xfId="357"/>
    <cellStyle name="Normal 2 9 2 2" xfId="358"/>
    <cellStyle name="Normal 2 9 3" xfId="359"/>
    <cellStyle name="Normal 2 9 3 2" xfId="360"/>
    <cellStyle name="Normal 2 9 4" xfId="361"/>
    <cellStyle name="Normal 2 9 4 2" xfId="362"/>
    <cellStyle name="Normal 2 9 5" xfId="363"/>
    <cellStyle name="Normal 2 9 5 2" xfId="364"/>
    <cellStyle name="Normal 2 9 6" xfId="365"/>
    <cellStyle name="Normal 2 9 6 2" xfId="366"/>
    <cellStyle name="Normal 2 9 7" xfId="367"/>
    <cellStyle name="Normal 2 9 7 2" xfId="368"/>
    <cellStyle name="Normal 2 9 8" xfId="369"/>
    <cellStyle name="Normal 2 9 8 2" xfId="370"/>
    <cellStyle name="Normal 2 9 9" xfId="371"/>
    <cellStyle name="Normal 20" xfId="372"/>
    <cellStyle name="Normal 20 2" xfId="373"/>
    <cellStyle name="Normal 20 3" xfId="374"/>
    <cellStyle name="Normal 22" xfId="375"/>
    <cellStyle name="Normal 22 2" xfId="376"/>
    <cellStyle name="Normal 22 3" xfId="377"/>
    <cellStyle name="Normal 23" xfId="378"/>
    <cellStyle name="Normal 23 2" xfId="379"/>
    <cellStyle name="Normal 23 3" xfId="380"/>
    <cellStyle name="Normal 24" xfId="381"/>
    <cellStyle name="Normal 24 2" xfId="382"/>
    <cellStyle name="Normal 24 3" xfId="383"/>
    <cellStyle name="Normal 25" xfId="384"/>
    <cellStyle name="Normal 25 2" xfId="385"/>
    <cellStyle name="Normal 25 3" xfId="386"/>
    <cellStyle name="Normal 3" xfId="387"/>
    <cellStyle name="Normal 3 2" xfId="388"/>
    <cellStyle name="Normal 3 2 2" xfId="389"/>
    <cellStyle name="Normal 3 2 2 2" xfId="390"/>
    <cellStyle name="Normal 3 2 2 3" xfId="391"/>
    <cellStyle name="Normal 3 2 3" xfId="392"/>
    <cellStyle name="Normal 3 2 4" xfId="393"/>
    <cellStyle name="Normal 3 3" xfId="394"/>
    <cellStyle name="Normal 3 3 2" xfId="395"/>
    <cellStyle name="Normal 3 3 2 2" xfId="396"/>
    <cellStyle name="Normal 3 3 2 3" xfId="397"/>
    <cellStyle name="Normal 3 3 3" xfId="398"/>
    <cellStyle name="Normal 3 4" xfId="399"/>
    <cellStyle name="Normal 3 5" xfId="400"/>
    <cellStyle name="Normal 3 6" xfId="401"/>
    <cellStyle name="Normal 3 7" xfId="402"/>
    <cellStyle name="Normal 3 8" xfId="403"/>
    <cellStyle name="Normal 3 9" xfId="404"/>
    <cellStyle name="Normal 4" xfId="405"/>
    <cellStyle name="Normal 4 2" xfId="406"/>
    <cellStyle name="Normal 4 2 2" xfId="407"/>
    <cellStyle name="Normal 4 2 2 2" xfId="408"/>
    <cellStyle name="Normal 4 2 2 3" xfId="409"/>
    <cellStyle name="Normal 4 2 3" xfId="410"/>
    <cellStyle name="Normal 4 2 4" xfId="411"/>
    <cellStyle name="Normal 4 3" xfId="412"/>
    <cellStyle name="Normal 4 3 2" xfId="413"/>
    <cellStyle name="Normal 4 3 3" xfId="414"/>
    <cellStyle name="Normal 4 4" xfId="415"/>
    <cellStyle name="Normal 4 5" xfId="416"/>
    <cellStyle name="Normal 4 6" xfId="417"/>
    <cellStyle name="Normal 5" xfId="418"/>
    <cellStyle name="Normal 5 2" xfId="419"/>
    <cellStyle name="Normal 5 3" xfId="420"/>
    <cellStyle name="Normal 5 3 2" xfId="421"/>
    <cellStyle name="Normal 5 3 3" xfId="422"/>
    <cellStyle name="Normal 5 4" xfId="423"/>
    <cellStyle name="Normal 6" xfId="424"/>
    <cellStyle name="Normal 6 2" xfId="425"/>
    <cellStyle name="Normal 6 3" xfId="426"/>
    <cellStyle name="Normal 6 4" xfId="427"/>
    <cellStyle name="Normal 6 5" xfId="428"/>
    <cellStyle name="Normal 7" xfId="429"/>
    <cellStyle name="Normal 7 2" xfId="430"/>
    <cellStyle name="Normal 7 2 2" xfId="431"/>
    <cellStyle name="Normal 7 2 2 2" xfId="432"/>
    <cellStyle name="Normal 7 2 3" xfId="433"/>
    <cellStyle name="Normal 7 2 4" xfId="434"/>
    <cellStyle name="Normal 7 3" xfId="435"/>
    <cellStyle name="Normal 7 4" xfId="436"/>
    <cellStyle name="Normal 7 4 2" xfId="437"/>
    <cellStyle name="Normal 7 4 3" xfId="438"/>
    <cellStyle name="Normal 7 5" xfId="439"/>
    <cellStyle name="Normal 7 5 2" xfId="440"/>
    <cellStyle name="Normal 7 5 3" xfId="441"/>
    <cellStyle name="Normal 7 5 4" xfId="442"/>
    <cellStyle name="Normal 7 6" xfId="443"/>
    <cellStyle name="Normal 8" xfId="444"/>
    <cellStyle name="Normal 8 2" xfId="445"/>
    <cellStyle name="Normal 9" xfId="446"/>
    <cellStyle name="Normal 9 2" xfId="447"/>
    <cellStyle name="Normal 9 2 2" xfId="448"/>
    <cellStyle name="Normal 9 3" xfId="449"/>
    <cellStyle name="Normal 9 4" xfId="450"/>
    <cellStyle name="Normal 9 5" xfId="451"/>
    <cellStyle name="Normal_Township 07" xfId="452"/>
    <cellStyle name="Note" xfId="453"/>
    <cellStyle name="Output" xfId="454"/>
    <cellStyle name="Percent" xfId="455"/>
    <cellStyle name="Title" xfId="456"/>
    <cellStyle name="Total" xfId="457"/>
    <cellStyle name="Warning Text" xfId="458"/>
  </cellStyles>
  <dxfs count="12">
    <dxf>
      <font>
        <b/>
        <i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523875</xdr:colOff>
      <xdr:row>58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905875" cy="11144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523875</xdr:colOff>
      <xdr:row>58</xdr:row>
      <xdr:rowOff>95250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905875" cy="11144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704850</xdr:colOff>
      <xdr:row>55</xdr:row>
      <xdr:rowOff>133350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020175" cy="11134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2"/>
  <sheetViews>
    <sheetView zoomScalePageLayoutView="0" workbookViewId="0" topLeftCell="A8">
      <selection activeCell="E46" sqref="E46"/>
    </sheetView>
  </sheetViews>
  <sheetFormatPr defaultColWidth="8.796875" defaultRowHeight="15"/>
  <cols>
    <col min="1" max="1" width="15.796875" style="6" customWidth="1"/>
    <col min="2" max="2" width="20.796875" style="6" customWidth="1"/>
    <col min="3" max="3" width="9.796875" style="6" customWidth="1"/>
    <col min="4" max="4" width="15.69921875" style="6" customWidth="1"/>
    <col min="5" max="5" width="14.19921875" style="6" customWidth="1"/>
    <col min="6" max="16384" width="8.8984375" style="6" customWidth="1"/>
  </cols>
  <sheetData>
    <row r="1" spans="1:5" ht="15.75">
      <c r="A1" s="284" t="s">
        <v>0</v>
      </c>
      <c r="B1" s="285"/>
      <c r="C1" s="285"/>
      <c r="D1" s="285"/>
      <c r="E1" s="285"/>
    </row>
    <row r="2" spans="1:5" ht="15.75">
      <c r="A2" s="7"/>
      <c r="B2" s="8"/>
      <c r="C2" s="8"/>
      <c r="D2" s="8"/>
      <c r="E2" s="8"/>
    </row>
    <row r="3" spans="1:5" ht="15.75">
      <c r="A3" s="9" t="s">
        <v>97</v>
      </c>
      <c r="B3" s="8"/>
      <c r="C3" s="8"/>
      <c r="D3" s="10" t="s">
        <v>167</v>
      </c>
      <c r="E3" s="11"/>
    </row>
    <row r="4" spans="1:5" ht="15.75">
      <c r="A4" s="9" t="s">
        <v>139</v>
      </c>
      <c r="B4" s="8"/>
      <c r="C4" s="8"/>
      <c r="D4" s="12" t="s">
        <v>166</v>
      </c>
      <c r="E4" s="11"/>
    </row>
    <row r="5" spans="1:5" ht="15.75">
      <c r="A5" s="7"/>
      <c r="B5" s="8"/>
      <c r="C5" s="8"/>
      <c r="D5" s="13"/>
      <c r="E5" s="11"/>
    </row>
    <row r="6" spans="1:5" ht="15.75">
      <c r="A6" s="9" t="s">
        <v>103</v>
      </c>
      <c r="B6" s="8"/>
      <c r="C6" s="8"/>
      <c r="D6" s="14">
        <v>2012</v>
      </c>
      <c r="E6" s="11"/>
    </row>
    <row r="7" spans="1:5" ht="15.75">
      <c r="A7" s="8"/>
      <c r="B7" s="8"/>
      <c r="C7" s="8"/>
      <c r="D7" s="8"/>
      <c r="E7" s="8"/>
    </row>
    <row r="8" spans="1:5" ht="15.75">
      <c r="A8" s="286" t="s">
        <v>128</v>
      </c>
      <c r="B8" s="287"/>
      <c r="C8" s="287"/>
      <c r="D8" s="287"/>
      <c r="E8" s="287"/>
    </row>
    <row r="9" spans="1:5" ht="15.75">
      <c r="A9" s="15" t="s">
        <v>52</v>
      </c>
      <c r="B9" s="16"/>
      <c r="C9" s="16"/>
      <c r="D9" s="16"/>
      <c r="E9" s="16"/>
    </row>
    <row r="10" spans="1:5" ht="15.75">
      <c r="A10" s="288" t="s">
        <v>127</v>
      </c>
      <c r="B10" s="289"/>
      <c r="C10" s="289"/>
      <c r="D10" s="289"/>
      <c r="E10" s="289"/>
    </row>
    <row r="11" spans="1:5" ht="15.75">
      <c r="A11" s="17"/>
      <c r="B11" s="8"/>
      <c r="C11" s="8"/>
      <c r="D11" s="8"/>
      <c r="E11" s="8"/>
    </row>
    <row r="12" spans="1:5" ht="15.75">
      <c r="A12" s="282" t="s">
        <v>119</v>
      </c>
      <c r="B12" s="283"/>
      <c r="C12" s="283"/>
      <c r="D12" s="283"/>
      <c r="E12" s="283"/>
    </row>
    <row r="13" spans="1:5" ht="15.75">
      <c r="A13" s="17"/>
      <c r="B13" s="8"/>
      <c r="C13" s="8"/>
      <c r="D13" s="8"/>
      <c r="E13" s="8"/>
    </row>
    <row r="14" spans="1:5" ht="15.75">
      <c r="A14" s="18" t="s">
        <v>107</v>
      </c>
      <c r="B14" s="19"/>
      <c r="C14" s="8"/>
      <c r="D14" s="8"/>
      <c r="E14" s="8"/>
    </row>
    <row r="15" spans="1:5" ht="15.75">
      <c r="A15" s="20" t="str">
        <f>CONCATENATE("the ",D6-1," Budget, Certificate Page:")</f>
        <v>the 2011 Budget, Certificate Page:</v>
      </c>
      <c r="B15" s="21"/>
      <c r="C15" s="8"/>
      <c r="D15" s="8"/>
      <c r="E15" s="8"/>
    </row>
    <row r="16" spans="1:5" ht="15.75">
      <c r="A16" s="20" t="s">
        <v>146</v>
      </c>
      <c r="B16" s="21"/>
      <c r="C16" s="8"/>
      <c r="D16" s="8"/>
      <c r="E16" s="8"/>
    </row>
    <row r="17" spans="1:5" ht="15.75">
      <c r="A17" s="8"/>
      <c r="B17" s="8"/>
      <c r="C17" s="22"/>
      <c r="D17" s="23">
        <f>D6-1</f>
        <v>2011</v>
      </c>
      <c r="E17" s="290" t="str">
        <f>CONCATENATE("Amount of ",D6-2,"     Ad Valorem Tax")</f>
        <v>Amount of 2010     Ad Valorem Tax</v>
      </c>
    </row>
    <row r="18" spans="1:5" ht="15.75">
      <c r="A18" s="7" t="s">
        <v>1</v>
      </c>
      <c r="B18" s="8"/>
      <c r="C18" s="22" t="s">
        <v>2</v>
      </c>
      <c r="D18" s="24" t="s">
        <v>147</v>
      </c>
      <c r="E18" s="291"/>
    </row>
    <row r="19" spans="1:5" ht="15.75">
      <c r="A19" s="8"/>
      <c r="B19" s="25" t="s">
        <v>3</v>
      </c>
      <c r="C19" s="231"/>
      <c r="D19" s="27">
        <v>3169</v>
      </c>
      <c r="E19" s="27">
        <v>2779</v>
      </c>
    </row>
    <row r="20" spans="1:5" ht="15.75">
      <c r="A20" s="8"/>
      <c r="B20" s="25" t="s">
        <v>145</v>
      </c>
      <c r="C20" s="104" t="s">
        <v>109</v>
      </c>
      <c r="D20" s="27"/>
      <c r="E20" s="27"/>
    </row>
    <row r="21" spans="1:5" ht="15.75">
      <c r="A21" s="7" t="s">
        <v>4</v>
      </c>
      <c r="B21" s="8"/>
      <c r="C21" s="8"/>
      <c r="D21" s="29"/>
      <c r="E21" s="30"/>
    </row>
    <row r="22" spans="1:5" ht="15.75">
      <c r="A22" s="8"/>
      <c r="B22" s="26"/>
      <c r="C22" s="231"/>
      <c r="D22" s="27"/>
      <c r="E22" s="27"/>
    </row>
    <row r="23" spans="1:5" ht="15.75">
      <c r="A23" s="8"/>
      <c r="B23" s="26"/>
      <c r="C23" s="231"/>
      <c r="D23" s="27"/>
      <c r="E23" s="27"/>
    </row>
    <row r="24" spans="1:5" ht="15.75">
      <c r="A24" s="31" t="str">
        <f>CONCATENATE("Total Ad Valorem Tax for ",D6-1," Budgeted Year")</f>
        <v>Total Ad Valorem Tax for 2011 Budgeted Year</v>
      </c>
      <c r="B24" s="32"/>
      <c r="C24" s="32"/>
      <c r="D24" s="33"/>
      <c r="E24" s="34">
        <f>SUM(E19:E20,E22:E23)</f>
        <v>2779</v>
      </c>
    </row>
    <row r="25" spans="1:5" ht="15.75">
      <c r="A25" s="35" t="s">
        <v>5</v>
      </c>
      <c r="B25" s="8"/>
      <c r="C25" s="8"/>
      <c r="D25" s="8"/>
      <c r="E25" s="8"/>
    </row>
    <row r="26" spans="1:5" ht="15.75">
      <c r="A26" s="8"/>
      <c r="B26" s="26"/>
      <c r="C26" s="8"/>
      <c r="D26" s="27"/>
      <c r="E26" s="8"/>
    </row>
    <row r="27" spans="1:5" ht="15.75">
      <c r="A27" s="8"/>
      <c r="B27" s="26"/>
      <c r="C27" s="8"/>
      <c r="D27" s="27"/>
      <c r="E27" s="8"/>
    </row>
    <row r="28" spans="1:5" ht="15.75">
      <c r="A28" s="32" t="str">
        <f>CONCATENATE("Total Expenditures for ",D6-1," Budgeted Year")</f>
        <v>Total Expenditures for 2011 Budgeted Year</v>
      </c>
      <c r="B28" s="32"/>
      <c r="C28" s="36"/>
      <c r="D28" s="37">
        <f>SUM(D19:D20,D22:D23,D26:D27)</f>
        <v>3169</v>
      </c>
      <c r="E28" s="29"/>
    </row>
    <row r="29" spans="1:5" ht="15.75">
      <c r="A29" s="8" t="s">
        <v>141</v>
      </c>
      <c r="B29" s="8"/>
      <c r="C29" s="8"/>
      <c r="D29" s="8"/>
      <c r="E29" s="29"/>
    </row>
    <row r="30" spans="1:5" ht="15.75">
      <c r="A30" s="8">
        <v>1</v>
      </c>
      <c r="B30" s="38"/>
      <c r="C30" s="8"/>
      <c r="D30" s="8"/>
      <c r="E30" s="29"/>
    </row>
    <row r="31" spans="1:5" ht="15.75">
      <c r="A31" s="8">
        <v>2</v>
      </c>
      <c r="B31" s="38"/>
      <c r="C31" s="8"/>
      <c r="D31" s="8"/>
      <c r="E31" s="29"/>
    </row>
    <row r="32" spans="1:5" ht="15.75">
      <c r="A32" s="8">
        <v>3</v>
      </c>
      <c r="B32" s="38"/>
      <c r="C32" s="8"/>
      <c r="D32" s="8"/>
      <c r="E32" s="29"/>
    </row>
    <row r="33" spans="1:5" ht="15.75">
      <c r="A33" s="8">
        <v>4</v>
      </c>
      <c r="B33" s="38"/>
      <c r="C33" s="8"/>
      <c r="D33" s="8"/>
      <c r="E33" s="29"/>
    </row>
    <row r="34" spans="1:5" ht="15.75">
      <c r="A34" s="8">
        <v>5</v>
      </c>
      <c r="B34" s="38"/>
      <c r="C34" s="8"/>
      <c r="D34" s="8"/>
      <c r="E34" s="29"/>
    </row>
    <row r="35" spans="1:5" ht="15.75">
      <c r="A35" s="8"/>
      <c r="B35" s="8"/>
      <c r="C35" s="8"/>
      <c r="D35" s="8"/>
      <c r="E35" s="29"/>
    </row>
    <row r="36" spans="1:5" ht="15.75">
      <c r="A36" s="18" t="s">
        <v>107</v>
      </c>
      <c r="B36" s="19"/>
      <c r="C36" s="8"/>
      <c r="D36" s="280" t="str">
        <f>CONCATENATE("",D6-3," Tax Rate          (",D6-2," Column)")</f>
        <v>2009 Tax Rate          (2010 Column)</v>
      </c>
      <c r="E36" s="29"/>
    </row>
    <row r="37" spans="1:5" ht="15.75">
      <c r="A37" s="20" t="str">
        <f>CONCATENATE("the ",D6-1," Budget, Budget Summary Page:")</f>
        <v>the 2011 Budget, Budget Summary Page:</v>
      </c>
      <c r="B37" s="21"/>
      <c r="C37" s="8"/>
      <c r="D37" s="281"/>
      <c r="E37" s="29"/>
    </row>
    <row r="38" spans="1:5" ht="15.75">
      <c r="A38" s="8"/>
      <c r="B38" s="28" t="str">
        <f>B19</f>
        <v>General</v>
      </c>
      <c r="C38" s="8"/>
      <c r="D38" s="39">
        <v>0.857</v>
      </c>
      <c r="E38" s="29"/>
    </row>
    <row r="39" spans="1:5" ht="15.75">
      <c r="A39" s="8"/>
      <c r="B39" s="28" t="str">
        <f>B20</f>
        <v>Debt Service</v>
      </c>
      <c r="C39" s="8"/>
      <c r="D39" s="39"/>
      <c r="E39" s="29"/>
    </row>
    <row r="40" spans="1:5" ht="15.75">
      <c r="A40" s="8"/>
      <c r="B40" s="28">
        <f>B22</f>
        <v>0</v>
      </c>
      <c r="C40" s="8"/>
      <c r="D40" s="39"/>
      <c r="E40" s="29"/>
    </row>
    <row r="41" spans="1:5" ht="15.75">
      <c r="A41" s="8"/>
      <c r="B41" s="28">
        <f>B23</f>
        <v>0</v>
      </c>
      <c r="C41" s="8"/>
      <c r="D41" s="39"/>
      <c r="E41" s="29"/>
    </row>
    <row r="42" spans="1:5" ht="16.5" thickBot="1">
      <c r="A42" s="7" t="s">
        <v>6</v>
      </c>
      <c r="B42" s="8"/>
      <c r="C42" s="8"/>
      <c r="D42" s="40">
        <f>SUM(D38:D41)</f>
        <v>0.857</v>
      </c>
      <c r="E42" s="29"/>
    </row>
    <row r="43" spans="1:5" ht="16.5" thickTop="1">
      <c r="A43" s="8"/>
      <c r="B43" s="8"/>
      <c r="C43" s="8"/>
      <c r="D43" s="8"/>
      <c r="E43" s="29"/>
    </row>
    <row r="44" spans="1:5" ht="15.75">
      <c r="A44" s="41" t="str">
        <f>CONCATENATE("Total Tax Levied (",D6-2," budget column)")</f>
        <v>Total Tax Levied (2010 budget column)</v>
      </c>
      <c r="B44" s="19"/>
      <c r="C44" s="8"/>
      <c r="D44" s="8"/>
      <c r="E44" s="42">
        <v>1648</v>
      </c>
    </row>
    <row r="45" spans="1:5" ht="15.75">
      <c r="A45" s="41" t="str">
        <f>CONCATENATE("Assessed Valuation (",D6-2," budget column)")</f>
        <v>Assessed Valuation (2010 budget column)</v>
      </c>
      <c r="B45" s="19"/>
      <c r="C45" s="8"/>
      <c r="D45" s="8"/>
      <c r="E45" s="43">
        <v>1924444</v>
      </c>
    </row>
    <row r="46" spans="1:5" ht="15.75">
      <c r="A46" s="8"/>
      <c r="B46" s="8"/>
      <c r="C46" s="8"/>
      <c r="D46" s="8"/>
      <c r="E46" s="29"/>
    </row>
    <row r="47" spans="1:5" ht="15.75">
      <c r="A47" s="19" t="s">
        <v>129</v>
      </c>
      <c r="B47" s="19"/>
      <c r="C47" s="44"/>
      <c r="D47" s="45">
        <f>D6-3</f>
        <v>2009</v>
      </c>
      <c r="E47" s="45">
        <f>D6-2</f>
        <v>2010</v>
      </c>
    </row>
    <row r="48" spans="1:5" ht="15.75">
      <c r="A48" s="46" t="s">
        <v>104</v>
      </c>
      <c r="B48" s="46"/>
      <c r="C48" s="47"/>
      <c r="D48" s="48"/>
      <c r="E48" s="48"/>
    </row>
    <row r="49" spans="1:5" ht="15.75">
      <c r="A49" s="49" t="s">
        <v>105</v>
      </c>
      <c r="B49" s="49"/>
      <c r="C49" s="50"/>
      <c r="D49" s="48"/>
      <c r="E49" s="48"/>
    </row>
    <row r="50" spans="1:5" ht="15.75">
      <c r="A50" s="49" t="s">
        <v>160</v>
      </c>
      <c r="B50" s="49"/>
      <c r="C50" s="50"/>
      <c r="D50" s="48"/>
      <c r="E50" s="48"/>
    </row>
    <row r="51" spans="1:5" ht="15.75">
      <c r="A51" s="49" t="s">
        <v>106</v>
      </c>
      <c r="B51" s="49"/>
      <c r="C51" s="50"/>
      <c r="D51" s="48"/>
      <c r="E51" s="48"/>
    </row>
    <row r="52" spans="1:5" ht="15.75">
      <c r="A52" s="49"/>
      <c r="B52" s="49"/>
      <c r="C52" s="51"/>
      <c r="D52" s="48"/>
      <c r="E52" s="48"/>
    </row>
  </sheetData>
  <sheetProtection sheet="1"/>
  <mergeCells count="6">
    <mergeCell ref="D36:D37"/>
    <mergeCell ref="A12:E12"/>
    <mergeCell ref="A1:E1"/>
    <mergeCell ref="A8:E8"/>
    <mergeCell ref="A10:E10"/>
    <mergeCell ref="E17:E18"/>
  </mergeCells>
  <printOptions/>
  <pageMargins left="0.5" right="0.5" top="0.5" bottom="0.5" header="0.5" footer="0.5"/>
  <pageSetup blackAndWhite="1" fitToHeight="1" fitToWidth="1" horizontalDpi="120" verticalDpi="120" orientation="portrait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3:J11"/>
  <sheetViews>
    <sheetView zoomScalePageLayoutView="0" workbookViewId="0" topLeftCell="A1">
      <selection activeCell="B3" sqref="B3"/>
    </sheetView>
  </sheetViews>
  <sheetFormatPr defaultColWidth="9.796875" defaultRowHeight="15"/>
  <cols>
    <col min="1" max="1" width="8.8984375" style="1" customWidth="1"/>
    <col min="2" max="16384" width="9.796875" style="1" customWidth="1"/>
  </cols>
  <sheetData>
    <row r="1" ht="15.75"/>
    <row r="2" ht="15.75"/>
    <row r="3" spans="3:8" ht="15.75">
      <c r="C3"/>
      <c r="D3"/>
      <c r="E3"/>
      <c r="F3"/>
      <c r="G3"/>
      <c r="H3"/>
    </row>
    <row r="4" spans="2:8" ht="15.75">
      <c r="B4" s="3"/>
      <c r="E4" s="5"/>
      <c r="F4" s="5"/>
      <c r="G4" s="5"/>
      <c r="H4" s="5"/>
    </row>
    <row r="5" spans="2:8" ht="15.75" customHeight="1">
      <c r="B5" s="2"/>
      <c r="E5" s="340"/>
      <c r="F5" s="340"/>
      <c r="G5" s="340"/>
      <c r="H5" s="340"/>
    </row>
    <row r="6" spans="5:10" ht="15.75">
      <c r="E6" s="340"/>
      <c r="F6" s="340"/>
      <c r="G6" s="340"/>
      <c r="H6" s="340"/>
      <c r="J6" s="1">
        <f>CONCATENATE(J7)</f>
      </c>
    </row>
    <row r="7" spans="5:8" ht="15.75">
      <c r="E7" s="340"/>
      <c r="F7" s="340"/>
      <c r="G7" s="340"/>
      <c r="H7" s="340"/>
    </row>
    <row r="8" spans="2:8" ht="15.75">
      <c r="B8" s="2"/>
      <c r="E8" s="340"/>
      <c r="F8" s="340"/>
      <c r="G8" s="340"/>
      <c r="H8" s="340"/>
    </row>
    <row r="9" ht="15.75">
      <c r="B9" s="4"/>
    </row>
    <row r="10" ht="15.75">
      <c r="B10" s="4"/>
    </row>
    <row r="11" ht="15.75" customHeight="1">
      <c r="B11" s="4"/>
    </row>
    <row r="12" ht="15.75"/>
    <row r="13" ht="15.75"/>
    <row r="14" ht="15.75"/>
    <row r="15" ht="15.75"/>
    <row r="16" ht="15.75" customHeight="1"/>
    <row r="17" ht="15.75"/>
    <row r="18" ht="15.75"/>
    <row r="19" ht="15.75"/>
    <row r="20" ht="15.75"/>
    <row r="21" ht="15.75"/>
    <row r="22" ht="15.75"/>
    <row r="23" ht="15.75" customHeight="1"/>
    <row r="24" ht="15.75"/>
    <row r="25" ht="15.75"/>
    <row r="26" ht="15.75"/>
    <row r="27" ht="15.75" customHeight="1"/>
    <row r="28" ht="15.75"/>
    <row r="29" ht="15.75"/>
    <row r="30" ht="15.75"/>
    <row r="31" ht="15.75"/>
    <row r="32" ht="15.75"/>
    <row r="33" ht="15.75"/>
    <row r="34" ht="15.75"/>
    <row r="35" ht="15.75"/>
    <row r="36" ht="15.75"/>
    <row r="37" ht="15.75"/>
    <row r="38" ht="15.75"/>
    <row r="39" ht="15.75"/>
    <row r="40" ht="15.75"/>
    <row r="41" ht="15.75"/>
    <row r="42" ht="15.75"/>
    <row r="43" ht="15.75"/>
    <row r="44" ht="15.75"/>
    <row r="45" ht="15.75"/>
    <row r="46" ht="15.75"/>
    <row r="47" ht="15.75"/>
    <row r="48" ht="15.75"/>
    <row r="49" ht="15.75"/>
    <row r="50" ht="15.75"/>
    <row r="51" ht="15.75"/>
    <row r="52" ht="15.75"/>
    <row r="53" ht="15.75"/>
    <row r="54" ht="15.75"/>
    <row r="55" ht="15.75"/>
  </sheetData>
  <sheetProtection/>
  <mergeCells count="4">
    <mergeCell ref="E5:H5"/>
    <mergeCell ref="E8:H8"/>
    <mergeCell ref="E6:H6"/>
    <mergeCell ref="E7:H7"/>
  </mergeCells>
  <printOptions/>
  <pageMargins left="0.75" right="0.75" top="1" bottom="1" header="0.5" footer="0.5"/>
  <pageSetup blackAndWhite="1" fitToHeight="1" fitToWidth="1" horizontalDpi="600" verticalDpi="600" orientation="portrait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zoomScalePageLayoutView="0" workbookViewId="0" topLeftCell="A24">
      <selection activeCell="B44" sqref="B44"/>
    </sheetView>
  </sheetViews>
  <sheetFormatPr defaultColWidth="8.796875" defaultRowHeight="15"/>
  <cols>
    <col min="1" max="1" width="15.796875" style="53" customWidth="1"/>
    <col min="2" max="2" width="20.796875" style="53" customWidth="1"/>
    <col min="3" max="3" width="10.796875" style="53" customWidth="1"/>
    <col min="4" max="4" width="15.69921875" style="53" customWidth="1"/>
    <col min="5" max="5" width="14.19921875" style="53" customWidth="1"/>
    <col min="6" max="16384" width="8.8984375" style="53" customWidth="1"/>
  </cols>
  <sheetData>
    <row r="1" spans="1:5" ht="15.75">
      <c r="A1" s="52" t="str">
        <f>inputPrYr!D3</f>
        <v>CRESCO CEMETERY</v>
      </c>
      <c r="B1" s="52"/>
      <c r="C1" s="52"/>
      <c r="D1" s="52"/>
      <c r="E1" s="52">
        <f>inputPrYr!D6</f>
        <v>2012</v>
      </c>
    </row>
    <row r="2" spans="1:5" ht="15.75">
      <c r="A2" s="52" t="str">
        <f>inputPrYr!D4</f>
        <v>ELK COUNTY</v>
      </c>
      <c r="B2" s="52"/>
      <c r="C2" s="52"/>
      <c r="D2" s="52"/>
      <c r="E2" s="52"/>
    </row>
    <row r="3" spans="1:5" ht="15">
      <c r="A3" s="54"/>
      <c r="B3" s="54"/>
      <c r="C3" s="54"/>
      <c r="D3" s="54"/>
      <c r="E3" s="54"/>
    </row>
    <row r="4" spans="1:5" ht="15.75">
      <c r="A4" s="282" t="s">
        <v>119</v>
      </c>
      <c r="B4" s="283"/>
      <c r="C4" s="283"/>
      <c r="D4" s="283"/>
      <c r="E4" s="283"/>
    </row>
    <row r="5" spans="1:5" ht="15">
      <c r="A5" s="54"/>
      <c r="B5" s="54"/>
      <c r="C5" s="54"/>
      <c r="D5" s="54"/>
      <c r="E5" s="54"/>
    </row>
    <row r="6" spans="1:5" ht="15.75">
      <c r="A6" s="55" t="str">
        <f>CONCATENATE("From the County Clerks ",E1," Budget Information:")</f>
        <v>From the County Clerks 2012 Budget Information:</v>
      </c>
      <c r="B6" s="56"/>
      <c r="C6" s="56"/>
      <c r="D6" s="8"/>
      <c r="E6" s="29"/>
    </row>
    <row r="7" spans="1:5" ht="15.75">
      <c r="A7" s="57" t="str">
        <f>CONCATENATE("Total Assessed Valuation for ",inputPrYr!D6-1,"")</f>
        <v>Total Assessed Valuation for 2011</v>
      </c>
      <c r="B7" s="32"/>
      <c r="C7" s="32"/>
      <c r="D7" s="32"/>
      <c r="E7" s="42">
        <v>1900006</v>
      </c>
    </row>
    <row r="8" spans="1:5" ht="15.75">
      <c r="A8" s="58" t="str">
        <f>CONCATENATE("New Improvements for ",inputPrYr!D6-1,"")</f>
        <v>New Improvements for 2011</v>
      </c>
      <c r="B8" s="59"/>
      <c r="C8" s="59"/>
      <c r="D8" s="59"/>
      <c r="E8" s="60">
        <v>16079</v>
      </c>
    </row>
    <row r="9" spans="1:5" ht="15.75">
      <c r="A9" s="58" t="str">
        <f>CONCATENATE("Personal Property excluding oil, gas, and mobile homes- ",inputPrYr!D6-1,"")</f>
        <v>Personal Property excluding oil, gas, and mobile homes- 2011</v>
      </c>
      <c r="B9" s="59"/>
      <c r="C9" s="59"/>
      <c r="D9" s="59"/>
      <c r="E9" s="60">
        <v>551371</v>
      </c>
    </row>
    <row r="10" spans="1:5" ht="15.75">
      <c r="A10" s="58" t="str">
        <f>CONCATENATE("Property that has changed in use for ",inputPrYr!D6-1,"")</f>
        <v>Property that has changed in use for 2011</v>
      </c>
      <c r="B10" s="59"/>
      <c r="C10" s="59"/>
      <c r="D10" s="59"/>
      <c r="E10" s="60">
        <v>0</v>
      </c>
    </row>
    <row r="11" spans="1:5" ht="15.75">
      <c r="A11" s="57" t="str">
        <f>CONCATENATE("Personal Property excluding oil, gas, and mobile homes- ",inputPrYr!D6-2,"")</f>
        <v>Personal Property excluding oil, gas, and mobile homes- 2010</v>
      </c>
      <c r="B11" s="32"/>
      <c r="C11" s="32"/>
      <c r="D11" s="32"/>
      <c r="E11" s="60">
        <v>607110</v>
      </c>
    </row>
    <row r="12" spans="1:5" ht="15.75">
      <c r="A12" s="58" t="str">
        <f>CONCATENATE("Neighborhood Revitalization - ",E1,"")</f>
        <v>Neighborhood Revitalization - 2012</v>
      </c>
      <c r="B12" s="59"/>
      <c r="C12" s="59"/>
      <c r="D12" s="59"/>
      <c r="E12" s="60">
        <v>0</v>
      </c>
    </row>
    <row r="13" spans="1:5" ht="15.75">
      <c r="A13" s="35"/>
      <c r="B13" s="61"/>
      <c r="C13" s="61"/>
      <c r="D13" s="61"/>
      <c r="E13" s="62"/>
    </row>
    <row r="14" spans="1:5" ht="15.75">
      <c r="A14" s="63" t="str">
        <f>CONCATENATE("Actual Tax Rates for the ",E1-1," Budget:")</f>
        <v>Actual Tax Rates for the 2011 Budget:</v>
      </c>
      <c r="B14" s="61"/>
      <c r="C14" s="61"/>
      <c r="D14" s="61"/>
      <c r="E14" s="64"/>
    </row>
    <row r="15" spans="1:5" ht="15.75">
      <c r="A15" s="292" t="s">
        <v>18</v>
      </c>
      <c r="B15" s="287"/>
      <c r="C15" s="54"/>
      <c r="D15" s="65" t="s">
        <v>51</v>
      </c>
      <c r="E15" s="64"/>
    </row>
    <row r="16" spans="1:5" ht="15.75">
      <c r="A16" s="57" t="s">
        <v>3</v>
      </c>
      <c r="B16" s="32"/>
      <c r="C16" s="61"/>
      <c r="D16" s="66">
        <v>1.431</v>
      </c>
      <c r="E16" s="64"/>
    </row>
    <row r="17" spans="1:5" ht="15.75">
      <c r="A17" s="58" t="s">
        <v>145</v>
      </c>
      <c r="B17" s="59"/>
      <c r="C17" s="61"/>
      <c r="D17" s="67"/>
      <c r="E17" s="64"/>
    </row>
    <row r="18" spans="1:5" ht="15.75">
      <c r="A18" s="58">
        <f>inputPrYr!B22</f>
        <v>0</v>
      </c>
      <c r="B18" s="59"/>
      <c r="C18" s="61"/>
      <c r="D18" s="67"/>
      <c r="E18" s="64"/>
    </row>
    <row r="19" spans="1:5" ht="15.75">
      <c r="A19" s="58">
        <f>inputPrYr!B23</f>
        <v>0</v>
      </c>
      <c r="B19" s="59"/>
      <c r="C19" s="61"/>
      <c r="D19" s="67"/>
      <c r="E19" s="64"/>
    </row>
    <row r="20" spans="1:5" ht="15.75">
      <c r="A20" s="58"/>
      <c r="B20" s="59"/>
      <c r="C20" s="61"/>
      <c r="D20" s="67"/>
      <c r="E20" s="64"/>
    </row>
    <row r="21" spans="1:5" ht="15.75">
      <c r="A21" s="58"/>
      <c r="B21" s="59"/>
      <c r="C21" s="61"/>
      <c r="D21" s="68"/>
      <c r="E21" s="64"/>
    </row>
    <row r="22" spans="1:5" ht="15.75">
      <c r="A22" s="69"/>
      <c r="B22" s="32" t="s">
        <v>125</v>
      </c>
      <c r="C22" s="70"/>
      <c r="D22" s="71">
        <f>SUM(D16:D21)</f>
        <v>1.431</v>
      </c>
      <c r="E22" s="69"/>
    </row>
    <row r="23" spans="1:5" ht="15">
      <c r="A23" s="69"/>
      <c r="B23" s="69"/>
      <c r="C23" s="69"/>
      <c r="D23" s="69"/>
      <c r="E23" s="69"/>
    </row>
    <row r="24" spans="1:5" ht="15.75">
      <c r="A24" s="32" t="str">
        <f>CONCATENATE("Final Assessed Valuation from the November 1, ",E1-2," Abstract")</f>
        <v>Final Assessed Valuation from the November 1, 2010 Abstract</v>
      </c>
      <c r="B24" s="72"/>
      <c r="C24" s="72"/>
      <c r="D24" s="72"/>
      <c r="E24" s="48">
        <v>1941669</v>
      </c>
    </row>
    <row r="25" spans="1:5" ht="15">
      <c r="A25" s="69"/>
      <c r="B25" s="69"/>
      <c r="C25" s="69"/>
      <c r="D25" s="69"/>
      <c r="E25" s="69"/>
    </row>
    <row r="26" spans="1:5" ht="15.75">
      <c r="A26" s="73" t="str">
        <f>CONCATENATE("From the County Treasurer's Budget Information - ",E1," Budget Year Estimates:")</f>
        <v>From the County Treasurer's Budget Information - 2012 Budget Year Estimates:</v>
      </c>
      <c r="B26" s="19"/>
      <c r="C26" s="19"/>
      <c r="D26" s="74"/>
      <c r="E26" s="29"/>
    </row>
    <row r="27" spans="1:5" ht="15.75">
      <c r="A27" s="57" t="s">
        <v>7</v>
      </c>
      <c r="B27" s="32"/>
      <c r="C27" s="32"/>
      <c r="D27" s="75"/>
      <c r="E27" s="27">
        <v>206</v>
      </c>
    </row>
    <row r="28" spans="1:5" ht="15.75">
      <c r="A28" s="58" t="s">
        <v>8</v>
      </c>
      <c r="B28" s="59"/>
      <c r="C28" s="59"/>
      <c r="D28" s="76"/>
      <c r="E28" s="27">
        <v>0</v>
      </c>
    </row>
    <row r="29" spans="1:5" ht="15.75">
      <c r="A29" s="58" t="s">
        <v>115</v>
      </c>
      <c r="B29" s="59"/>
      <c r="C29" s="59"/>
      <c r="D29" s="76"/>
      <c r="E29" s="27">
        <v>48</v>
      </c>
    </row>
    <row r="30" spans="1:5" ht="15.75">
      <c r="A30" s="58" t="s">
        <v>110</v>
      </c>
      <c r="B30" s="59"/>
      <c r="C30" s="59"/>
      <c r="D30" s="76"/>
      <c r="E30" s="27">
        <v>0</v>
      </c>
    </row>
    <row r="31" spans="1:5" ht="15.75">
      <c r="A31" s="58" t="s">
        <v>111</v>
      </c>
      <c r="B31" s="59"/>
      <c r="C31" s="59"/>
      <c r="D31" s="76"/>
      <c r="E31" s="27">
        <v>0</v>
      </c>
    </row>
    <row r="32" spans="1:5" ht="15.75">
      <c r="A32" s="57"/>
      <c r="B32" s="32"/>
      <c r="C32" s="32"/>
      <c r="D32" s="75"/>
      <c r="E32" s="27"/>
    </row>
    <row r="33" spans="1:5" ht="15.75">
      <c r="A33" s="8" t="s">
        <v>116</v>
      </c>
      <c r="B33" s="8"/>
      <c r="C33" s="8"/>
      <c r="D33" s="8"/>
      <c r="E33" s="8"/>
    </row>
    <row r="34" spans="1:5" ht="15.75">
      <c r="A34" s="77" t="s">
        <v>81</v>
      </c>
      <c r="B34" s="16"/>
      <c r="C34" s="16"/>
      <c r="D34" s="8"/>
      <c r="E34" s="8"/>
    </row>
    <row r="35" spans="1:5" ht="15.75">
      <c r="A35" s="78" t="str">
        <f>CONCATENATE("Actual Delinquency for ",E1-3," Tax (round to three decimal places)")</f>
        <v>Actual Delinquency for 2009 Tax (round to three decimal places)</v>
      </c>
      <c r="B35" s="61"/>
      <c r="C35" s="8"/>
      <c r="D35" s="8"/>
      <c r="E35" s="79">
        <v>0.014</v>
      </c>
    </row>
    <row r="36" spans="1:5" ht="15.75">
      <c r="A36" s="78" t="s">
        <v>126</v>
      </c>
      <c r="B36" s="78"/>
      <c r="C36" s="61"/>
      <c r="D36" s="61"/>
      <c r="E36" s="210"/>
    </row>
    <row r="37" spans="1:5" ht="15.75">
      <c r="A37" s="80" t="s">
        <v>117</v>
      </c>
      <c r="B37" s="80"/>
      <c r="C37" s="81"/>
      <c r="D37" s="81"/>
      <c r="E37" s="82"/>
    </row>
    <row r="38" spans="1:5" ht="15">
      <c r="A38" s="54"/>
      <c r="B38" s="54"/>
      <c r="C38" s="54"/>
      <c r="D38" s="54"/>
      <c r="E38" s="54"/>
    </row>
    <row r="39" spans="1:5" ht="15.75">
      <c r="A39" s="293" t="str">
        <f>CONCATENATE("From the ",E1-2," Budget Certificate Page")</f>
        <v>From the 2010 Budget Certificate Page</v>
      </c>
      <c r="B39" s="294"/>
      <c r="C39" s="54"/>
      <c r="D39" s="54"/>
      <c r="E39" s="54"/>
    </row>
    <row r="40" spans="1:5" ht="15.75">
      <c r="A40" s="83"/>
      <c r="B40" s="83" t="str">
        <f>CONCATENATE("",E1-2," Expenditure Amounts")</f>
        <v>2010 Expenditure Amounts</v>
      </c>
      <c r="C40" s="295" t="str">
        <f>CONCATENATE("Note: If the ",E1-2," budget was amended, then the")</f>
        <v>Note: If the 2010 budget was amended, then the</v>
      </c>
      <c r="D40" s="296"/>
      <c r="E40" s="296"/>
    </row>
    <row r="41" spans="1:5" ht="15.75">
      <c r="A41" s="84" t="s">
        <v>133</v>
      </c>
      <c r="B41" s="84" t="s">
        <v>134</v>
      </c>
      <c r="C41" s="85" t="s">
        <v>135</v>
      </c>
      <c r="D41" s="86"/>
      <c r="E41" s="86"/>
    </row>
    <row r="42" spans="1:5" ht="15.75">
      <c r="A42" s="87" t="str">
        <f>inputPrYr!B19</f>
        <v>General</v>
      </c>
      <c r="B42" s="48">
        <v>3369</v>
      </c>
      <c r="C42" s="85" t="s">
        <v>136</v>
      </c>
      <c r="D42" s="86"/>
      <c r="E42" s="86"/>
    </row>
    <row r="43" spans="1:5" ht="15.75">
      <c r="A43" s="87" t="str">
        <f>inputPrYr!B20</f>
        <v>Debt Service</v>
      </c>
      <c r="B43" s="48">
        <v>0</v>
      </c>
      <c r="C43" s="85"/>
      <c r="D43" s="86"/>
      <c r="E43" s="86"/>
    </row>
    <row r="44" spans="1:5" ht="15.75">
      <c r="A44" s="87">
        <f>inputPrYr!B22</f>
        <v>0</v>
      </c>
      <c r="B44" s="48"/>
      <c r="C44" s="54"/>
      <c r="D44" s="54"/>
      <c r="E44" s="54"/>
    </row>
    <row r="45" spans="1:5" ht="15.75">
      <c r="A45" s="87">
        <f>inputPrYr!B23</f>
        <v>0</v>
      </c>
      <c r="B45" s="48"/>
      <c r="C45" s="54"/>
      <c r="D45" s="54"/>
      <c r="E45" s="54"/>
    </row>
    <row r="46" spans="1:5" ht="15.75">
      <c r="A46" s="87">
        <f>inputPrYr!B26</f>
        <v>0</v>
      </c>
      <c r="B46" s="48"/>
      <c r="C46" s="54"/>
      <c r="D46" s="54"/>
      <c r="E46" s="54"/>
    </row>
    <row r="47" spans="1:5" ht="15.75">
      <c r="A47" s="87">
        <f>inputPrYr!B27</f>
        <v>0</v>
      </c>
      <c r="B47" s="48"/>
      <c r="C47" s="54"/>
      <c r="D47" s="54"/>
      <c r="E47" s="54"/>
    </row>
  </sheetData>
  <sheetProtection sheet="1"/>
  <mergeCells count="4">
    <mergeCell ref="A15:B15"/>
    <mergeCell ref="A4:E4"/>
    <mergeCell ref="A39:B39"/>
    <mergeCell ref="C40:E40"/>
  </mergeCells>
  <printOptions/>
  <pageMargins left="0.75" right="0.75" top="1" bottom="1" header="0.5" footer="0.5"/>
  <pageSetup blackAndWhite="1" fitToHeight="1" fitToWidth="1" horizontalDpi="600" verticalDpi="6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5"/>
  <sheetViews>
    <sheetView zoomScalePageLayoutView="0" workbookViewId="0" topLeftCell="A7">
      <selection activeCell="E25" sqref="E25"/>
    </sheetView>
  </sheetViews>
  <sheetFormatPr defaultColWidth="8.796875" defaultRowHeight="15"/>
  <cols>
    <col min="1" max="1" width="11.796875" style="88" customWidth="1"/>
    <col min="2" max="3" width="9.796875" style="88" customWidth="1"/>
    <col min="4" max="4" width="8.796875" style="88" customWidth="1"/>
    <col min="5" max="7" width="14.796875" style="88" customWidth="1"/>
    <col min="8" max="8" width="2.69921875" style="88" customWidth="1"/>
    <col min="9" max="9" width="3.19921875" style="88" customWidth="1"/>
    <col min="10" max="16384" width="8.8984375" style="88" customWidth="1"/>
  </cols>
  <sheetData>
    <row r="1" spans="1:7" ht="15.75">
      <c r="A1" s="52"/>
      <c r="B1" s="52"/>
      <c r="C1" s="52"/>
      <c r="D1" s="52"/>
      <c r="E1" s="52"/>
      <c r="F1" s="52"/>
      <c r="G1" s="52"/>
    </row>
    <row r="2" spans="1:7" ht="15.75">
      <c r="A2" s="298" t="s">
        <v>53</v>
      </c>
      <c r="B2" s="298"/>
      <c r="C2" s="298"/>
      <c r="D2" s="298"/>
      <c r="E2" s="298"/>
      <c r="F2" s="298"/>
      <c r="G2" s="298"/>
    </row>
    <row r="3" spans="1:7" ht="15.75">
      <c r="A3" s="8"/>
      <c r="B3" s="8"/>
      <c r="C3" s="8"/>
      <c r="D3" s="8"/>
      <c r="E3" s="8"/>
      <c r="F3" s="8"/>
      <c r="G3" s="52">
        <f>inputPrYr!D6</f>
        <v>2012</v>
      </c>
    </row>
    <row r="4" spans="1:7" ht="15.75">
      <c r="A4" s="299" t="str">
        <f>CONCATENATE("To the Clerk of ",inputPrYr!D4,", State of Kansas")</f>
        <v>To the Clerk of ELK COUNTY, State of Kansas</v>
      </c>
      <c r="B4" s="299"/>
      <c r="C4" s="299"/>
      <c r="D4" s="299"/>
      <c r="E4" s="299"/>
      <c r="F4" s="299"/>
      <c r="G4" s="299"/>
    </row>
    <row r="5" spans="1:7" ht="15.75">
      <c r="A5" s="90" t="s">
        <v>108</v>
      </c>
      <c r="B5" s="16"/>
      <c r="C5" s="16"/>
      <c r="D5" s="16"/>
      <c r="E5" s="16"/>
      <c r="F5" s="16"/>
      <c r="G5" s="16"/>
    </row>
    <row r="6" spans="1:7" ht="15.75">
      <c r="A6" s="284" t="str">
        <f>inputPrYr!D3</f>
        <v>CRESCO CEMETERY</v>
      </c>
      <c r="B6" s="284"/>
      <c r="C6" s="284"/>
      <c r="D6" s="284"/>
      <c r="E6" s="284"/>
      <c r="F6" s="284"/>
      <c r="G6" s="284"/>
    </row>
    <row r="7" spans="1:7" ht="15.75">
      <c r="A7" s="8"/>
      <c r="B7" s="8"/>
      <c r="C7" s="8"/>
      <c r="D7" s="8"/>
      <c r="E7" s="8"/>
      <c r="F7" s="8"/>
      <c r="G7" s="8"/>
    </row>
    <row r="8" spans="1:7" ht="15.75">
      <c r="A8" s="90" t="s">
        <v>9</v>
      </c>
      <c r="B8" s="16"/>
      <c r="C8" s="16"/>
      <c r="D8" s="16"/>
      <c r="E8" s="16"/>
      <c r="F8" s="16"/>
      <c r="G8" s="16"/>
    </row>
    <row r="9" spans="1:7" ht="15.75">
      <c r="A9" s="90" t="s">
        <v>10</v>
      </c>
      <c r="B9" s="16"/>
      <c r="C9" s="16"/>
      <c r="D9" s="16"/>
      <c r="E9" s="16"/>
      <c r="F9" s="16"/>
      <c r="G9" s="16"/>
    </row>
    <row r="10" spans="1:7" ht="15.75">
      <c r="A10" s="90" t="str">
        <f>CONCATENATE("maximum expenditures for the various funds for the year ",G3,"; and (3) the")</f>
        <v>maximum expenditures for the various funds for the year 2012; and (3) the</v>
      </c>
      <c r="B10" s="16"/>
      <c r="C10" s="16"/>
      <c r="D10" s="16"/>
      <c r="E10" s="16"/>
      <c r="F10" s="16"/>
      <c r="G10" s="16"/>
    </row>
    <row r="11" spans="1:7" ht="15.75">
      <c r="A11" s="90" t="str">
        <f>CONCATENATE("Amount(s) of ",G3-1," Ad Valorem Tax are within statutory  limitations for the ",G3," Budget.")</f>
        <v>Amount(s) of 2011 Ad Valorem Tax are within statutory  limitations for the 2012 Budget.</v>
      </c>
      <c r="B11" s="16"/>
      <c r="C11" s="16"/>
      <c r="D11" s="16"/>
      <c r="E11" s="16"/>
      <c r="F11" s="16"/>
      <c r="G11" s="16"/>
    </row>
    <row r="12" spans="1:7" ht="15.75">
      <c r="A12" s="7"/>
      <c r="B12" s="8"/>
      <c r="C12" s="8"/>
      <c r="D12" s="92"/>
      <c r="E12" s="93"/>
      <c r="F12" s="93"/>
      <c r="G12" s="93"/>
    </row>
    <row r="13" spans="1:7" ht="15.75">
      <c r="A13" s="8"/>
      <c r="B13" s="8"/>
      <c r="C13" s="8"/>
      <c r="D13" s="8"/>
      <c r="E13" s="300" t="str">
        <f>CONCATENATE("",G3," Adopted Budget")</f>
        <v>2012 Adopted Budget</v>
      </c>
      <c r="F13" s="301"/>
      <c r="G13" s="302"/>
    </row>
    <row r="14" spans="1:8" ht="15.75">
      <c r="A14" s="7"/>
      <c r="B14" s="8"/>
      <c r="C14" s="8"/>
      <c r="D14" s="32"/>
      <c r="E14" s="94" t="s">
        <v>11</v>
      </c>
      <c r="F14" s="95"/>
      <c r="G14" s="96" t="s">
        <v>12</v>
      </c>
      <c r="H14" s="97"/>
    </row>
    <row r="15" spans="1:7" ht="15.75">
      <c r="A15" s="8"/>
      <c r="B15" s="8"/>
      <c r="C15" s="8"/>
      <c r="D15" s="95" t="s">
        <v>13</v>
      </c>
      <c r="E15" s="98" t="s">
        <v>134</v>
      </c>
      <c r="F15" s="303" t="str">
        <f>CONCATENATE("Amount of ",G3-1," Ad Valorem Tax")</f>
        <v>Amount of 2011 Ad Valorem Tax</v>
      </c>
      <c r="G15" s="96" t="s">
        <v>14</v>
      </c>
    </row>
    <row r="16" spans="1:7" ht="15.75">
      <c r="A16" s="7" t="s">
        <v>15</v>
      </c>
      <c r="B16" s="8"/>
      <c r="C16" s="8"/>
      <c r="D16" s="98" t="s">
        <v>16</v>
      </c>
      <c r="E16" s="98" t="s">
        <v>149</v>
      </c>
      <c r="F16" s="303"/>
      <c r="G16" s="96" t="s">
        <v>17</v>
      </c>
    </row>
    <row r="17" spans="1:7" ht="4.5" customHeight="1">
      <c r="A17" s="99"/>
      <c r="B17" s="99"/>
      <c r="C17" s="99"/>
      <c r="D17" s="100"/>
      <c r="E17" s="100"/>
      <c r="F17" s="101"/>
      <c r="G17" s="102"/>
    </row>
    <row r="18" spans="1:7" ht="15.75">
      <c r="A18" s="103" t="str">
        <f>CONCATENATE("Computation to Determine Limit for ",G3,"")</f>
        <v>Computation to Determine Limit for 2012</v>
      </c>
      <c r="B18" s="99"/>
      <c r="C18" s="99"/>
      <c r="D18" s="104">
        <v>2</v>
      </c>
      <c r="E18" s="93"/>
      <c r="F18" s="93"/>
      <c r="G18" s="105"/>
    </row>
    <row r="19" spans="1:7" ht="15.75">
      <c r="A19" s="106" t="s">
        <v>130</v>
      </c>
      <c r="B19" s="99"/>
      <c r="C19" s="99"/>
      <c r="D19" s="104">
        <v>3</v>
      </c>
      <c r="E19" s="93"/>
      <c r="F19" s="93"/>
      <c r="G19" s="105"/>
    </row>
    <row r="20" spans="1:7" ht="15.75">
      <c r="A20" s="106" t="s">
        <v>102</v>
      </c>
      <c r="B20" s="99"/>
      <c r="C20" s="99"/>
      <c r="D20" s="107">
        <v>4</v>
      </c>
      <c r="E20" s="93"/>
      <c r="F20" s="93"/>
      <c r="G20" s="105"/>
    </row>
    <row r="21" spans="1:7" ht="15.75">
      <c r="A21" s="103" t="s">
        <v>101</v>
      </c>
      <c r="B21" s="99"/>
      <c r="C21" s="99"/>
      <c r="D21" s="107">
        <v>5</v>
      </c>
      <c r="E21" s="93"/>
      <c r="F21" s="93"/>
      <c r="G21" s="105"/>
    </row>
    <row r="22" spans="1:7" ht="15.75">
      <c r="A22" s="108" t="s">
        <v>18</v>
      </c>
      <c r="B22" s="109"/>
      <c r="C22" s="110" t="s">
        <v>19</v>
      </c>
      <c r="D22" s="104"/>
      <c r="E22" s="111"/>
      <c r="F22" s="32"/>
      <c r="G22" s="36"/>
    </row>
    <row r="23" spans="1:7" ht="15.75">
      <c r="A23" s="112" t="s">
        <v>3</v>
      </c>
      <c r="B23" s="109"/>
      <c r="C23" s="104">
        <f>inputPrYr!C19</f>
        <v>0</v>
      </c>
      <c r="D23" s="113">
        <v>6</v>
      </c>
      <c r="E23" s="114">
        <f>IF(gen!$E$50&lt;&gt;0,gen!$E$50,"  ")</f>
        <v>3865</v>
      </c>
      <c r="F23" s="114">
        <f>IF(gen!$E$57&lt;&gt;0,gen!$E$57,"  ")</f>
        <v>3132.2799999999997</v>
      </c>
      <c r="G23" s="115" t="str">
        <f>IF(AND(gen!E57=0,$G$32&gt;=0)," ",IF(AND(F23&gt;0,$G$32=0)," ",IF(AND(F23&gt;0,$G$32&gt;0),ROUND(F23/$G$32*1000,3))))</f>
        <v> </v>
      </c>
    </row>
    <row r="24" spans="1:7" ht="15.75">
      <c r="A24" s="112" t="s">
        <v>145</v>
      </c>
      <c r="B24" s="109"/>
      <c r="C24" s="104" t="s">
        <v>109</v>
      </c>
      <c r="D24" s="113" t="e">
        <f>IF(#REF!&gt;0,#REF!," ")</f>
        <v>#REF!</v>
      </c>
      <c r="E24" s="37" t="e">
        <f>IF(#REF!&lt;&gt;0,#REF!,"  ")</f>
        <v>#REF!</v>
      </c>
      <c r="F24" s="37" t="e">
        <f>IF(#REF!&lt;&gt;0,#REF!,"  ")</f>
        <v>#REF!</v>
      </c>
      <c r="G24" s="115" t="e">
        <f>IF(AND(#REF!=0,$G$32&gt;=0)," ",IF(AND(F24&gt;0,$G$32=0)," ",IF(AND(F24&gt;0,$G$32&gt;0),ROUND(F24/$G$32*1000,3))))</f>
        <v>#REF!</v>
      </c>
    </row>
    <row r="25" spans="1:7" ht="15.75">
      <c r="A25" s="116" t="str">
        <f>IF(inputPrYr!$B$22&gt;"  ",inputPrYr!$B$22,"  ")</f>
        <v>  </v>
      </c>
      <c r="B25" s="109"/>
      <c r="C25" s="104" t="str">
        <f>IF(inputPrYr!C22&gt;0,inputPrYr!C22,"  ")</f>
        <v>  </v>
      </c>
      <c r="D25" s="113" t="e">
        <f>IF(#REF!&gt;0,#REF!," ")</f>
        <v>#REF!</v>
      </c>
      <c r="E25" s="37" t="e">
        <f>IF(#REF!&lt;&gt;0,#REF!,"  ")</f>
        <v>#REF!</v>
      </c>
      <c r="F25" s="37" t="e">
        <f>IF(#REF!&lt;&gt;0,#REF!,"  ")</f>
        <v>#REF!</v>
      </c>
      <c r="G25" s="115" t="e">
        <f>IF(AND(#REF!=0,$G$32&gt;=0)," ",IF(AND(F25&gt;0,$G$32=0)," ",IF(AND(F25&gt;0,$G$32&gt;0),ROUND(F25/$G$32*1000,3))))</f>
        <v>#REF!</v>
      </c>
    </row>
    <row r="26" spans="1:7" ht="15.75">
      <c r="A26" s="116" t="str">
        <f>IF(inputPrYr!$B$23&gt;"  ",inputPrYr!$B$23,"  ")</f>
        <v>  </v>
      </c>
      <c r="B26" s="109"/>
      <c r="C26" s="104" t="str">
        <f>IF(inputPrYr!C23&gt;0,inputPrYr!C23,"  ")</f>
        <v>  </v>
      </c>
      <c r="D26" s="113" t="e">
        <f>IF(#REF!&gt;0,#REF!," ")</f>
        <v>#REF!</v>
      </c>
      <c r="E26" s="37" t="e">
        <f>IF(#REF!&lt;&gt;0,#REF!,"  ")</f>
        <v>#REF!</v>
      </c>
      <c r="F26" s="37" t="e">
        <f>IF(#REF!&lt;&gt;0,#REF!,"  ")</f>
        <v>#REF!</v>
      </c>
      <c r="G26" s="115" t="e">
        <f>IF(AND(#REF!=0,$G$32&gt;=0)," ",IF(AND(F26&gt;0,$G$32=0)," ",IF(AND(F26&gt;0,$G$32&gt;0),ROUND(F26/$G$32*1000,3))))</f>
        <v>#REF!</v>
      </c>
    </row>
    <row r="27" spans="1:7" ht="15.75">
      <c r="A27" s="116" t="str">
        <f>IF(inputPrYr!$B$26&gt;"  ",inputPrYr!$B$26,"  ")</f>
        <v>  </v>
      </c>
      <c r="B27" s="59"/>
      <c r="C27" s="117"/>
      <c r="D27" s="113" t="e">
        <f>IF(#REF!&gt;0,#REF!," ")</f>
        <v>#REF!</v>
      </c>
      <c r="E27" s="37" t="e">
        <f>IF(#REF!&lt;&gt;0,#REF!,"  ")</f>
        <v>#REF!</v>
      </c>
      <c r="F27" s="118"/>
      <c r="G27" s="115"/>
    </row>
    <row r="28" spans="1:7" ht="15.75">
      <c r="A28" s="119" t="str">
        <f>IF(inputPrYr!$B$27&gt;"  ",inputPrYr!$B$27,"  ")</f>
        <v>  </v>
      </c>
      <c r="B28" s="120"/>
      <c r="C28" s="117"/>
      <c r="D28" s="113" t="e">
        <f>IF(#REF!&gt;0,#REF!," ")</f>
        <v>#REF!</v>
      </c>
      <c r="E28" s="37" t="e">
        <f>IF(#REF!&lt;&gt;0,#REF!,"  ")</f>
        <v>#REF!</v>
      </c>
      <c r="F28" s="118"/>
      <c r="G28" s="115"/>
    </row>
    <row r="29" spans="1:7" ht="15.75">
      <c r="A29" s="119">
        <f>IF((inputPrYr!$B$30&gt;" "),(#REF!),"")</f>
      </c>
      <c r="B29" s="120"/>
      <c r="C29" s="96"/>
      <c r="D29" s="113" t="e">
        <f>IF(#REF!&gt;0,#REF!,"")</f>
        <v>#REF!</v>
      </c>
      <c r="E29" s="121"/>
      <c r="F29" s="122"/>
      <c r="G29" s="123"/>
    </row>
    <row r="30" spans="1:7" ht="15.75">
      <c r="A30" s="124" t="s">
        <v>98</v>
      </c>
      <c r="B30" s="59"/>
      <c r="C30" s="109"/>
      <c r="D30" s="125" t="s">
        <v>20</v>
      </c>
      <c r="E30" s="211" t="e">
        <f>SUM(E23:E28)</f>
        <v>#REF!</v>
      </c>
      <c r="F30" s="212" t="e">
        <f>SUM(F23:F28)</f>
        <v>#REF!</v>
      </c>
      <c r="G30" s="216" t="e">
        <f>IF(SUM(G23:G28)=0,"",SUM(G23:G28))</f>
        <v>#REF!</v>
      </c>
    </row>
    <row r="31" spans="1:7" ht="15.75">
      <c r="A31" s="112" t="s">
        <v>124</v>
      </c>
      <c r="B31" s="59"/>
      <c r="C31" s="109"/>
      <c r="D31" s="128">
        <f>summ!E34</f>
        <v>5</v>
      </c>
      <c r="E31" s="132" t="s">
        <v>123</v>
      </c>
      <c r="F31" s="215" t="e">
        <f>IF(F30&gt;computation!J34,"Yes","No")</f>
        <v>#REF!</v>
      </c>
      <c r="G31" s="217" t="s">
        <v>100</v>
      </c>
    </row>
    <row r="32" spans="1:7" ht="15.75">
      <c r="A32" s="112" t="s">
        <v>138</v>
      </c>
      <c r="B32" s="130"/>
      <c r="C32" s="131"/>
      <c r="D32" s="128" t="e">
        <f>IF(#REF!=0,"",#REF!)</f>
        <v>#REF!</v>
      </c>
      <c r="E32" s="213"/>
      <c r="F32" s="61"/>
      <c r="G32" s="137"/>
    </row>
    <row r="33" spans="1:7" ht="15.75">
      <c r="A33" s="133" t="s">
        <v>122</v>
      </c>
      <c r="B33" s="59"/>
      <c r="C33" s="109"/>
      <c r="D33" s="128" t="e">
        <f>IF(Resolution!#REF!=0,"",Resolution!#REF!)</f>
        <v>#REF!</v>
      </c>
      <c r="E33" s="52"/>
      <c r="F33" s="61"/>
      <c r="G33" s="304" t="str">
        <f>CONCATENATE("Nov. 1, ",G3," Total Assessed Valuation")</f>
        <v>Nov. 1, 2012 Total Assessed Valuation</v>
      </c>
    </row>
    <row r="34" spans="1:7" ht="15.75">
      <c r="A34" s="11"/>
      <c r="B34" s="61"/>
      <c r="C34" s="8"/>
      <c r="D34" s="134"/>
      <c r="E34" s="52"/>
      <c r="F34" s="61"/>
      <c r="G34" s="305"/>
    </row>
    <row r="35" spans="1:7" ht="15.75">
      <c r="A35" s="135" t="s">
        <v>152</v>
      </c>
      <c r="B35" s="61"/>
      <c r="C35" s="61"/>
      <c r="D35" s="61"/>
      <c r="E35" s="129"/>
      <c r="F35" s="61"/>
      <c r="G35" s="8"/>
    </row>
    <row r="36" spans="1:7" ht="15.75">
      <c r="A36" s="224"/>
      <c r="B36" s="224"/>
      <c r="C36" s="61"/>
      <c r="D36" s="61"/>
      <c r="E36" s="136"/>
      <c r="F36" s="61"/>
      <c r="G36" s="8"/>
    </row>
    <row r="37" spans="1:7" ht="15.75">
      <c r="A37" s="225"/>
      <c r="B37" s="226"/>
      <c r="C37" s="61"/>
      <c r="D37" s="61"/>
      <c r="E37" s="229"/>
      <c r="F37" s="61"/>
      <c r="G37" s="8"/>
    </row>
    <row r="38" spans="1:7" ht="15.75">
      <c r="A38" s="138" t="s">
        <v>153</v>
      </c>
      <c r="B38" s="61"/>
      <c r="C38" s="61"/>
      <c r="D38" s="120"/>
      <c r="E38" s="230"/>
      <c r="F38" s="120"/>
      <c r="G38" s="120"/>
    </row>
    <row r="39" spans="1:7" ht="15.75">
      <c r="A39" s="224"/>
      <c r="B39" s="224"/>
      <c r="C39" s="61"/>
      <c r="D39" s="32"/>
      <c r="E39" s="219"/>
      <c r="F39" s="219"/>
      <c r="G39" s="32"/>
    </row>
    <row r="40" spans="1:7" ht="15.75">
      <c r="A40" s="226"/>
      <c r="B40" s="227"/>
      <c r="C40" s="44"/>
      <c r="D40" s="8"/>
      <c r="E40" s="139"/>
      <c r="F40" s="139"/>
      <c r="G40" s="8"/>
    </row>
    <row r="41" spans="1:7" ht="15.75">
      <c r="A41" s="226"/>
      <c r="B41" s="226"/>
      <c r="C41" s="8"/>
      <c r="D41" s="32"/>
      <c r="E41" s="184"/>
      <c r="F41" s="32"/>
      <c r="G41" s="32"/>
    </row>
    <row r="42" spans="1:7" ht="15.75">
      <c r="A42" s="228"/>
      <c r="B42" s="226"/>
      <c r="C42" s="7"/>
      <c r="D42" s="214"/>
      <c r="E42" s="140"/>
      <c r="F42" s="8"/>
      <c r="G42" s="8"/>
    </row>
    <row r="43" spans="1:7" ht="15.75">
      <c r="A43" s="11"/>
      <c r="B43" s="61"/>
      <c r="C43" s="61"/>
      <c r="D43" s="218"/>
      <c r="E43" s="218"/>
      <c r="F43" s="141"/>
      <c r="G43" s="141"/>
    </row>
    <row r="44" spans="1:7" ht="15.75">
      <c r="A44" s="11"/>
      <c r="B44" s="93"/>
      <c r="C44" s="61"/>
      <c r="D44" s="140"/>
      <c r="E44" s="140"/>
      <c r="F44" s="44"/>
      <c r="G44" s="44"/>
    </row>
    <row r="45" spans="1:7" ht="15.75">
      <c r="A45" s="11"/>
      <c r="B45" s="61"/>
      <c r="C45" s="61"/>
      <c r="D45" s="218"/>
      <c r="E45" s="218"/>
      <c r="F45" s="141"/>
      <c r="G45" s="141"/>
    </row>
    <row r="46" spans="1:7" ht="15.75">
      <c r="A46" s="61"/>
      <c r="B46" s="61"/>
      <c r="C46" s="61"/>
      <c r="D46" s="44"/>
      <c r="E46" s="44"/>
      <c r="F46" s="44"/>
      <c r="G46" s="44"/>
    </row>
    <row r="47" spans="1:7" ht="15.75">
      <c r="A47" s="7" t="s">
        <v>120</v>
      </c>
      <c r="B47" s="8"/>
      <c r="C47" s="7">
        <f>G3-1</f>
        <v>2011</v>
      </c>
      <c r="D47" s="32"/>
      <c r="E47" s="32"/>
      <c r="F47" s="141"/>
      <c r="G47" s="141"/>
    </row>
    <row r="48" spans="1:7" ht="15.75">
      <c r="A48" s="140"/>
      <c r="B48" s="61"/>
      <c r="C48" s="7"/>
      <c r="D48" s="8"/>
      <c r="E48" s="8"/>
      <c r="F48" s="16"/>
      <c r="G48" s="16"/>
    </row>
    <row r="49" spans="1:7" ht="15.75">
      <c r="A49" s="306"/>
      <c r="B49" s="307"/>
      <c r="C49" s="8"/>
      <c r="D49" s="32"/>
      <c r="E49" s="32"/>
      <c r="F49" s="32"/>
      <c r="G49" s="32"/>
    </row>
    <row r="50" spans="1:7" ht="15.75">
      <c r="A50" s="16" t="s">
        <v>22</v>
      </c>
      <c r="B50" s="16"/>
      <c r="C50" s="8"/>
      <c r="D50" s="308" t="s">
        <v>21</v>
      </c>
      <c r="E50" s="309"/>
      <c r="F50" s="309"/>
      <c r="G50" s="309"/>
    </row>
    <row r="51" spans="1:7" ht="15.75">
      <c r="A51" s="310"/>
      <c r="B51" s="310"/>
      <c r="C51" s="310"/>
      <c r="D51" s="310"/>
      <c r="E51" s="310"/>
      <c r="F51" s="310"/>
      <c r="G51" s="310"/>
    </row>
    <row r="52" spans="1:7" ht="15.75">
      <c r="A52" s="311"/>
      <c r="B52" s="311"/>
      <c r="C52" s="311"/>
      <c r="D52" s="311"/>
      <c r="E52" s="311"/>
      <c r="F52" s="311"/>
      <c r="G52" s="311"/>
    </row>
    <row r="53" spans="1:7" ht="15.75">
      <c r="A53" s="6"/>
      <c r="B53" s="6"/>
      <c r="C53" s="6"/>
      <c r="D53" s="6"/>
      <c r="E53" s="6"/>
      <c r="F53" s="6"/>
      <c r="G53" s="297"/>
    </row>
    <row r="54" spans="1:7" ht="15.75">
      <c r="A54" s="6"/>
      <c r="B54" s="6"/>
      <c r="C54" s="6"/>
      <c r="D54" s="6"/>
      <c r="E54" s="6"/>
      <c r="F54" s="6"/>
      <c r="G54" s="297"/>
    </row>
    <row r="55" spans="1:7" ht="15.75">
      <c r="A55" s="6"/>
      <c r="B55" s="6"/>
      <c r="C55" s="6"/>
      <c r="D55" s="6"/>
      <c r="E55" s="6"/>
      <c r="F55" s="6"/>
      <c r="G55" s="297"/>
    </row>
    <row r="56" spans="1:7" ht="15.75">
      <c r="A56" s="6"/>
      <c r="B56" s="6"/>
      <c r="C56" s="6"/>
      <c r="D56" s="6"/>
      <c r="E56" s="6"/>
      <c r="F56" s="6"/>
      <c r="G56" s="297"/>
    </row>
    <row r="57" spans="1:7" ht="15.75">
      <c r="A57" s="6"/>
      <c r="B57" s="6"/>
      <c r="C57" s="6"/>
      <c r="D57" s="142"/>
      <c r="E57" s="6"/>
      <c r="F57" s="6"/>
      <c r="G57" s="297"/>
    </row>
    <row r="58" ht="15.75">
      <c r="G58" s="297"/>
    </row>
    <row r="59" ht="15.75">
      <c r="G59" s="297"/>
    </row>
    <row r="60" ht="15.75">
      <c r="G60" s="297"/>
    </row>
    <row r="61" ht="15.75">
      <c r="G61" s="297"/>
    </row>
    <row r="62" ht="15.75">
      <c r="G62" s="297"/>
    </row>
    <row r="63" ht="15.75">
      <c r="G63" s="297"/>
    </row>
    <row r="64" ht="15.75">
      <c r="G64" s="297"/>
    </row>
    <row r="65" ht="15.75">
      <c r="G65" s="297"/>
    </row>
  </sheetData>
  <sheetProtection sheet="1"/>
  <mergeCells count="16">
    <mergeCell ref="A51:A52"/>
    <mergeCell ref="B51:B52"/>
    <mergeCell ref="C51:C52"/>
    <mergeCell ref="D51:D52"/>
    <mergeCell ref="E51:E52"/>
    <mergeCell ref="F51:F52"/>
    <mergeCell ref="G53:G65"/>
    <mergeCell ref="A2:G2"/>
    <mergeCell ref="A4:G4"/>
    <mergeCell ref="A6:G6"/>
    <mergeCell ref="E13:G13"/>
    <mergeCell ref="F15:F16"/>
    <mergeCell ref="G33:G34"/>
    <mergeCell ref="A49:B49"/>
    <mergeCell ref="D50:G50"/>
    <mergeCell ref="G51:G52"/>
  </mergeCells>
  <printOptions/>
  <pageMargins left="1.25" right="0.5" top="0" bottom="0.5" header="0" footer="0.5"/>
  <pageSetup blackAndWhite="1" fitToHeight="1" fitToWidth="1" horizontalDpi="120" verticalDpi="120" orientation="portrait" scale="79" r:id="rId1"/>
  <headerFooter alignWithMargins="0">
    <oddHeader>&amp;RState of Kansas
Special District
</oddHeader>
    <oddFooter>&amp;CPage No. 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="85" zoomScaleNormal="85" zoomScalePageLayoutView="0" workbookViewId="0" topLeftCell="A10">
      <selection activeCell="J33" sqref="J33"/>
    </sheetView>
  </sheetViews>
  <sheetFormatPr defaultColWidth="8.796875" defaultRowHeight="15.75" customHeight="1"/>
  <cols>
    <col min="1" max="2" width="3.296875" style="143" customWidth="1"/>
    <col min="3" max="3" width="31.296875" style="143" customWidth="1"/>
    <col min="4" max="4" width="2.296875" style="143" customWidth="1"/>
    <col min="5" max="5" width="15.796875" style="143" customWidth="1"/>
    <col min="6" max="6" width="2" style="143" customWidth="1"/>
    <col min="7" max="7" width="15.796875" style="143" customWidth="1"/>
    <col min="8" max="8" width="1.8984375" style="143" customWidth="1"/>
    <col min="9" max="9" width="1.796875" style="143" customWidth="1"/>
    <col min="10" max="10" width="15.796875" style="143" customWidth="1"/>
    <col min="11" max="16384" width="8.8984375" style="143" customWidth="1"/>
  </cols>
  <sheetData>
    <row r="1" spans="1:10" ht="15.75" customHeight="1">
      <c r="A1" s="8"/>
      <c r="B1" s="8"/>
      <c r="C1" s="8" t="str">
        <f>inputPrYr!D3</f>
        <v>CRESCO CEMETERY</v>
      </c>
      <c r="D1" s="8"/>
      <c r="E1" s="8"/>
      <c r="F1" s="8"/>
      <c r="G1" s="8"/>
      <c r="H1" s="8"/>
      <c r="I1" s="8"/>
      <c r="J1" s="8">
        <f>inputPrYr!D6</f>
        <v>2012</v>
      </c>
    </row>
    <row r="2" spans="1:10" ht="15.75" customHeight="1">
      <c r="A2" s="8"/>
      <c r="B2" s="8"/>
      <c r="C2" s="8" t="str">
        <f>inputPrYr!D4</f>
        <v>ELK COUNTY</v>
      </c>
      <c r="D2" s="8"/>
      <c r="E2" s="8"/>
      <c r="F2" s="8"/>
      <c r="G2" s="8"/>
      <c r="H2" s="8"/>
      <c r="I2" s="8"/>
      <c r="J2" s="8"/>
    </row>
    <row r="3" spans="1:10" ht="15.75">
      <c r="A3" s="286" t="str">
        <f>CONCATENATE("Computation to Determine Limit for ",J1,"")</f>
        <v>Computation to Determine Limit for 2012</v>
      </c>
      <c r="B3" s="298"/>
      <c r="C3" s="298"/>
      <c r="D3" s="298"/>
      <c r="E3" s="298"/>
      <c r="F3" s="298"/>
      <c r="G3" s="298"/>
      <c r="H3" s="298"/>
      <c r="I3" s="298"/>
      <c r="J3" s="298"/>
    </row>
    <row r="4" spans="1:10" ht="15.75">
      <c r="A4" s="8"/>
      <c r="B4" s="8"/>
      <c r="C4" s="8"/>
      <c r="D4" s="8"/>
      <c r="E4" s="298"/>
      <c r="F4" s="298"/>
      <c r="G4" s="298"/>
      <c r="H4" s="89"/>
      <c r="I4" s="8"/>
      <c r="J4" s="144" t="s">
        <v>60</v>
      </c>
    </row>
    <row r="5" spans="1:10" ht="15.75">
      <c r="A5" s="145" t="s">
        <v>61</v>
      </c>
      <c r="B5" s="8" t="str">
        <f>CONCATENATE("Total Tax Levy Amount in ",J1-1," Budget")</f>
        <v>Total Tax Levy Amount in 2011 Budget</v>
      </c>
      <c r="C5" s="8"/>
      <c r="D5" s="8"/>
      <c r="E5" s="29"/>
      <c r="F5" s="29"/>
      <c r="G5" s="29"/>
      <c r="H5" s="146" t="s">
        <v>62</v>
      </c>
      <c r="I5" s="29" t="s">
        <v>63</v>
      </c>
      <c r="J5" s="201">
        <f>inputPrYr!E24</f>
        <v>2779</v>
      </c>
    </row>
    <row r="6" spans="1:10" ht="15.75">
      <c r="A6" s="145" t="s">
        <v>64</v>
      </c>
      <c r="B6" s="8" t="str">
        <f>CONCATENATE("Debt Service Levy in ",J1-1," Budget")</f>
        <v>Debt Service Levy in 2011 Budget</v>
      </c>
      <c r="C6" s="8"/>
      <c r="D6" s="8"/>
      <c r="E6" s="29"/>
      <c r="F6" s="29"/>
      <c r="G6" s="29"/>
      <c r="H6" s="146" t="s">
        <v>65</v>
      </c>
      <c r="I6" s="29" t="s">
        <v>63</v>
      </c>
      <c r="J6" s="147">
        <f>inputPrYr!E20</f>
        <v>0</v>
      </c>
    </row>
    <row r="7" spans="1:10" ht="15.75">
      <c r="A7" s="145" t="s">
        <v>88</v>
      </c>
      <c r="B7" s="17" t="s">
        <v>82</v>
      </c>
      <c r="C7" s="8"/>
      <c r="D7" s="8"/>
      <c r="E7" s="29"/>
      <c r="F7" s="29"/>
      <c r="G7" s="29"/>
      <c r="H7" s="29"/>
      <c r="I7" s="29" t="s">
        <v>63</v>
      </c>
      <c r="J7" s="33">
        <f>J5-J6</f>
        <v>2779</v>
      </c>
    </row>
    <row r="8" spans="1:10" ht="15.75">
      <c r="A8" s="8"/>
      <c r="B8" s="8"/>
      <c r="C8" s="8"/>
      <c r="D8" s="8"/>
      <c r="E8" s="29"/>
      <c r="F8" s="29"/>
      <c r="G8" s="29"/>
      <c r="H8" s="29"/>
      <c r="I8" s="29"/>
      <c r="J8" s="29"/>
    </row>
    <row r="9" spans="1:10" ht="15.75">
      <c r="A9" s="8"/>
      <c r="B9" s="17" t="str">
        <f>CONCATENATE("",J1-1," Valuation Information for Valuation Adjustments:")</f>
        <v>2011 Valuation Information for Valuation Adjustments:</v>
      </c>
      <c r="C9" s="8"/>
      <c r="D9" s="8"/>
      <c r="E9" s="29"/>
      <c r="F9" s="29"/>
      <c r="G9" s="29"/>
      <c r="H9" s="29"/>
      <c r="I9" s="29"/>
      <c r="J9" s="29"/>
    </row>
    <row r="10" spans="1:10" ht="15.75">
      <c r="A10" s="8"/>
      <c r="B10" s="8"/>
      <c r="C10" s="17"/>
      <c r="D10" s="8"/>
      <c r="E10" s="29"/>
      <c r="F10" s="29"/>
      <c r="G10" s="29"/>
      <c r="H10" s="29"/>
      <c r="I10" s="29"/>
      <c r="J10" s="29"/>
    </row>
    <row r="11" spans="1:10" ht="15.75">
      <c r="A11" s="145" t="s">
        <v>66</v>
      </c>
      <c r="B11" s="17" t="str">
        <f>CONCATENATE("New Improvements for ",J1-1,":")</f>
        <v>New Improvements for 2011:</v>
      </c>
      <c r="C11" s="8"/>
      <c r="D11" s="8"/>
      <c r="E11" s="146"/>
      <c r="F11" s="146" t="s">
        <v>62</v>
      </c>
      <c r="G11" s="148">
        <f>inputOth!E8</f>
        <v>16079</v>
      </c>
      <c r="H11" s="149"/>
      <c r="I11" s="29"/>
      <c r="J11" s="29"/>
    </row>
    <row r="12" spans="1:10" ht="15.75">
      <c r="A12" s="145"/>
      <c r="B12" s="145"/>
      <c r="C12" s="8"/>
      <c r="D12" s="8"/>
      <c r="E12" s="146"/>
      <c r="F12" s="146"/>
      <c r="G12" s="149"/>
      <c r="H12" s="149"/>
      <c r="I12" s="29"/>
      <c r="J12" s="29"/>
    </row>
    <row r="13" spans="1:10" ht="15.75">
      <c r="A13" s="145" t="s">
        <v>67</v>
      </c>
      <c r="B13" s="17" t="str">
        <f>CONCATENATE("Increase in Personal Property for ",J1-1,":")</f>
        <v>Increase in Personal Property for 2011:</v>
      </c>
      <c r="C13" s="8"/>
      <c r="D13" s="8"/>
      <c r="E13" s="146"/>
      <c r="F13" s="146"/>
      <c r="G13" s="149"/>
      <c r="H13" s="149"/>
      <c r="I13" s="29"/>
      <c r="J13" s="29"/>
    </row>
    <row r="14" spans="1:10" ht="15.75">
      <c r="A14" s="8"/>
      <c r="B14" s="8" t="s">
        <v>68</v>
      </c>
      <c r="C14" s="8" t="str">
        <f>CONCATENATE("Personal Property ",J1-1,"")</f>
        <v>Personal Property 2011</v>
      </c>
      <c r="D14" s="145" t="s">
        <v>62</v>
      </c>
      <c r="E14" s="148">
        <f>inputOth!E9</f>
        <v>551371</v>
      </c>
      <c r="F14" s="146"/>
      <c r="G14" s="29"/>
      <c r="H14" s="29"/>
      <c r="I14" s="149"/>
      <c r="J14" s="29"/>
    </row>
    <row r="15" spans="1:10" ht="15.75">
      <c r="A15" s="145"/>
      <c r="B15" s="8" t="s">
        <v>69</v>
      </c>
      <c r="C15" s="8" t="str">
        <f>CONCATENATE("Personal Property ",J1-2,"")</f>
        <v>Personal Property 2010</v>
      </c>
      <c r="D15" s="145" t="s">
        <v>65</v>
      </c>
      <c r="E15" s="33">
        <f>inputOth!E11</f>
        <v>607110</v>
      </c>
      <c r="F15" s="146"/>
      <c r="G15" s="149"/>
      <c r="H15" s="149"/>
      <c r="I15" s="29"/>
      <c r="J15" s="29"/>
    </row>
    <row r="16" spans="1:10" ht="15.75">
      <c r="A16" s="145"/>
      <c r="B16" s="8" t="s">
        <v>70</v>
      </c>
      <c r="C16" s="8" t="s">
        <v>83</v>
      </c>
      <c r="D16" s="8"/>
      <c r="E16" s="29"/>
      <c r="F16" s="29" t="s">
        <v>62</v>
      </c>
      <c r="G16" s="148">
        <f>IF(E14&gt;E15,E14-E15,0)</f>
        <v>0</v>
      </c>
      <c r="H16" s="149"/>
      <c r="I16" s="29"/>
      <c r="J16" s="29"/>
    </row>
    <row r="17" spans="1:10" ht="15.75">
      <c r="A17" s="145"/>
      <c r="B17" s="145"/>
      <c r="C17" s="8"/>
      <c r="D17" s="8"/>
      <c r="E17" s="29"/>
      <c r="F17" s="29"/>
      <c r="G17" s="149" t="s">
        <v>78</v>
      </c>
      <c r="H17" s="149"/>
      <c r="I17" s="29"/>
      <c r="J17" s="29"/>
    </row>
    <row r="18" spans="1:10" ht="15.75">
      <c r="A18" s="145" t="s">
        <v>71</v>
      </c>
      <c r="B18" s="17" t="str">
        <f>CONCATENATE("Valuation of Property that has Changed in Use during ",J1-1,":")</f>
        <v>Valuation of Property that has Changed in Use during 2011:</v>
      </c>
      <c r="C18" s="8"/>
      <c r="D18" s="145"/>
      <c r="E18" s="29"/>
      <c r="F18" s="29"/>
      <c r="G18" s="29">
        <f>inputOth!E10</f>
        <v>0</v>
      </c>
      <c r="H18" s="29"/>
      <c r="I18" s="29"/>
      <c r="J18" s="29"/>
    </row>
    <row r="19" spans="1:10" ht="15.75">
      <c r="A19" s="8" t="s">
        <v>11</v>
      </c>
      <c r="B19" s="8"/>
      <c r="C19" s="8"/>
      <c r="D19" s="8"/>
      <c r="E19" s="149"/>
      <c r="F19" s="29"/>
      <c r="G19" s="150"/>
      <c r="H19" s="149"/>
      <c r="I19" s="29"/>
      <c r="J19" s="29"/>
    </row>
    <row r="20" spans="1:10" ht="15.75">
      <c r="A20" s="145" t="s">
        <v>72</v>
      </c>
      <c r="B20" s="17" t="s">
        <v>84</v>
      </c>
      <c r="C20" s="8"/>
      <c r="D20" s="145"/>
      <c r="E20" s="29"/>
      <c r="F20" s="29"/>
      <c r="G20" s="148">
        <f>G11+G16+G18</f>
        <v>16079</v>
      </c>
      <c r="H20" s="149"/>
      <c r="I20" s="29"/>
      <c r="J20" s="29"/>
    </row>
    <row r="21" spans="1:10" ht="15.75">
      <c r="A21" s="145"/>
      <c r="B21" s="145"/>
      <c r="C21" s="17"/>
      <c r="D21" s="8"/>
      <c r="E21" s="29"/>
      <c r="F21" s="29"/>
      <c r="G21" s="149"/>
      <c r="H21" s="149"/>
      <c r="I21" s="29"/>
      <c r="J21" s="29"/>
    </row>
    <row r="22" spans="1:10" ht="15.75">
      <c r="A22" s="145" t="s">
        <v>73</v>
      </c>
      <c r="B22" s="8" t="str">
        <f>CONCATENATE("Total Estimated Valuation July, 1,",J1-1,"")</f>
        <v>Total Estimated Valuation July, 1,2011</v>
      </c>
      <c r="C22" s="8"/>
      <c r="D22" s="8"/>
      <c r="E22" s="148">
        <f>inputOth!E7</f>
        <v>1900006</v>
      </c>
      <c r="F22" s="29"/>
      <c r="G22" s="29"/>
      <c r="H22" s="29"/>
      <c r="I22" s="146"/>
      <c r="J22" s="29"/>
    </row>
    <row r="23" spans="1:10" ht="15.75">
      <c r="A23" s="145"/>
      <c r="B23" s="145"/>
      <c r="C23" s="8"/>
      <c r="D23" s="8"/>
      <c r="E23" s="149"/>
      <c r="F23" s="29"/>
      <c r="G23" s="29"/>
      <c r="H23" s="29"/>
      <c r="I23" s="146"/>
      <c r="J23" s="29"/>
    </row>
    <row r="24" spans="1:10" ht="15.75">
      <c r="A24" s="145" t="s">
        <v>74</v>
      </c>
      <c r="B24" s="17" t="s">
        <v>85</v>
      </c>
      <c r="C24" s="8"/>
      <c r="D24" s="8"/>
      <c r="E24" s="29"/>
      <c r="F24" s="29"/>
      <c r="G24" s="148">
        <f>E22-G20</f>
        <v>1883927</v>
      </c>
      <c r="H24" s="149"/>
      <c r="I24" s="146"/>
      <c r="J24" s="29"/>
    </row>
    <row r="25" spans="1:10" ht="15.75">
      <c r="A25" s="145"/>
      <c r="B25" s="145"/>
      <c r="C25" s="17"/>
      <c r="D25" s="8"/>
      <c r="E25" s="29"/>
      <c r="F25" s="29"/>
      <c r="G25" s="150"/>
      <c r="H25" s="149"/>
      <c r="I25" s="146"/>
      <c r="J25" s="29"/>
    </row>
    <row r="26" spans="1:10" ht="15.75">
      <c r="A26" s="145" t="s">
        <v>75</v>
      </c>
      <c r="B26" s="8" t="s">
        <v>86</v>
      </c>
      <c r="C26" s="8"/>
      <c r="D26" s="8"/>
      <c r="E26" s="8"/>
      <c r="F26" s="8"/>
      <c r="G26" s="151">
        <f>IF(G20&gt;0,G20/G24,0)</f>
        <v>0.008534831763651139</v>
      </c>
      <c r="H26" s="61"/>
      <c r="I26" s="8"/>
      <c r="J26" s="8"/>
    </row>
    <row r="27" spans="1:10" ht="15.75">
      <c r="A27" s="145"/>
      <c r="B27" s="145"/>
      <c r="C27" s="8"/>
      <c r="D27" s="8"/>
      <c r="E27" s="8"/>
      <c r="F27" s="8"/>
      <c r="G27" s="61"/>
      <c r="H27" s="61"/>
      <c r="I27" s="8"/>
      <c r="J27" s="8"/>
    </row>
    <row r="28" spans="1:10" ht="15.75">
      <c r="A28" s="145" t="s">
        <v>76</v>
      </c>
      <c r="B28" s="8" t="s">
        <v>87</v>
      </c>
      <c r="C28" s="8"/>
      <c r="D28" s="8"/>
      <c r="E28" s="8"/>
      <c r="F28" s="8"/>
      <c r="G28" s="61"/>
      <c r="H28" s="152" t="s">
        <v>62</v>
      </c>
      <c r="I28" s="8" t="s">
        <v>63</v>
      </c>
      <c r="J28" s="148">
        <f>ROUND(G26*J7,0)</f>
        <v>24</v>
      </c>
    </row>
    <row r="29" spans="1:10" ht="15.75">
      <c r="A29" s="145"/>
      <c r="B29" s="145"/>
      <c r="C29" s="8"/>
      <c r="D29" s="8"/>
      <c r="E29" s="8"/>
      <c r="F29" s="8"/>
      <c r="G29" s="61"/>
      <c r="H29" s="152"/>
      <c r="I29" s="8"/>
      <c r="J29" s="149"/>
    </row>
    <row r="30" spans="1:10" ht="16.5" thickBot="1">
      <c r="A30" s="145" t="s">
        <v>77</v>
      </c>
      <c r="B30" s="17" t="s">
        <v>92</v>
      </c>
      <c r="C30" s="8"/>
      <c r="D30" s="8"/>
      <c r="E30" s="8"/>
      <c r="F30" s="8"/>
      <c r="G30" s="8"/>
      <c r="H30" s="8"/>
      <c r="I30" s="8" t="s">
        <v>63</v>
      </c>
      <c r="J30" s="153">
        <f>J7+J28</f>
        <v>2803</v>
      </c>
    </row>
    <row r="31" spans="1:10" ht="16.5" thickTop="1">
      <c r="A31" s="145"/>
      <c r="B31" s="17"/>
      <c r="C31" s="8"/>
      <c r="D31" s="8"/>
      <c r="E31" s="8"/>
      <c r="F31" s="8"/>
      <c r="G31" s="8"/>
      <c r="H31" s="8"/>
      <c r="I31" s="8"/>
      <c r="J31" s="8"/>
    </row>
    <row r="32" spans="1:10" ht="15.75">
      <c r="A32" s="145" t="s">
        <v>90</v>
      </c>
      <c r="B32" s="17" t="str">
        <f>CONCATENATE("Debt Service Levy in this ",J1," Budget")</f>
        <v>Debt Service Levy in this 2012 Budget</v>
      </c>
      <c r="C32" s="8"/>
      <c r="D32" s="8"/>
      <c r="E32" s="8"/>
      <c r="F32" s="8"/>
      <c r="G32" s="8"/>
      <c r="H32" s="8"/>
      <c r="I32" s="8"/>
      <c r="J32" s="154">
        <v>0</v>
      </c>
    </row>
    <row r="33" spans="1:10" ht="15.75">
      <c r="A33" s="145"/>
      <c r="B33" s="17"/>
      <c r="C33" s="8"/>
      <c r="D33" s="8"/>
      <c r="E33" s="8"/>
      <c r="F33" s="8"/>
      <c r="G33" s="8"/>
      <c r="H33" s="8"/>
      <c r="I33" s="8"/>
      <c r="J33" s="61"/>
    </row>
    <row r="34" spans="1:10" ht="16.5" thickBot="1">
      <c r="A34" s="145" t="s">
        <v>91</v>
      </c>
      <c r="B34" s="17" t="s">
        <v>93</v>
      </c>
      <c r="C34" s="8"/>
      <c r="D34" s="8"/>
      <c r="E34" s="8"/>
      <c r="F34" s="8"/>
      <c r="G34" s="8"/>
      <c r="H34" s="8"/>
      <c r="I34" s="8"/>
      <c r="J34" s="153">
        <f>J30+J32</f>
        <v>2803</v>
      </c>
    </row>
    <row r="35" spans="1:10" ht="16.5" thickTop="1">
      <c r="A35" s="8"/>
      <c r="B35" s="8"/>
      <c r="C35" s="8"/>
      <c r="D35" s="8"/>
      <c r="E35" s="8"/>
      <c r="F35" s="8"/>
      <c r="G35" s="8"/>
      <c r="H35" s="8"/>
      <c r="I35" s="8"/>
      <c r="J35" s="8"/>
    </row>
    <row r="36" spans="1:10" ht="15.75">
      <c r="A36" s="312" t="str">
        <f>CONCATENATE("If the ",J1," budget includes tax levies exceeding the total on line 14, you must")</f>
        <v>If the 2012 budget includes tax levies exceeding the total on line 14, you must</v>
      </c>
      <c r="B36" s="312"/>
      <c r="C36" s="312"/>
      <c r="D36" s="312"/>
      <c r="E36" s="312"/>
      <c r="F36" s="312"/>
      <c r="G36" s="312"/>
      <c r="H36" s="312"/>
      <c r="I36" s="312"/>
      <c r="J36" s="312"/>
    </row>
    <row r="37" spans="1:10" ht="15.75">
      <c r="A37" s="312" t="s">
        <v>89</v>
      </c>
      <c r="B37" s="312"/>
      <c r="C37" s="312"/>
      <c r="D37" s="312"/>
      <c r="E37" s="312"/>
      <c r="F37" s="312"/>
      <c r="G37" s="312"/>
      <c r="H37" s="312"/>
      <c r="I37" s="312"/>
      <c r="J37" s="312"/>
    </row>
  </sheetData>
  <sheetProtection/>
  <mergeCells count="4">
    <mergeCell ref="A36:J36"/>
    <mergeCell ref="A37:J37"/>
    <mergeCell ref="A3:J3"/>
    <mergeCell ref="E4:G4"/>
  </mergeCells>
  <printOptions/>
  <pageMargins left="0.5" right="0.5" top="0.75" bottom="0.5" header="0.5" footer="0.5"/>
  <pageSetup blackAndWhite="1" fitToHeight="1" fitToWidth="1" horizontalDpi="600" verticalDpi="600" orientation="portrait" scale="80" r:id="rId1"/>
  <headerFooter alignWithMargins="0">
    <oddHeader>&amp;RState of Kansas
Special District
</oddHeader>
    <oddFooter>&amp;CPage No. 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zoomScalePageLayoutView="0" workbookViewId="0" topLeftCell="B9">
      <selection activeCell="J14" sqref="J14"/>
    </sheetView>
  </sheetViews>
  <sheetFormatPr defaultColWidth="8.796875" defaultRowHeight="15"/>
  <cols>
    <col min="1" max="1" width="8.8984375" style="163" customWidth="1"/>
    <col min="2" max="2" width="17.796875" style="6" customWidth="1"/>
    <col min="3" max="3" width="15.796875" style="6" customWidth="1"/>
    <col min="4" max="4" width="11.796875" style="6" customWidth="1"/>
    <col min="5" max="5" width="12.296875" style="6" customWidth="1"/>
    <col min="6" max="6" width="11.796875" style="6" customWidth="1"/>
    <col min="7" max="10" width="10.796875" style="6" customWidth="1"/>
    <col min="11" max="16384" width="8.8984375" style="6" customWidth="1"/>
  </cols>
  <sheetData>
    <row r="1" spans="1:10" ht="15.75">
      <c r="A1" s="8"/>
      <c r="B1" s="8" t="str">
        <f>inputPrYr!D3</f>
        <v>CRESCO CEMETERY</v>
      </c>
      <c r="C1" s="8"/>
      <c r="D1" s="8"/>
      <c r="E1" s="8"/>
      <c r="F1" s="8"/>
      <c r="G1" s="8"/>
      <c r="H1" s="8"/>
      <c r="I1" s="155"/>
      <c r="J1" s="8"/>
    </row>
    <row r="2" spans="1:10" ht="15.75">
      <c r="A2" s="8"/>
      <c r="B2" s="8" t="str">
        <f>inputPrYr!D4</f>
        <v>ELK COUNTY</v>
      </c>
      <c r="C2" s="8"/>
      <c r="D2" s="8"/>
      <c r="E2" s="8"/>
      <c r="F2" s="8"/>
      <c r="G2" s="8"/>
      <c r="H2" s="8"/>
      <c r="I2" s="135"/>
      <c r="J2" s="8">
        <f>inputPrYr!D6</f>
        <v>2012</v>
      </c>
    </row>
    <row r="3" spans="1:10" ht="15.75">
      <c r="A3" s="8"/>
      <c r="B3" s="8"/>
      <c r="C3" s="156"/>
      <c r="D3" s="156"/>
      <c r="E3" s="156"/>
      <c r="F3" s="156"/>
      <c r="G3" s="156"/>
      <c r="H3" s="156"/>
      <c r="I3" s="156"/>
      <c r="J3" s="8"/>
    </row>
    <row r="4" spans="1:10" ht="15.75">
      <c r="A4" s="44"/>
      <c r="B4" s="8"/>
      <c r="C4" s="8"/>
      <c r="D4" s="8"/>
      <c r="E4" s="8"/>
      <c r="F4" s="8"/>
      <c r="G4" s="8"/>
      <c r="H4" s="8"/>
      <c r="I4" s="156"/>
      <c r="J4" s="8"/>
    </row>
    <row r="5" spans="1:10" ht="15.75">
      <c r="A5" s="44"/>
      <c r="B5" s="8"/>
      <c r="C5" s="16"/>
      <c r="D5" s="16"/>
      <c r="E5" s="16"/>
      <c r="F5" s="8"/>
      <c r="G5" s="8"/>
      <c r="H5" s="8"/>
      <c r="I5" s="8"/>
      <c r="J5" s="8"/>
    </row>
    <row r="6" spans="1:10" ht="15.75">
      <c r="A6" s="44"/>
      <c r="B6" s="313" t="s">
        <v>140</v>
      </c>
      <c r="C6" s="313"/>
      <c r="D6" s="313"/>
      <c r="E6" s="313"/>
      <c r="F6" s="313"/>
      <c r="G6" s="8"/>
      <c r="H6" s="8"/>
      <c r="I6" s="8"/>
      <c r="J6" s="8"/>
    </row>
    <row r="7" spans="1:10" ht="15.75">
      <c r="A7" s="44"/>
      <c r="B7" s="157"/>
      <c r="C7" s="157"/>
      <c r="D7" s="157"/>
      <c r="E7" s="157"/>
      <c r="F7" s="157"/>
      <c r="G7" s="8"/>
      <c r="H7" s="8"/>
      <c r="I7" s="8"/>
      <c r="J7" s="8"/>
    </row>
    <row r="8" spans="1:10" ht="15.75">
      <c r="A8" s="8"/>
      <c r="B8" s="8"/>
      <c r="C8" s="8"/>
      <c r="D8" s="8"/>
      <c r="E8" s="8"/>
      <c r="F8" s="8"/>
      <c r="G8" s="8"/>
      <c r="H8" s="8"/>
      <c r="I8" s="8"/>
      <c r="J8" s="8"/>
    </row>
    <row r="9" spans="1:10" ht="15.75">
      <c r="A9" s="8"/>
      <c r="B9" s="316" t="str">
        <f>CONCATENATE("",J2-1,"                    Budgeted Funds")</f>
        <v>2011                    Budgeted Funds</v>
      </c>
      <c r="C9" s="314" t="str">
        <f>CONCATENATE("Tax Levy Amount in ",J2-2," Budget")</f>
        <v>Tax Levy Amount in 2010 Budget</v>
      </c>
      <c r="D9" s="300" t="str">
        <f>CONCATENATE("Allocation for Year ",J2,"")</f>
        <v>Allocation for Year 2012</v>
      </c>
      <c r="E9" s="317"/>
      <c r="F9" s="317"/>
      <c r="G9" s="302"/>
      <c r="H9" s="8"/>
      <c r="I9" s="8"/>
      <c r="J9" s="8"/>
    </row>
    <row r="10" spans="1:10" ht="15.75">
      <c r="A10" s="8"/>
      <c r="B10" s="315"/>
      <c r="C10" s="315"/>
      <c r="D10" s="107" t="s">
        <v>35</v>
      </c>
      <c r="E10" s="107" t="s">
        <v>36</v>
      </c>
      <c r="F10" s="107" t="s">
        <v>57</v>
      </c>
      <c r="G10" s="104" t="s">
        <v>111</v>
      </c>
      <c r="H10" s="8"/>
      <c r="I10" s="8"/>
      <c r="J10" s="8"/>
    </row>
    <row r="11" spans="1:10" ht="15.75">
      <c r="A11" s="8"/>
      <c r="B11" s="28" t="str">
        <f>inputPrYr!B19</f>
        <v>General</v>
      </c>
      <c r="C11" s="118">
        <f>inputPrYr!E19</f>
        <v>2779</v>
      </c>
      <c r="D11" s="118">
        <f>IF(E17=0,0,E17-D12-D13-D14)</f>
        <v>206</v>
      </c>
      <c r="E11" s="118">
        <f>IF(E19=0,0,E19-E12-E13-E14)</f>
        <v>0</v>
      </c>
      <c r="F11" s="118">
        <f>IF(E21=0,0,E21-F12-F13-F14)</f>
        <v>48</v>
      </c>
      <c r="G11" s="118">
        <f>IF(E23=0,0,E23-G12-G13-G14)</f>
        <v>0</v>
      </c>
      <c r="H11" s="8"/>
      <c r="I11" s="8"/>
      <c r="J11" s="8"/>
    </row>
    <row r="12" spans="1:10" ht="15.75">
      <c r="A12" s="8"/>
      <c r="B12" s="28" t="str">
        <f>inputPrYr!B20</f>
        <v>Debt Service</v>
      </c>
      <c r="C12" s="118">
        <f>inputPrYr!E20</f>
        <v>0</v>
      </c>
      <c r="D12" s="118">
        <f>IF($E$17=0,0,ROUND(C12*$C$25,0))</f>
        <v>0</v>
      </c>
      <c r="E12" s="118">
        <f>IF($E$19=0,0,ROUND(C12*$D$27,0))</f>
        <v>0</v>
      </c>
      <c r="F12" s="118">
        <f>IF($E21=0,0,ROUND(C12*$E$29,0))</f>
        <v>0</v>
      </c>
      <c r="G12" s="118">
        <f>IF($E23=0,0,ROUND(C12*$F$31,0))</f>
        <v>0</v>
      </c>
      <c r="H12" s="8"/>
      <c r="I12" s="8"/>
      <c r="J12" s="8"/>
    </row>
    <row r="13" spans="1:10" ht="15.75">
      <c r="A13" s="8"/>
      <c r="B13" s="28" t="str">
        <f>IF(inputPrYr!$B$22&gt;"  ",inputPrYr!$B$22,"  ")</f>
        <v>  </v>
      </c>
      <c r="C13" s="118">
        <f>inputPrYr!E22</f>
        <v>0</v>
      </c>
      <c r="D13" s="118">
        <f>IF($E$17=0,0,ROUND(C13*$C$25,0))</f>
        <v>0</v>
      </c>
      <c r="E13" s="118">
        <f>IF($E$19=0,0,ROUND(C13*$D$27,0))</f>
        <v>0</v>
      </c>
      <c r="F13" s="118">
        <f>IF($E21=0,0,ROUND(C13*$E$29,0))</f>
        <v>0</v>
      </c>
      <c r="G13" s="118">
        <f>IF($E23=0,0,ROUND(C13*$F$31,0))</f>
        <v>0</v>
      </c>
      <c r="H13" s="92"/>
      <c r="I13" s="92"/>
      <c r="J13" s="8"/>
    </row>
    <row r="14" spans="1:10" ht="15.75">
      <c r="A14" s="8"/>
      <c r="B14" s="28" t="str">
        <f>IF(inputPrYr!$B$23&gt;"  ",inputPrYr!$B$23,"  ")</f>
        <v>  </v>
      </c>
      <c r="C14" s="118">
        <f>inputPrYr!E23</f>
        <v>0</v>
      </c>
      <c r="D14" s="118">
        <f>IF($E$17=0,0,ROUND(C14*$C$25,0))</f>
        <v>0</v>
      </c>
      <c r="E14" s="118">
        <f>IF($E$19=0,0,ROUND(C14*$D$27,0))</f>
        <v>0</v>
      </c>
      <c r="F14" s="118">
        <f>IF($E21=0,0,ROUND(C14*$E$29,0))</f>
        <v>0</v>
      </c>
      <c r="G14" s="118">
        <f>IF($E23=0,0,ROUND(C14*$F$31,0))</f>
        <v>0</v>
      </c>
      <c r="H14" s="8"/>
      <c r="I14" s="8"/>
      <c r="J14" s="8"/>
    </row>
    <row r="15" spans="1:10" ht="16.5" thickBot="1">
      <c r="A15" s="8"/>
      <c r="B15" s="25" t="s">
        <v>6</v>
      </c>
      <c r="C15" s="127">
        <f>SUM(C11:C14)</f>
        <v>2779</v>
      </c>
      <c r="D15" s="127">
        <f>SUM(D11:D14)</f>
        <v>206</v>
      </c>
      <c r="E15" s="127">
        <f>SUM(E11:E14)</f>
        <v>0</v>
      </c>
      <c r="F15" s="127">
        <f>SUM(F11:F14)</f>
        <v>48</v>
      </c>
      <c r="G15" s="126">
        <f>SUM(G11:G14)</f>
        <v>0</v>
      </c>
      <c r="H15" s="8"/>
      <c r="I15" s="8"/>
      <c r="J15" s="8"/>
    </row>
    <row r="16" spans="1:10" ht="16.5" thickTop="1">
      <c r="A16" s="8"/>
      <c r="B16" s="8"/>
      <c r="C16" s="8"/>
      <c r="D16" s="8"/>
      <c r="E16" s="8"/>
      <c r="F16" s="8"/>
      <c r="G16" s="8"/>
      <c r="H16" s="8"/>
      <c r="I16" s="8"/>
      <c r="J16" s="8"/>
    </row>
    <row r="17" spans="1:10" ht="15.75">
      <c r="A17" s="8"/>
      <c r="B17" s="7" t="s">
        <v>37</v>
      </c>
      <c r="C17" s="8"/>
      <c r="D17" s="8"/>
      <c r="E17" s="158">
        <f>inputOth!E27</f>
        <v>206</v>
      </c>
      <c r="F17" s="8"/>
      <c r="G17" s="8"/>
      <c r="H17" s="8"/>
      <c r="I17" s="8"/>
      <c r="J17" s="8"/>
    </row>
    <row r="18" spans="1:10" ht="15.75">
      <c r="A18" s="8"/>
      <c r="B18" s="8"/>
      <c r="C18" s="8"/>
      <c r="D18" s="156"/>
      <c r="E18" s="156"/>
      <c r="F18" s="8"/>
      <c r="G18" s="8"/>
      <c r="H18" s="8"/>
      <c r="I18" s="8"/>
      <c r="J18" s="8"/>
    </row>
    <row r="19" spans="1:10" ht="15.75">
      <c r="A19" s="8"/>
      <c r="B19" s="7" t="s">
        <v>38</v>
      </c>
      <c r="C19" s="8"/>
      <c r="D19" s="156"/>
      <c r="E19" s="158">
        <f>inputOth!E28</f>
        <v>0</v>
      </c>
      <c r="F19" s="8"/>
      <c r="G19" s="8"/>
      <c r="H19" s="8"/>
      <c r="I19" s="8"/>
      <c r="J19" s="8"/>
    </row>
    <row r="20" spans="1:10" ht="15.75">
      <c r="A20" s="8"/>
      <c r="B20" s="8"/>
      <c r="C20" s="8"/>
      <c r="D20" s="8"/>
      <c r="E20" s="8"/>
      <c r="F20" s="8"/>
      <c r="G20" s="8"/>
      <c r="H20" s="8"/>
      <c r="I20" s="8"/>
      <c r="J20" s="8"/>
    </row>
    <row r="21" spans="1:10" ht="15.75">
      <c r="A21" s="8"/>
      <c r="B21" s="7" t="s">
        <v>58</v>
      </c>
      <c r="C21" s="8"/>
      <c r="D21" s="8"/>
      <c r="E21" s="158">
        <f>inputOth!E29</f>
        <v>48</v>
      </c>
      <c r="F21" s="8"/>
      <c r="G21" s="8"/>
      <c r="H21" s="8"/>
      <c r="I21" s="8"/>
      <c r="J21" s="8"/>
    </row>
    <row r="22" spans="1:10" ht="15.75">
      <c r="A22" s="8"/>
      <c r="B22" s="8"/>
      <c r="C22" s="8"/>
      <c r="D22" s="8"/>
      <c r="E22" s="8"/>
      <c r="F22" s="8"/>
      <c r="G22" s="8"/>
      <c r="H22" s="8"/>
      <c r="I22" s="8"/>
      <c r="J22" s="8"/>
    </row>
    <row r="23" spans="1:10" ht="15.75">
      <c r="A23" s="8"/>
      <c r="B23" s="8" t="s">
        <v>131</v>
      </c>
      <c r="C23" s="8"/>
      <c r="D23" s="8"/>
      <c r="E23" s="148">
        <f>inputOth!E31</f>
        <v>0</v>
      </c>
      <c r="F23" s="8"/>
      <c r="G23" s="8"/>
      <c r="H23" s="8"/>
      <c r="I23" s="8"/>
      <c r="J23" s="8"/>
    </row>
    <row r="24" spans="1:10" ht="15.75">
      <c r="A24" s="8"/>
      <c r="B24" s="8"/>
      <c r="C24" s="8"/>
      <c r="D24" s="8"/>
      <c r="E24" s="8"/>
      <c r="F24" s="8"/>
      <c r="G24" s="8"/>
      <c r="H24" s="8"/>
      <c r="I24" s="8"/>
      <c r="J24" s="8"/>
    </row>
    <row r="25" spans="1:10" ht="15.75">
      <c r="A25" s="8"/>
      <c r="B25" s="135" t="s">
        <v>39</v>
      </c>
      <c r="C25" s="159">
        <f>IF(C15=0,0,E17/C15)</f>
        <v>0.07412738395106153</v>
      </c>
      <c r="D25" s="8"/>
      <c r="E25" s="8"/>
      <c r="F25" s="8"/>
      <c r="G25" s="8"/>
      <c r="H25" s="8"/>
      <c r="I25" s="8"/>
      <c r="J25" s="8"/>
    </row>
    <row r="26" spans="1:10" ht="15.75">
      <c r="A26" s="8"/>
      <c r="B26" s="7"/>
      <c r="C26" s="160"/>
      <c r="D26" s="8"/>
      <c r="E26" s="8"/>
      <c r="F26" s="8"/>
      <c r="G26" s="8"/>
      <c r="H26" s="8"/>
      <c r="I26" s="8"/>
      <c r="J26" s="8"/>
    </row>
    <row r="27" spans="1:10" ht="15.75">
      <c r="A27" s="8"/>
      <c r="B27" s="8"/>
      <c r="C27" s="135" t="s">
        <v>40</v>
      </c>
      <c r="D27" s="161">
        <f>IF(C15=0,0,E19/C15)</f>
        <v>0</v>
      </c>
      <c r="E27" s="8"/>
      <c r="F27" s="8"/>
      <c r="G27" s="8"/>
      <c r="H27" s="8"/>
      <c r="I27" s="8"/>
      <c r="J27" s="8"/>
    </row>
    <row r="28" spans="1:10" ht="15.75">
      <c r="A28" s="8"/>
      <c r="B28" s="8"/>
      <c r="C28" s="7"/>
      <c r="D28" s="162"/>
      <c r="E28" s="8"/>
      <c r="F28" s="8"/>
      <c r="G28" s="8"/>
      <c r="H28" s="8"/>
      <c r="I28" s="8"/>
      <c r="J28" s="8"/>
    </row>
    <row r="29" spans="1:10" ht="15.75">
      <c r="A29" s="8"/>
      <c r="B29" s="8"/>
      <c r="C29" s="8"/>
      <c r="D29" s="135" t="s">
        <v>59</v>
      </c>
      <c r="E29" s="161">
        <f>IF(C15=0,0,E21/C15)</f>
        <v>0.01727240014393667</v>
      </c>
      <c r="F29" s="8"/>
      <c r="G29" s="8"/>
      <c r="H29" s="8"/>
      <c r="I29" s="8"/>
      <c r="J29" s="8"/>
    </row>
    <row r="30" spans="1:10" ht="15.75">
      <c r="A30" s="8"/>
      <c r="B30" s="8"/>
      <c r="C30" s="8"/>
      <c r="D30" s="8"/>
      <c r="E30" s="8"/>
      <c r="F30" s="8"/>
      <c r="G30" s="8"/>
      <c r="H30" s="8"/>
      <c r="I30" s="8"/>
      <c r="J30" s="8"/>
    </row>
    <row r="31" spans="1:10" ht="15.75">
      <c r="A31" s="8"/>
      <c r="B31" s="8"/>
      <c r="C31" s="44"/>
      <c r="D31" s="44"/>
      <c r="E31" s="44" t="s">
        <v>132</v>
      </c>
      <c r="F31" s="161">
        <f>IF(C15=0,0,E23/C15)</f>
        <v>0</v>
      </c>
      <c r="G31" s="44"/>
      <c r="H31" s="44"/>
      <c r="I31" s="8"/>
      <c r="J31" s="8"/>
    </row>
    <row r="32" spans="1:10" ht="15.75">
      <c r="A32" s="8"/>
      <c r="B32" s="8"/>
      <c r="C32" s="44"/>
      <c r="D32" s="44"/>
      <c r="E32" s="44"/>
      <c r="F32" s="44"/>
      <c r="G32" s="44"/>
      <c r="H32" s="44"/>
      <c r="I32" s="8"/>
      <c r="J32" s="8"/>
    </row>
    <row r="33" spans="1:10" ht="15.75">
      <c r="A33" s="8"/>
      <c r="B33" s="8"/>
      <c r="C33" s="44"/>
      <c r="D33" s="44"/>
      <c r="E33" s="44"/>
      <c r="F33" s="44"/>
      <c r="G33" s="44"/>
      <c r="H33" s="44"/>
      <c r="I33" s="8"/>
      <c r="J33" s="8"/>
    </row>
  </sheetData>
  <sheetProtection/>
  <mergeCells count="4">
    <mergeCell ref="B6:F6"/>
    <mergeCell ref="C9:C10"/>
    <mergeCell ref="B9:B10"/>
    <mergeCell ref="D9:G9"/>
  </mergeCells>
  <printOptions/>
  <pageMargins left="0.5" right="0.5" top="1" bottom="0.5" header="0.5" footer="0.5"/>
  <pageSetup blackAndWhite="1" fitToHeight="1" fitToWidth="1" horizontalDpi="120" verticalDpi="120" orientation="landscape" scale="82" r:id="rId1"/>
  <headerFooter alignWithMargins="0">
    <oddHeader>&amp;RState of Kansas
Special District
</oddHeader>
    <oddFooter>&amp;CPage No. 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71"/>
  <sheetViews>
    <sheetView zoomScalePageLayoutView="0" workbookViewId="0" topLeftCell="A43">
      <selection activeCell="E48" sqref="E48"/>
    </sheetView>
  </sheetViews>
  <sheetFormatPr defaultColWidth="8.796875" defaultRowHeight="15"/>
  <cols>
    <col min="1" max="1" width="2.3984375" style="88" customWidth="1"/>
    <col min="2" max="2" width="31.09765625" style="88" customWidth="1"/>
    <col min="3" max="5" width="15.796875" style="88" customWidth="1"/>
    <col min="6" max="16384" width="8.8984375" style="88" customWidth="1"/>
  </cols>
  <sheetData>
    <row r="1" spans="2:5" ht="15.75">
      <c r="B1" s="8" t="str">
        <f>inputPrYr!D3</f>
        <v>CRESCO CEMETERY</v>
      </c>
      <c r="C1" s="170"/>
      <c r="D1" s="8"/>
      <c r="E1" s="165"/>
    </row>
    <row r="2" spans="2:5" ht="15.75">
      <c r="B2" s="8" t="str">
        <f>inputPrYr!D4</f>
        <v>ELK COUNTY</v>
      </c>
      <c r="C2" s="170"/>
      <c r="D2" s="8"/>
      <c r="E2" s="135"/>
    </row>
    <row r="3" spans="2:6" ht="15.75">
      <c r="B3" s="259" t="s">
        <v>54</v>
      </c>
      <c r="C3" s="170"/>
      <c r="D3" s="8"/>
      <c r="E3" s="171"/>
      <c r="F3" s="165">
        <f>inputPrYr!$D$6</f>
        <v>2012</v>
      </c>
    </row>
    <row r="4" spans="2:5" ht="15.75">
      <c r="B4" s="8"/>
      <c r="C4" s="93"/>
      <c r="D4" s="93"/>
      <c r="E4" s="93"/>
    </row>
    <row r="5" spans="2:5" ht="15.75">
      <c r="B5" s="7" t="s">
        <v>23</v>
      </c>
      <c r="C5" s="206" t="s">
        <v>144</v>
      </c>
      <c r="D5" s="207" t="s">
        <v>143</v>
      </c>
      <c r="E5" s="172" t="s">
        <v>142</v>
      </c>
    </row>
    <row r="6" spans="2:5" ht="15.75">
      <c r="B6" s="223" t="str">
        <f>inputPrYr!B19</f>
        <v>General</v>
      </c>
      <c r="C6" s="208" t="str">
        <f>CONCATENATE("Actual ",F3-2,"")</f>
        <v>Actual 2010</v>
      </c>
      <c r="D6" s="208" t="str">
        <f>CONCATENATE("Estimate ",F3-1,"")</f>
        <v>Estimate 2011</v>
      </c>
      <c r="E6" s="173" t="str">
        <f>CONCATENATE("Year ",F3,"")</f>
        <v>Year 2012</v>
      </c>
    </row>
    <row r="7" spans="2:5" ht="15.75">
      <c r="B7" s="112" t="s">
        <v>94</v>
      </c>
      <c r="C7" s="202">
        <v>1538.72</v>
      </c>
      <c r="D7" s="209">
        <f>C51</f>
        <v>581.7200000000003</v>
      </c>
      <c r="E7" s="37">
        <f>D51</f>
        <v>478.72000000000025</v>
      </c>
    </row>
    <row r="8" spans="2:5" ht="15.75">
      <c r="B8" s="174" t="s">
        <v>96</v>
      </c>
      <c r="C8" s="175"/>
      <c r="D8" s="175"/>
      <c r="E8" s="118"/>
    </row>
    <row r="9" spans="2:5" ht="15.75">
      <c r="B9" s="112" t="s">
        <v>24</v>
      </c>
      <c r="C9" s="202">
        <v>1622</v>
      </c>
      <c r="D9" s="209">
        <f>inputPrYr!E19</f>
        <v>2779</v>
      </c>
      <c r="E9" s="125" t="s">
        <v>20</v>
      </c>
    </row>
    <row r="10" spans="2:5" ht="15.75">
      <c r="B10" s="112" t="s">
        <v>25</v>
      </c>
      <c r="C10" s="202">
        <v>31</v>
      </c>
      <c r="D10" s="202"/>
      <c r="E10" s="166"/>
    </row>
    <row r="11" spans="2:5" ht="15.75">
      <c r="B11" s="112" t="s">
        <v>26</v>
      </c>
      <c r="C11" s="202">
        <v>108</v>
      </c>
      <c r="D11" s="202">
        <v>125</v>
      </c>
      <c r="E11" s="37">
        <f>mvalloc!D11</f>
        <v>206</v>
      </c>
    </row>
    <row r="12" spans="2:5" ht="15.75">
      <c r="B12" s="112" t="s">
        <v>27</v>
      </c>
      <c r="C12" s="202">
        <v>0</v>
      </c>
      <c r="D12" s="202">
        <v>1</v>
      </c>
      <c r="E12" s="37">
        <f>mvalloc!E11</f>
        <v>0</v>
      </c>
    </row>
    <row r="13" spans="2:5" ht="15.75">
      <c r="B13" s="175" t="s">
        <v>79</v>
      </c>
      <c r="C13" s="202">
        <v>30</v>
      </c>
      <c r="D13" s="202">
        <v>32</v>
      </c>
      <c r="E13" s="37">
        <f>mvalloc!F11</f>
        <v>48</v>
      </c>
    </row>
    <row r="14" spans="2:5" ht="15.75">
      <c r="B14" s="175" t="s">
        <v>110</v>
      </c>
      <c r="C14" s="202"/>
      <c r="D14" s="202"/>
      <c r="E14" s="37">
        <f>inputOth!E30</f>
        <v>0</v>
      </c>
    </row>
    <row r="15" spans="2:5" ht="15.75">
      <c r="B15" s="175" t="s">
        <v>111</v>
      </c>
      <c r="C15" s="202"/>
      <c r="D15" s="202"/>
      <c r="E15" s="37">
        <f>mvalloc!G11</f>
        <v>0</v>
      </c>
    </row>
    <row r="16" spans="2:5" ht="15.75">
      <c r="B16" s="176" t="s">
        <v>28</v>
      </c>
      <c r="C16" s="202"/>
      <c r="D16" s="202"/>
      <c r="E16" s="166"/>
    </row>
    <row r="17" spans="2:5" ht="15.75">
      <c r="B17" s="176"/>
      <c r="C17" s="202"/>
      <c r="D17" s="202"/>
      <c r="E17" s="166"/>
    </row>
    <row r="18" spans="2:5" ht="15.75">
      <c r="B18" s="176" t="s">
        <v>168</v>
      </c>
      <c r="C18" s="202">
        <v>498</v>
      </c>
      <c r="D18" s="202">
        <v>129</v>
      </c>
      <c r="E18" s="166"/>
    </row>
    <row r="19" spans="2:5" ht="15.75">
      <c r="B19" s="176"/>
      <c r="C19" s="202"/>
      <c r="D19" s="202"/>
      <c r="E19" s="166"/>
    </row>
    <row r="20" spans="2:5" ht="15.75">
      <c r="B20" s="176" t="s">
        <v>169</v>
      </c>
      <c r="C20" s="202">
        <v>-129</v>
      </c>
      <c r="D20" s="202"/>
      <c r="E20" s="166"/>
    </row>
    <row r="21" spans="2:5" ht="15.75">
      <c r="B21" s="176"/>
      <c r="C21" s="202"/>
      <c r="D21" s="202"/>
      <c r="E21" s="166"/>
    </row>
    <row r="22" spans="2:5" ht="15.75">
      <c r="B22" s="176"/>
      <c r="C22" s="202"/>
      <c r="D22" s="202"/>
      <c r="E22" s="166"/>
    </row>
    <row r="23" spans="2:5" ht="15.75">
      <c r="B23" s="176"/>
      <c r="C23" s="202"/>
      <c r="D23" s="202"/>
      <c r="E23" s="166"/>
    </row>
    <row r="24" spans="2:5" ht="15.75">
      <c r="B24" s="177"/>
      <c r="C24" s="202"/>
      <c r="D24" s="202"/>
      <c r="E24" s="166"/>
    </row>
    <row r="25" spans="2:5" ht="15.75">
      <c r="B25" s="177" t="s">
        <v>29</v>
      </c>
      <c r="C25" s="202"/>
      <c r="D25" s="202"/>
      <c r="E25" s="166"/>
    </row>
    <row r="26" spans="2:5" ht="15.75">
      <c r="B26" s="178" t="s">
        <v>137</v>
      </c>
      <c r="C26" s="176"/>
      <c r="D26" s="176"/>
      <c r="E26" s="166"/>
    </row>
    <row r="27" spans="2:5" ht="15.75">
      <c r="B27" s="178" t="s">
        <v>151</v>
      </c>
      <c r="C27" s="203">
        <f>IF(C28*0.1&lt;C26,"Exceed 10% Rule","")</f>
      </c>
      <c r="D27" s="203">
        <f>IF(D28*0.1&lt;D26,"Exceed 10% Rule","")</f>
      </c>
      <c r="E27" s="221">
        <f>IF(E28*0.1+E57&lt;E26,"Exceed 10% Rule","")</f>
      </c>
    </row>
    <row r="28" spans="2:5" ht="15.75">
      <c r="B28" s="179" t="s">
        <v>30</v>
      </c>
      <c r="C28" s="204">
        <f>SUM(C9:C26)</f>
        <v>2160</v>
      </c>
      <c r="D28" s="204">
        <f>SUM(D9:D26)</f>
        <v>3066</v>
      </c>
      <c r="E28" s="180">
        <f>SUM(E9:E26)</f>
        <v>254</v>
      </c>
    </row>
    <row r="29" spans="2:5" ht="15.75">
      <c r="B29" s="179" t="s">
        <v>31</v>
      </c>
      <c r="C29" s="204">
        <f>C7+C28</f>
        <v>3698.7200000000003</v>
      </c>
      <c r="D29" s="204">
        <f>D7+D28</f>
        <v>3647.7200000000003</v>
      </c>
      <c r="E29" s="180">
        <f>E7+E28</f>
        <v>732.7200000000003</v>
      </c>
    </row>
    <row r="30" spans="2:5" ht="15.75">
      <c r="B30" s="112" t="s">
        <v>32</v>
      </c>
      <c r="C30" s="116"/>
      <c r="D30" s="116"/>
      <c r="E30" s="28"/>
    </row>
    <row r="31" spans="2:5" ht="15.75">
      <c r="B31" s="176"/>
      <c r="C31" s="202"/>
      <c r="D31" s="202"/>
      <c r="E31" s="166"/>
    </row>
    <row r="32" spans="2:5" ht="15.75">
      <c r="B32" s="176" t="s">
        <v>170</v>
      </c>
      <c r="C32" s="202">
        <v>117</v>
      </c>
      <c r="D32" s="202">
        <v>169</v>
      </c>
      <c r="E32" s="166">
        <v>165</v>
      </c>
    </row>
    <row r="33" spans="2:5" ht="15.75">
      <c r="B33" s="176" t="s">
        <v>171</v>
      </c>
      <c r="C33" s="202">
        <v>3000</v>
      </c>
      <c r="D33" s="202">
        <v>3000</v>
      </c>
      <c r="E33" s="166">
        <v>3700</v>
      </c>
    </row>
    <row r="34" spans="2:5" ht="15.75">
      <c r="B34" s="176"/>
      <c r="C34" s="202"/>
      <c r="D34" s="202"/>
      <c r="E34" s="166"/>
    </row>
    <row r="35" spans="2:5" ht="15.75">
      <c r="B35" s="176"/>
      <c r="C35" s="202"/>
      <c r="D35" s="202"/>
      <c r="E35" s="166"/>
    </row>
    <row r="36" spans="2:5" ht="15.75">
      <c r="B36" s="176"/>
      <c r="C36" s="202"/>
      <c r="D36" s="202"/>
      <c r="E36" s="166"/>
    </row>
    <row r="37" spans="2:5" ht="15.75">
      <c r="B37" s="176"/>
      <c r="C37" s="202"/>
      <c r="D37" s="202"/>
      <c r="E37" s="166"/>
    </row>
    <row r="38" spans="2:5" ht="15.75">
      <c r="B38" s="176"/>
      <c r="C38" s="202"/>
      <c r="D38" s="202"/>
      <c r="E38" s="166"/>
    </row>
    <row r="39" spans="2:5" ht="15.75">
      <c r="B39" s="176"/>
      <c r="C39" s="202"/>
      <c r="D39" s="202"/>
      <c r="E39" s="166"/>
    </row>
    <row r="40" spans="2:5" ht="15.75">
      <c r="B40" s="176"/>
      <c r="C40" s="202"/>
      <c r="D40" s="202"/>
      <c r="E40" s="166"/>
    </row>
    <row r="41" spans="2:5" ht="15.75">
      <c r="B41" s="176"/>
      <c r="C41" s="202"/>
      <c r="D41" s="202"/>
      <c r="E41" s="166"/>
    </row>
    <row r="42" spans="2:5" ht="15.75">
      <c r="B42" s="176"/>
      <c r="C42" s="202"/>
      <c r="D42" s="202"/>
      <c r="E42" s="166"/>
    </row>
    <row r="43" spans="2:10" ht="15.75">
      <c r="B43" s="176"/>
      <c r="C43" s="202"/>
      <c r="D43" s="202"/>
      <c r="E43" s="166"/>
      <c r="G43" s="324" t="str">
        <f>CONCATENATE("Projected Carryover Into ",F3+1,"")</f>
        <v>Projected Carryover Into 2013</v>
      </c>
      <c r="H43" s="325"/>
      <c r="I43" s="325"/>
      <c r="J43" s="326"/>
    </row>
    <row r="44" spans="2:10" ht="15.75">
      <c r="B44" s="176"/>
      <c r="C44" s="202"/>
      <c r="D44" s="202"/>
      <c r="E44" s="166"/>
      <c r="G44" s="264"/>
      <c r="H44" s="253"/>
      <c r="I44" s="253"/>
      <c r="J44" s="252"/>
    </row>
    <row r="45" spans="2:10" ht="15.75">
      <c r="B45" s="176"/>
      <c r="C45" s="202"/>
      <c r="D45" s="202"/>
      <c r="E45" s="166"/>
      <c r="G45" s="258">
        <f>D51</f>
        <v>478.72000000000025</v>
      </c>
      <c r="H45" s="257" t="str">
        <f>CONCATENATE("",F3-1," Ending Cash Balance (est.)")</f>
        <v>2011 Ending Cash Balance (est.)</v>
      </c>
      <c r="I45" s="251"/>
      <c r="J45" s="252"/>
    </row>
    <row r="46" spans="2:10" ht="15.75">
      <c r="B46" s="176"/>
      <c r="C46" s="202"/>
      <c r="D46" s="202"/>
      <c r="E46" s="166"/>
      <c r="G46" s="258">
        <f>E28</f>
        <v>254</v>
      </c>
      <c r="H46" s="251" t="str">
        <f>CONCATENATE("",F3," Non-AV Receipts (est.)")</f>
        <v>2012 Non-AV Receipts (est.)</v>
      </c>
      <c r="I46" s="251"/>
      <c r="J46" s="252"/>
    </row>
    <row r="47" spans="2:10" ht="15.75">
      <c r="B47" s="116" t="s">
        <v>138</v>
      </c>
      <c r="C47" s="202"/>
      <c r="D47" s="202"/>
      <c r="E47" s="167">
        <v>0</v>
      </c>
      <c r="G47" s="250">
        <f>E57</f>
        <v>3132.2799999999997</v>
      </c>
      <c r="H47" s="251" t="str">
        <f>CONCATENATE("",F3," Ad Valorem Tax (est.)")</f>
        <v>2012 Ad Valorem Tax (est.)</v>
      </c>
      <c r="I47" s="251"/>
      <c r="J47" s="252"/>
    </row>
    <row r="48" spans="2:10" ht="15.75">
      <c r="B48" s="116" t="s">
        <v>137</v>
      </c>
      <c r="C48" s="202"/>
      <c r="D48" s="202"/>
      <c r="E48" s="27"/>
      <c r="G48" s="258">
        <f>SUM(G45:G47)</f>
        <v>3865</v>
      </c>
      <c r="H48" s="251" t="str">
        <f>CONCATENATE("Total ",E4," Resources Available")</f>
        <v>Total  Resources Available</v>
      </c>
      <c r="I48" s="251"/>
      <c r="J48" s="252"/>
    </row>
    <row r="49" spans="2:10" ht="15.75">
      <c r="B49" s="116" t="s">
        <v>150</v>
      </c>
      <c r="C49" s="203">
        <f>IF(C50*0.1&lt;C48,"Exceed 10% Rule","")</f>
      </c>
      <c r="D49" s="203">
        <f>IF(D50*0.1&lt;D48,"Exceed 10% Rule","")</f>
      </c>
      <c r="E49" s="221">
        <f>IF(E50*0.1&lt;E48,"Exceed 10% Rule","")</f>
      </c>
      <c r="G49" s="249"/>
      <c r="H49" s="251"/>
      <c r="I49" s="251"/>
      <c r="J49" s="252"/>
    </row>
    <row r="50" spans="2:10" ht="15.75">
      <c r="B50" s="179" t="s">
        <v>33</v>
      </c>
      <c r="C50" s="204">
        <f>SUM(C31:C48)</f>
        <v>3117</v>
      </c>
      <c r="D50" s="204">
        <f>SUM(D31:D48)</f>
        <v>3169</v>
      </c>
      <c r="E50" s="180">
        <f>SUM(E31:E48)</f>
        <v>3865</v>
      </c>
      <c r="G50" s="250">
        <f>C50*0.05+C50</f>
        <v>3272.85</v>
      </c>
      <c r="H50" s="251" t="str">
        <f>CONCATENATE("Less ",F3-2," Expenditures + 5%")</f>
        <v>Less 2010 Expenditures + 5%</v>
      </c>
      <c r="I50" s="251"/>
      <c r="J50" s="252"/>
    </row>
    <row r="51" spans="2:10" ht="15.75">
      <c r="B51" s="112" t="s">
        <v>95</v>
      </c>
      <c r="C51" s="205">
        <f>C29-C50</f>
        <v>581.7200000000003</v>
      </c>
      <c r="D51" s="205">
        <f>D29-D50</f>
        <v>478.72000000000025</v>
      </c>
      <c r="E51" s="125" t="s">
        <v>20</v>
      </c>
      <c r="G51" s="248">
        <f>G48-G50</f>
        <v>592.1500000000001</v>
      </c>
      <c r="H51" s="247" t="str">
        <f>CONCATENATE("Projected ",F3+1," Carryover (est.)")</f>
        <v>Projected 2013 Carryover (est.)</v>
      </c>
      <c r="I51" s="233"/>
      <c r="J51" s="246"/>
    </row>
    <row r="52" spans="2:10" ht="15.75">
      <c r="B52" s="135" t="str">
        <f>CONCATENATE("",F3-2,"/",F3-1," Budget Authority Amount:")</f>
        <v>2010/2011 Budget Authority Amount:</v>
      </c>
      <c r="C52" s="113">
        <f>inputOth!B42</f>
        <v>3369</v>
      </c>
      <c r="D52" s="222">
        <f>inputPrYr!D19</f>
        <v>3169</v>
      </c>
      <c r="E52" s="125" t="s">
        <v>20</v>
      </c>
      <c r="F52" s="181"/>
      <c r="G52" s="6"/>
      <c r="H52" s="6"/>
      <c r="I52" s="6"/>
      <c r="J52" s="6"/>
    </row>
    <row r="53" spans="2:10" ht="15.75">
      <c r="B53" s="135"/>
      <c r="C53" s="320" t="s">
        <v>155</v>
      </c>
      <c r="D53" s="321"/>
      <c r="E53" s="27"/>
      <c r="F53" s="181">
        <f>IF(E50/0.95-E50&lt;E53,"Exceeds 5%","")</f>
      </c>
      <c r="G53" s="245">
        <f>IF(inputOth!E7=0,"",ROUND(gen!E57/inputOth!E7*1000,3))</f>
        <v>1.649</v>
      </c>
      <c r="H53" s="244" t="str">
        <f>CONCATENATE("Projected ",F3-1," Mill Rate (est.)")</f>
        <v>Projected 2011 Mill Rate (est.)</v>
      </c>
      <c r="I53" s="243"/>
      <c r="J53" s="242"/>
    </row>
    <row r="54" spans="2:10" ht="15.75">
      <c r="B54" s="220" t="str">
        <f>CONCATENATE(C70,"     ",D70)</f>
        <v>     </v>
      </c>
      <c r="C54" s="322" t="s">
        <v>156</v>
      </c>
      <c r="D54" s="323"/>
      <c r="E54" s="37">
        <f>E50+E53</f>
        <v>3865</v>
      </c>
      <c r="G54" s="241"/>
      <c r="H54" s="241"/>
      <c r="I54" s="241"/>
      <c r="J54" s="241"/>
    </row>
    <row r="55" spans="2:10" ht="15.75">
      <c r="B55" s="220" t="str">
        <f>CONCATENATE(C71,"     ",D71)</f>
        <v>     </v>
      </c>
      <c r="C55" s="263"/>
      <c r="D55" s="262" t="s">
        <v>157</v>
      </c>
      <c r="E55" s="34">
        <f>IF(E54-E29&gt;0,E54-E29,0)</f>
        <v>3132.2799999999997</v>
      </c>
      <c r="G55" s="324" t="str">
        <f>CONCATENATE("Desired Carryover Into ",F3+1,"")</f>
        <v>Desired Carryover Into 2013</v>
      </c>
      <c r="H55" s="327"/>
      <c r="I55" s="327"/>
      <c r="J55" s="326"/>
    </row>
    <row r="56" spans="2:10" ht="15.75">
      <c r="B56" s="155"/>
      <c r="C56" s="260" t="s">
        <v>158</v>
      </c>
      <c r="D56" s="261">
        <f>inputOth!$E$36</f>
        <v>0</v>
      </c>
      <c r="E56" s="37">
        <f>ROUND(IF(D56&gt;0,(E55*D56),0),0)</f>
        <v>0</v>
      </c>
      <c r="G56" s="240"/>
      <c r="H56" s="253"/>
      <c r="I56" s="251"/>
      <c r="J56" s="239"/>
    </row>
    <row r="57" spans="2:10" ht="15.75">
      <c r="B57" s="8"/>
      <c r="C57" s="318" t="str">
        <f>CONCATENATE("Amount of  ",$F$3-1," Ad Valorem Tax")</f>
        <v>Amount of  2011 Ad Valorem Tax</v>
      </c>
      <c r="D57" s="319"/>
      <c r="E57" s="34">
        <f>E55+E56</f>
        <v>3132.2799999999997</v>
      </c>
      <c r="G57" s="238" t="s">
        <v>161</v>
      </c>
      <c r="H57" s="251"/>
      <c r="I57" s="251"/>
      <c r="J57" s="237"/>
    </row>
    <row r="58" spans="2:10" ht="15.75">
      <c r="B58" s="8"/>
      <c r="C58" s="8"/>
      <c r="D58" s="8"/>
      <c r="E58" s="8"/>
      <c r="G58" s="240" t="s">
        <v>162</v>
      </c>
      <c r="H58" s="253"/>
      <c r="I58" s="253"/>
      <c r="J58" s="236">
        <f>IF(gen!J57=0,"",ROUND((J57+E57-G51)/inputOth!E7*1000,3)-G53)</f>
      </c>
    </row>
    <row r="59" spans="2:10" ht="15.75">
      <c r="B59" s="8"/>
      <c r="C59" s="8"/>
      <c r="D59" s="8"/>
      <c r="E59" s="8"/>
      <c r="G59" s="235" t="str">
        <f>CONCATENATE("",F3," Total Expenditures Must Be:")</f>
        <v>2012 Total Expenditures Must Be:</v>
      </c>
      <c r="H59" s="234"/>
      <c r="I59" s="233"/>
      <c r="J59" s="232">
        <f>IF((J57&gt;0),(E50+J57-G51),0)</f>
        <v>0</v>
      </c>
    </row>
    <row r="60" spans="2:5" ht="15.75">
      <c r="B60" s="8"/>
      <c r="C60" s="8"/>
      <c r="D60" s="8"/>
      <c r="E60" s="8"/>
    </row>
    <row r="61" spans="2:5" ht="15.75">
      <c r="B61" s="8"/>
      <c r="C61" s="8"/>
      <c r="D61" s="8"/>
      <c r="E61" s="8"/>
    </row>
    <row r="62" spans="2:5" ht="15.75">
      <c r="B62" s="8"/>
      <c r="C62" s="170"/>
      <c r="D62" s="170"/>
      <c r="E62" s="170"/>
    </row>
    <row r="63" spans="2:5" ht="15.75">
      <c r="B63" s="135"/>
      <c r="C63" s="8" t="s">
        <v>172</v>
      </c>
      <c r="D63" s="8"/>
      <c r="E63" s="8"/>
    </row>
    <row r="65" ht="15.75">
      <c r="B65" s="53"/>
    </row>
    <row r="70" spans="3:4" ht="15.75" hidden="1">
      <c r="C70" s="88">
        <f>IF(C50&gt;C52,"See Tab A","")</f>
      </c>
      <c r="D70" s="88">
        <f>IF(D50&gt;D52,"See Tab C","")</f>
      </c>
    </row>
    <row r="71" spans="3:4" ht="15.75" hidden="1">
      <c r="C71" s="88">
        <f>IF(C51&lt;0,"See Tab B","")</f>
      </c>
      <c r="D71" s="88">
        <f>IF(D51&lt;0,"See Tab D","")</f>
      </c>
    </row>
  </sheetData>
  <sheetProtection/>
  <mergeCells count="5">
    <mergeCell ref="C57:D57"/>
    <mergeCell ref="C53:D53"/>
    <mergeCell ref="C54:D54"/>
    <mergeCell ref="G43:J43"/>
    <mergeCell ref="G55:J55"/>
  </mergeCells>
  <conditionalFormatting sqref="E53">
    <cfRule type="cellIs" priority="2" dxfId="11" operator="greaterThan" stopIfTrue="1">
      <formula>$E$50/0.95-$E$50</formula>
    </cfRule>
  </conditionalFormatting>
  <conditionalFormatting sqref="C48">
    <cfRule type="cellIs" priority="3" dxfId="11" operator="greaterThan" stopIfTrue="1">
      <formula>$C$50*0.1</formula>
    </cfRule>
  </conditionalFormatting>
  <conditionalFormatting sqref="D48">
    <cfRule type="cellIs" priority="4" dxfId="11" operator="greaterThan" stopIfTrue="1">
      <formula>$D$50*0.1</formula>
    </cfRule>
  </conditionalFormatting>
  <conditionalFormatting sqref="E48">
    <cfRule type="cellIs" priority="5" dxfId="11" operator="greaterThan" stopIfTrue="1">
      <formula>$E$50*0.1</formula>
    </cfRule>
  </conditionalFormatting>
  <conditionalFormatting sqref="C26">
    <cfRule type="cellIs" priority="6" dxfId="11" operator="greaterThan" stopIfTrue="1">
      <formula>$C$28*0.1</formula>
    </cfRule>
  </conditionalFormatting>
  <conditionalFormatting sqref="D26">
    <cfRule type="cellIs" priority="7" dxfId="11" operator="greaterThan" stopIfTrue="1">
      <formula>$D$28*0.1</formula>
    </cfRule>
  </conditionalFormatting>
  <conditionalFormatting sqref="C51">
    <cfRule type="cellIs" priority="8" dxfId="11" operator="lessThan" stopIfTrue="1">
      <formula>0</formula>
    </cfRule>
  </conditionalFormatting>
  <conditionalFormatting sqref="E26">
    <cfRule type="cellIs" priority="11" dxfId="11" operator="greaterThan" stopIfTrue="1">
      <formula>$E$28*0.1+$E$57</formula>
    </cfRule>
  </conditionalFormatting>
  <conditionalFormatting sqref="D51">
    <cfRule type="cellIs" priority="1" dxfId="2" operator="lessThan" stopIfTrue="1">
      <formula>0</formula>
    </cfRule>
  </conditionalFormatting>
  <conditionalFormatting sqref="D50">
    <cfRule type="cellIs" priority="20" dxfId="0" operator="greaterThan" stopIfTrue="1">
      <formula>$D$52</formula>
    </cfRule>
  </conditionalFormatting>
  <conditionalFormatting sqref="C50">
    <cfRule type="cellIs" priority="28" dxfId="11" operator="greaterThan" stopIfTrue="1">
      <formula>$C$52</formula>
    </cfRule>
  </conditionalFormatting>
  <printOptions/>
  <pageMargins left="1" right="1" top="0.5" bottom="0.5" header="0.5" footer="0.5"/>
  <pageSetup blackAndWhite="1" fitToHeight="1" fitToWidth="1" horizontalDpi="120" verticalDpi="120" orientation="portrait" scale="74" r:id="rId1"/>
  <headerFooter alignWithMargins="0">
    <oddHeader>&amp;RState of Kansas
Special District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zoomScalePageLayoutView="0" workbookViewId="0" topLeftCell="A14">
      <selection activeCell="A6" sqref="A6:H6"/>
    </sheetView>
  </sheetViews>
  <sheetFormatPr defaultColWidth="8.796875" defaultRowHeight="15"/>
  <cols>
    <col min="1" max="1" width="15.796875" style="88" customWidth="1"/>
    <col min="2" max="2" width="12.796875" style="88" customWidth="1"/>
    <col min="3" max="3" width="8.796875" style="88" customWidth="1"/>
    <col min="4" max="4" width="12.796875" style="88" customWidth="1"/>
    <col min="5" max="5" width="9.19921875" style="88" customWidth="1"/>
    <col min="6" max="6" width="12.796875" style="88" customWidth="1"/>
    <col min="7" max="7" width="10.796875" style="88" customWidth="1"/>
    <col min="8" max="8" width="8.796875" style="88" customWidth="1"/>
    <col min="9" max="9" width="8.8984375" style="88" customWidth="1"/>
    <col min="10" max="10" width="12.3984375" style="88" customWidth="1"/>
    <col min="11" max="11" width="12.296875" style="88" customWidth="1"/>
    <col min="12" max="12" width="5.796875" style="88" customWidth="1"/>
    <col min="13" max="13" width="12" style="88" customWidth="1"/>
    <col min="14" max="16384" width="8.8984375" style="88" customWidth="1"/>
  </cols>
  <sheetData>
    <row r="1" spans="1:8" ht="15.75">
      <c r="A1" s="286" t="s">
        <v>55</v>
      </c>
      <c r="B1" s="286"/>
      <c r="C1" s="286"/>
      <c r="D1" s="286"/>
      <c r="E1" s="286"/>
      <c r="F1" s="286"/>
      <c r="G1" s="286"/>
      <c r="H1" s="336"/>
    </row>
    <row r="2" spans="1:8" ht="15.75">
      <c r="A2" s="8"/>
      <c r="B2" s="8"/>
      <c r="C2" s="8"/>
      <c r="D2" s="8"/>
      <c r="E2" s="8"/>
      <c r="F2" s="8"/>
      <c r="G2" s="8"/>
      <c r="H2" s="8"/>
    </row>
    <row r="3" spans="1:9" ht="15.75">
      <c r="A3" s="312" t="s">
        <v>80</v>
      </c>
      <c r="B3" s="312"/>
      <c r="C3" s="312"/>
      <c r="D3" s="312"/>
      <c r="E3" s="312"/>
      <c r="F3" s="312"/>
      <c r="G3" s="312"/>
      <c r="H3" s="312"/>
      <c r="I3" s="44">
        <f>inputPrYr!D6</f>
        <v>2012</v>
      </c>
    </row>
    <row r="4" spans="1:8" ht="15.75">
      <c r="A4" s="284" t="str">
        <f>inputPrYr!D3</f>
        <v>CRESCO CEMETERY</v>
      </c>
      <c r="B4" s="284"/>
      <c r="C4" s="284"/>
      <c r="D4" s="284"/>
      <c r="E4" s="284"/>
      <c r="F4" s="284"/>
      <c r="G4" s="284"/>
      <c r="H4" s="284"/>
    </row>
    <row r="5" spans="1:8" ht="15.75">
      <c r="A5" s="339" t="str">
        <f>inputPrYr!D4</f>
        <v>ELK COUNTY</v>
      </c>
      <c r="B5" s="339"/>
      <c r="C5" s="339"/>
      <c r="D5" s="339"/>
      <c r="E5" s="339"/>
      <c r="F5" s="339"/>
      <c r="G5" s="339"/>
      <c r="H5" s="339"/>
    </row>
    <row r="6" spans="1:8" ht="15.75">
      <c r="A6" s="328" t="e">
        <f>CONCATENATE("will meet on ",#REF!," at ",#REF!," at ",#REF!," for the purpose of hearing and")</f>
        <v>#REF!</v>
      </c>
      <c r="B6" s="328"/>
      <c r="C6" s="328"/>
      <c r="D6" s="328"/>
      <c r="E6" s="328"/>
      <c r="F6" s="328"/>
      <c r="G6" s="328"/>
      <c r="H6" s="328"/>
    </row>
    <row r="7" spans="1:8" ht="15.75">
      <c r="A7" s="90" t="s">
        <v>148</v>
      </c>
      <c r="B7" s="16"/>
      <c r="C7" s="16"/>
      <c r="D7" s="16"/>
      <c r="E7" s="16"/>
      <c r="F7" s="16"/>
      <c r="G7" s="16"/>
      <c r="H7" s="16"/>
    </row>
    <row r="8" spans="1:8" ht="15.75">
      <c r="A8" s="199" t="e">
        <f>CONCATENATE("Detailed budget information is available at ",#REF!," and will be available at this hearing.")</f>
        <v>#REF!</v>
      </c>
      <c r="B8" s="200"/>
      <c r="C8" s="200"/>
      <c r="D8" s="200"/>
      <c r="E8" s="200"/>
      <c r="F8" s="200"/>
      <c r="G8" s="16"/>
      <c r="H8" s="16"/>
    </row>
    <row r="9" spans="1:8" ht="15.75">
      <c r="A9" s="15" t="s">
        <v>56</v>
      </c>
      <c r="B9" s="16"/>
      <c r="C9" s="16"/>
      <c r="D9" s="16"/>
      <c r="E9" s="16"/>
      <c r="F9" s="16"/>
      <c r="G9" s="16"/>
      <c r="H9" s="16"/>
    </row>
    <row r="10" spans="1:8" ht="15.75">
      <c r="A10" s="90" t="str">
        <f>CONCATENATE("Proposed Budget ",I3," Expenditures and Amount of ",I3-1," Ad Valorem Tax establish the maximum limits")</f>
        <v>Proposed Budget 2012 Expenditures and Amount of 2011 Ad Valorem Tax establish the maximum limits</v>
      </c>
      <c r="B10" s="16"/>
      <c r="C10" s="16"/>
      <c r="D10" s="16"/>
      <c r="E10" s="16"/>
      <c r="F10" s="16"/>
      <c r="G10" s="16"/>
      <c r="H10" s="16"/>
    </row>
    <row r="11" spans="1:8" ht="15.75">
      <c r="A11" s="90" t="str">
        <f>CONCATENATE("of the ",I3," budget.  Estimated Tax Rate is subject to change depending on the final assessed valuation.")</f>
        <v>of the 2012 budget.  Estimated Tax Rate is subject to change depending on the final assessed valuation.</v>
      </c>
      <c r="B11" s="16"/>
      <c r="C11" s="16"/>
      <c r="D11" s="16"/>
      <c r="E11" s="16"/>
      <c r="F11" s="16"/>
      <c r="G11" s="16"/>
      <c r="H11" s="16"/>
    </row>
    <row r="12" spans="1:13" ht="15.75">
      <c r="A12" s="8"/>
      <c r="B12" s="92"/>
      <c r="C12" s="92"/>
      <c r="D12" s="92"/>
      <c r="E12" s="92"/>
      <c r="F12" s="92"/>
      <c r="G12" s="92"/>
      <c r="H12" s="92"/>
      <c r="J12" s="329" t="str">
        <f>CONCATENATE("Estimated Value Of One Mill For ",I3,"")</f>
        <v>Estimated Value Of One Mill For 2012</v>
      </c>
      <c r="K12" s="330"/>
      <c r="L12" s="330"/>
      <c r="M12" s="331"/>
    </row>
    <row r="13" spans="1:13" ht="15.75">
      <c r="A13" s="168"/>
      <c r="B13" s="186" t="str">
        <f>CONCATENATE("Prior Year Actual ",I3-2,"")</f>
        <v>Prior Year Actual 2010</v>
      </c>
      <c r="C13" s="187"/>
      <c r="D13" s="188" t="str">
        <f>CONCATENATE("Current Year Estimate for ",I3-1,"")</f>
        <v>Current Year Estimate for 2011</v>
      </c>
      <c r="E13" s="187"/>
      <c r="F13" s="186" t="str">
        <f>CONCATENATE("Proposed Budget Year for ",I3,"")</f>
        <v>Proposed Budget Year for 2012</v>
      </c>
      <c r="G13" s="189"/>
      <c r="H13" s="187"/>
      <c r="J13" s="265"/>
      <c r="K13" s="266"/>
      <c r="L13" s="266"/>
      <c r="M13" s="267"/>
    </row>
    <row r="14" spans="1:13" ht="15.75">
      <c r="A14" s="169"/>
      <c r="B14" s="98"/>
      <c r="C14" s="190" t="s">
        <v>41</v>
      </c>
      <c r="D14" s="98"/>
      <c r="E14" s="190" t="s">
        <v>41</v>
      </c>
      <c r="F14" s="169" t="s">
        <v>134</v>
      </c>
      <c r="G14" s="337" t="str">
        <f>CONCATENATE("Amount of ",I3-1," Ad Valorem Tax")</f>
        <v>Amount of 2011 Ad Valorem Tax</v>
      </c>
      <c r="H14" s="190" t="s">
        <v>154</v>
      </c>
      <c r="J14" s="268" t="s">
        <v>163</v>
      </c>
      <c r="K14" s="269"/>
      <c r="L14" s="269"/>
      <c r="M14" s="270">
        <f>ROUND(F20/1000,0)</f>
        <v>1900</v>
      </c>
    </row>
    <row r="15" spans="1:13" ht="15.75">
      <c r="A15" s="164" t="s">
        <v>42</v>
      </c>
      <c r="B15" s="107" t="s">
        <v>43</v>
      </c>
      <c r="C15" s="191" t="s">
        <v>121</v>
      </c>
      <c r="D15" s="107" t="s">
        <v>43</v>
      </c>
      <c r="E15" s="191" t="s">
        <v>121</v>
      </c>
      <c r="F15" s="107" t="s">
        <v>149</v>
      </c>
      <c r="G15" s="338"/>
      <c r="H15" s="191" t="s">
        <v>121</v>
      </c>
      <c r="J15" s="6"/>
      <c r="K15" s="6"/>
      <c r="L15" s="6"/>
      <c r="M15" s="6"/>
    </row>
    <row r="16" spans="1:13" ht="15.75">
      <c r="A16" s="28" t="str">
        <f>inputPrYr!B19</f>
        <v>General</v>
      </c>
      <c r="B16" s="118">
        <f>IF(gen!$C$50&lt;&gt;0,gen!$C$50,"  ")</f>
        <v>3117</v>
      </c>
      <c r="C16" s="115">
        <f>IF(inputPrYr!D38&gt;0,inputPrYr!D38,"  ")</f>
        <v>0.857</v>
      </c>
      <c r="D16" s="118">
        <f>IF(gen!$D$50&lt;&gt;0,gen!$D$50,"  ")</f>
        <v>3169</v>
      </c>
      <c r="E16" s="115">
        <f>IF(inputOth!D16&gt;0,inputOth!D16,"  ")</f>
        <v>1.431</v>
      </c>
      <c r="F16" s="118">
        <f>IF(gen!$E$50&lt;&gt;0,gen!$E$50,"  ")</f>
        <v>3865</v>
      </c>
      <c r="G16" s="118">
        <f>IF(gen!$E$57&lt;&gt;0,gen!$E$57,"  ")</f>
        <v>3132.2799999999997</v>
      </c>
      <c r="H16" s="115">
        <f>IF(gen!E57&gt;0,ROUND(G16/$F$20*1000,3)," ")</f>
        <v>1.649</v>
      </c>
      <c r="J16" s="329" t="str">
        <f>CONCATENATE("Want The Mill Rate The Same As For ",I3-1,"?")</f>
        <v>Want The Mill Rate The Same As For 2011?</v>
      </c>
      <c r="K16" s="332"/>
      <c r="L16" s="332"/>
      <c r="M16" s="333"/>
    </row>
    <row r="17" spans="1:13" ht="15.75">
      <c r="A17" s="25" t="s">
        <v>98</v>
      </c>
      <c r="B17" s="194">
        <f aca="true" t="shared" si="0" ref="B17:H17">SUM(B16:B16)</f>
        <v>3117</v>
      </c>
      <c r="C17" s="255">
        <f t="shared" si="0"/>
        <v>0.857</v>
      </c>
      <c r="D17" s="194">
        <f t="shared" si="0"/>
        <v>3169</v>
      </c>
      <c r="E17" s="255">
        <f t="shared" si="0"/>
        <v>1.431</v>
      </c>
      <c r="F17" s="194">
        <f t="shared" si="0"/>
        <v>3865</v>
      </c>
      <c r="G17" s="194">
        <f t="shared" si="0"/>
        <v>3132.2799999999997</v>
      </c>
      <c r="H17" s="255">
        <f t="shared" si="0"/>
        <v>1.649</v>
      </c>
      <c r="J17" s="329" t="str">
        <f>CONCATENATE("Impact On Keeping The Same Mill Rate As For ",I3-1,"")</f>
        <v>Impact On Keeping The Same Mill Rate As For 2011</v>
      </c>
      <c r="K17" s="334"/>
      <c r="L17" s="334"/>
      <c r="M17" s="335"/>
    </row>
    <row r="18" spans="1:13" ht="16.5" thickBot="1">
      <c r="A18" s="25" t="s">
        <v>113</v>
      </c>
      <c r="B18" s="126">
        <v>0</v>
      </c>
      <c r="C18" s="193"/>
      <c r="D18" s="126">
        <v>0</v>
      </c>
      <c r="E18" s="193"/>
      <c r="F18" s="254">
        <v>0</v>
      </c>
      <c r="G18" s="182"/>
      <c r="H18" s="192"/>
      <c r="J18" s="271" t="str">
        <f>CONCATENATE("",I3," Ad Valorem Tax Revenue:")</f>
        <v>2012 Ad Valorem Tax Revenue:</v>
      </c>
      <c r="K18" s="266"/>
      <c r="L18" s="266"/>
      <c r="M18" s="267">
        <f>G17</f>
        <v>3132.2799999999997</v>
      </c>
    </row>
    <row r="19" spans="1:13" ht="16.5" thickTop="1">
      <c r="A19" s="25" t="s">
        <v>44</v>
      </c>
      <c r="B19" s="194">
        <f>inputPrYr!E44</f>
        <v>1648</v>
      </c>
      <c r="C19" s="169"/>
      <c r="D19" s="194">
        <f>inputPrYr!E24</f>
        <v>2779</v>
      </c>
      <c r="E19" s="169"/>
      <c r="F19" s="195" t="s">
        <v>118</v>
      </c>
      <c r="G19" s="8"/>
      <c r="H19" s="8"/>
      <c r="J19" s="271" t="str">
        <f>CONCATENATE("",I3-1," Ad Valorem Tax Revenue:")</f>
        <v>2011 Ad Valorem Tax Revenue:</v>
      </c>
      <c r="K19" s="266"/>
      <c r="L19" s="266"/>
      <c r="M19" s="275" t="e">
        <f>ROUND(F20*#REF!/1000,0)</f>
        <v>#REF!</v>
      </c>
    </row>
    <row r="20" spans="1:13" ht="15.75">
      <c r="A20" s="25" t="s">
        <v>114</v>
      </c>
      <c r="B20" s="167">
        <f>inputPrYr!E45</f>
        <v>1924444</v>
      </c>
      <c r="C20" s="169"/>
      <c r="D20" s="167">
        <f>inputOth!E24</f>
        <v>1941669</v>
      </c>
      <c r="E20" s="169"/>
      <c r="F20" s="167">
        <f>inputOth!E7</f>
        <v>1900006</v>
      </c>
      <c r="G20" s="8"/>
      <c r="H20" s="8"/>
      <c r="J20" s="276" t="s">
        <v>164</v>
      </c>
      <c r="K20" s="277"/>
      <c r="L20" s="277"/>
      <c r="M20" s="270" t="e">
        <f>M18-M19</f>
        <v>#REF!</v>
      </c>
    </row>
    <row r="21" spans="1:13" ht="15.75">
      <c r="A21" s="11"/>
      <c r="B21" s="182"/>
      <c r="C21" s="61"/>
      <c r="D21" s="182"/>
      <c r="E21" s="61"/>
      <c r="F21" s="182"/>
      <c r="G21" s="8"/>
      <c r="H21" s="8"/>
      <c r="J21" s="278"/>
      <c r="K21" s="278"/>
      <c r="L21" s="278"/>
      <c r="M21" s="274"/>
    </row>
    <row r="22" spans="1:13" ht="15.75">
      <c r="A22" s="7" t="s">
        <v>45</v>
      </c>
      <c r="B22" s="8"/>
      <c r="C22" s="8"/>
      <c r="D22" s="8"/>
      <c r="E22" s="8"/>
      <c r="F22" s="8"/>
      <c r="G22" s="8"/>
      <c r="H22" s="8"/>
      <c r="J22" s="329" t="s">
        <v>165</v>
      </c>
      <c r="K22" s="332"/>
      <c r="L22" s="332"/>
      <c r="M22" s="333"/>
    </row>
    <row r="23" spans="1:13" ht="15.75">
      <c r="A23" s="7" t="s">
        <v>112</v>
      </c>
      <c r="B23" s="91">
        <f>I3-3</f>
        <v>2009</v>
      </c>
      <c r="C23" s="8"/>
      <c r="D23" s="91">
        <f>I3-2</f>
        <v>2010</v>
      </c>
      <c r="E23" s="8"/>
      <c r="F23" s="91">
        <f>I3-1</f>
        <v>2011</v>
      </c>
      <c r="G23" s="8"/>
      <c r="H23" s="8"/>
      <c r="J23" s="271"/>
      <c r="K23" s="266"/>
      <c r="L23" s="266"/>
      <c r="M23" s="272"/>
    </row>
    <row r="24" spans="1:13" ht="15.75">
      <c r="A24" s="7" t="s">
        <v>46</v>
      </c>
      <c r="B24" s="196">
        <f>inputPrYr!D48</f>
        <v>0</v>
      </c>
      <c r="C24" s="156"/>
      <c r="D24" s="196">
        <f>inputPrYr!E48</f>
        <v>0</v>
      </c>
      <c r="E24" s="8"/>
      <c r="F24" s="196">
        <v>0</v>
      </c>
      <c r="G24" s="8"/>
      <c r="H24" s="44"/>
      <c r="J24" s="271" t="str">
        <f>CONCATENATE("Current ",I3," Estimated Mill Rate:")</f>
        <v>Current 2012 Estimated Mill Rate:</v>
      </c>
      <c r="K24" s="266"/>
      <c r="L24" s="266"/>
      <c r="M24" s="273">
        <f>H17</f>
        <v>1.649</v>
      </c>
    </row>
    <row r="25" spans="1:13" ht="15.75">
      <c r="A25" s="8" t="s">
        <v>47</v>
      </c>
      <c r="B25" s="196">
        <f>inputPrYr!D49</f>
        <v>0</v>
      </c>
      <c r="C25" s="8"/>
      <c r="D25" s="196">
        <f>inputPrYr!E49</f>
        <v>0</v>
      </c>
      <c r="E25" s="8"/>
      <c r="F25" s="196">
        <v>0</v>
      </c>
      <c r="G25" s="8"/>
      <c r="H25" s="44"/>
      <c r="J25" s="271" t="str">
        <f>CONCATENATE("Desired ",I3," Mill Rate:")</f>
        <v>Desired 2012 Mill Rate:</v>
      </c>
      <c r="K25" s="266"/>
      <c r="L25" s="266"/>
      <c r="M25" s="279">
        <v>0</v>
      </c>
    </row>
    <row r="26" spans="1:13" ht="15.75">
      <c r="A26" s="7" t="s">
        <v>159</v>
      </c>
      <c r="B26" s="196">
        <f>inputPrYr!D50</f>
        <v>0</v>
      </c>
      <c r="C26" s="156"/>
      <c r="D26" s="196">
        <f>inputPrYr!E50</f>
        <v>0</v>
      </c>
      <c r="E26" s="8"/>
      <c r="F26" s="196">
        <v>0</v>
      </c>
      <c r="G26" s="8"/>
      <c r="H26" s="44"/>
      <c r="J26" s="271" t="str">
        <f>CONCATENATE("",I3," Ad Valorem Tax:")</f>
        <v>2012 Ad Valorem Tax:</v>
      </c>
      <c r="K26" s="266"/>
      <c r="L26" s="266"/>
      <c r="M26" s="275">
        <f>ROUND(F20*M25/1000,0)</f>
        <v>0</v>
      </c>
    </row>
    <row r="27" spans="1:13" ht="15.75">
      <c r="A27" s="7" t="s">
        <v>99</v>
      </c>
      <c r="B27" s="196">
        <f>inputPrYr!D51</f>
        <v>0</v>
      </c>
      <c r="C27" s="8"/>
      <c r="D27" s="196">
        <f>inputPrYr!E51</f>
        <v>0</v>
      </c>
      <c r="E27" s="8"/>
      <c r="F27" s="196">
        <v>0</v>
      </c>
      <c r="G27" s="8"/>
      <c r="H27" s="44"/>
      <c r="J27" s="276" t="str">
        <f>CONCATENATE("",I3," Tax Levy Fund Exp. Changed By:")</f>
        <v>2012 Tax Levy Fund Exp. Changed By:</v>
      </c>
      <c r="K27" s="277"/>
      <c r="L27" s="277"/>
      <c r="M27" s="270">
        <f>IF(M25=0,0,(M26-G17))</f>
        <v>0</v>
      </c>
    </row>
    <row r="28" spans="1:8" ht="16.5" thickBot="1">
      <c r="A28" s="183" t="s">
        <v>48</v>
      </c>
      <c r="B28" s="197">
        <f>SUM(B24:B27)</f>
        <v>0</v>
      </c>
      <c r="C28" s="8"/>
      <c r="D28" s="197">
        <f>SUM(D24:D27)</f>
        <v>0</v>
      </c>
      <c r="E28" s="8"/>
      <c r="F28" s="197">
        <v>0</v>
      </c>
      <c r="G28" s="198"/>
      <c r="H28" s="44"/>
    </row>
    <row r="29" spans="1:8" ht="16.5" thickTop="1">
      <c r="A29" s="44"/>
      <c r="B29" s="8"/>
      <c r="C29" s="8"/>
      <c r="D29" s="8"/>
      <c r="E29" s="8"/>
      <c r="F29" s="8"/>
      <c r="G29" s="8"/>
      <c r="H29" s="44"/>
    </row>
    <row r="30" spans="1:8" ht="15.75">
      <c r="A30" s="183" t="s">
        <v>49</v>
      </c>
      <c r="B30" s="8"/>
      <c r="C30" s="8"/>
      <c r="D30" s="8"/>
      <c r="E30" s="170"/>
      <c r="F30" s="170"/>
      <c r="G30" s="8"/>
      <c r="H30" s="44"/>
    </row>
    <row r="31" spans="1:8" ht="15.75">
      <c r="A31" s="44"/>
      <c r="B31" s="8"/>
      <c r="C31" s="8"/>
      <c r="D31" s="8"/>
      <c r="E31" s="8"/>
      <c r="F31" s="8"/>
      <c r="G31" s="8"/>
      <c r="H31" s="44"/>
    </row>
    <row r="32" spans="1:8" ht="15.75">
      <c r="A32" s="52"/>
      <c r="B32" s="8"/>
      <c r="C32" s="8"/>
      <c r="D32" s="8"/>
      <c r="E32" s="8"/>
      <c r="F32" s="8"/>
      <c r="G32" s="8"/>
      <c r="H32" s="52"/>
    </row>
    <row r="33" spans="1:8" ht="15.75">
      <c r="A33" s="306" t="s">
        <v>173</v>
      </c>
      <c r="B33" s="307"/>
      <c r="C33" s="92"/>
      <c r="D33" s="8"/>
      <c r="E33" s="8"/>
      <c r="F33" s="8"/>
      <c r="G33" s="8"/>
      <c r="H33" s="44"/>
    </row>
    <row r="34" spans="1:8" ht="15.75">
      <c r="A34" s="185" t="s">
        <v>50</v>
      </c>
      <c r="B34" s="16"/>
      <c r="C34" s="8"/>
      <c r="D34" s="135" t="s">
        <v>34</v>
      </c>
      <c r="E34" s="256">
        <v>5</v>
      </c>
      <c r="F34" s="8"/>
      <c r="G34" s="8"/>
      <c r="H34" s="44"/>
    </row>
    <row r="36" spans="1:8" ht="15.75">
      <c r="A36" s="6"/>
      <c r="B36" s="6"/>
      <c r="C36" s="6"/>
      <c r="D36" s="6"/>
      <c r="E36" s="6"/>
      <c r="F36" s="6"/>
      <c r="G36" s="6"/>
      <c r="H36" s="6"/>
    </row>
    <row r="38" spans="1:8" ht="15.75">
      <c r="A38" s="6"/>
      <c r="B38" s="6"/>
      <c r="C38" s="6"/>
      <c r="D38" s="6"/>
      <c r="E38" s="6"/>
      <c r="F38" s="6"/>
      <c r="G38" s="6"/>
      <c r="H38" s="6"/>
    </row>
    <row r="39" spans="1:8" ht="15.75">
      <c r="A39" s="6"/>
      <c r="B39" s="6"/>
      <c r="C39" s="6"/>
      <c r="D39" s="6"/>
      <c r="E39" s="6"/>
      <c r="F39" s="6"/>
      <c r="G39" s="6"/>
      <c r="H39" s="6"/>
    </row>
    <row r="40" spans="1:8" ht="15.75">
      <c r="A40" s="6"/>
      <c r="B40" s="6"/>
      <c r="C40" s="6"/>
      <c r="D40" s="6"/>
      <c r="E40" s="6"/>
      <c r="F40" s="6"/>
      <c r="G40" s="6"/>
      <c r="H40" s="6"/>
    </row>
    <row r="41" spans="1:8" ht="15.75">
      <c r="A41" s="6"/>
      <c r="B41" s="6"/>
      <c r="C41" s="6"/>
      <c r="D41" s="6"/>
      <c r="E41" s="6"/>
      <c r="F41" s="6"/>
      <c r="G41" s="6"/>
      <c r="H41" s="6"/>
    </row>
    <row r="42" spans="1:8" ht="15.75">
      <c r="A42" s="6"/>
      <c r="B42" s="6"/>
      <c r="C42" s="6"/>
      <c r="D42" s="6"/>
      <c r="E42" s="6"/>
      <c r="F42" s="6"/>
      <c r="G42" s="6"/>
      <c r="H42" s="6"/>
    </row>
    <row r="43" spans="1:8" ht="15.75">
      <c r="A43" s="6"/>
      <c r="B43" s="6"/>
      <c r="C43" s="6"/>
      <c r="D43" s="6"/>
      <c r="E43" s="6"/>
      <c r="F43" s="6"/>
      <c r="G43" s="6"/>
      <c r="H43" s="6"/>
    </row>
    <row r="44" spans="1:8" ht="15.75">
      <c r="A44" s="6"/>
      <c r="B44" s="6"/>
      <c r="C44" s="6"/>
      <c r="D44" s="6"/>
      <c r="E44" s="6"/>
      <c r="F44" s="6"/>
      <c r="G44" s="6"/>
      <c r="H44" s="6"/>
    </row>
    <row r="45" spans="1:8" ht="15.75">
      <c r="A45" s="6"/>
      <c r="B45" s="6"/>
      <c r="C45" s="6"/>
      <c r="D45" s="6"/>
      <c r="E45" s="6"/>
      <c r="F45" s="6"/>
      <c r="G45" s="6"/>
      <c r="H45" s="6"/>
    </row>
    <row r="46" spans="1:8" ht="15.75">
      <c r="A46" s="6"/>
      <c r="B46" s="6"/>
      <c r="C46" s="6"/>
      <c r="D46" s="6"/>
      <c r="E46" s="6"/>
      <c r="F46" s="6"/>
      <c r="G46" s="6"/>
      <c r="H46" s="6"/>
    </row>
  </sheetData>
  <sheetProtection/>
  <mergeCells count="11">
    <mergeCell ref="A1:H1"/>
    <mergeCell ref="G14:G15"/>
    <mergeCell ref="A3:H3"/>
    <mergeCell ref="A4:H4"/>
    <mergeCell ref="A5:H5"/>
    <mergeCell ref="A6:H6"/>
    <mergeCell ref="J12:M12"/>
    <mergeCell ref="J16:M16"/>
    <mergeCell ref="J17:M17"/>
    <mergeCell ref="J22:M22"/>
    <mergeCell ref="A33:B33"/>
  </mergeCells>
  <printOptions/>
  <pageMargins left="1" right="1" top="0.5" bottom="0.5" header="0.5" footer="0.5"/>
  <pageSetup blackAndWhite="1" fitToHeight="1" fitToWidth="1" horizontalDpi="120" verticalDpi="120" orientation="portrait" scale="45" r:id="rId1"/>
  <headerFooter alignWithMargins="0">
    <oddHeader>&amp;RState of Kansas
Special District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special district</dc:title>
  <dc:subject/>
  <dc:creator>Valued Customer of</dc:creator>
  <cp:keywords/>
  <dc:description/>
  <cp:lastModifiedBy>rbrazier</cp:lastModifiedBy>
  <cp:lastPrinted>2011-07-06T22:26:24Z</cp:lastPrinted>
  <dcterms:created xsi:type="dcterms:W3CDTF">1999-08-06T13:59:57Z</dcterms:created>
  <dcterms:modified xsi:type="dcterms:W3CDTF">2012-02-16T16:41:09Z</dcterms:modified>
  <cp:category/>
  <cp:version/>
  <cp:contentType/>
  <cp:contentStatus/>
</cp:coreProperties>
</file>