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'gen'!$B$1:$F$51</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<sst xmlns="http://schemas.openxmlformats.org/spreadsheetml/2006/main" count="1117" uniqueCount="756">
  <si>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</si>
  <si>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</si>
  <si>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</si>
  <si>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</si>
  <si>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</si>
  <si>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</si>
  <si>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</si>
  <si>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</si>
  <si>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</si>
  <si>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</si>
  <si>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</si>
  <si>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</si>
  <si>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</si>
  <si>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</si>
  <si>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</si>
  <si>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</si>
  <si>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</si>
  <si>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</si>
  <si>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</si>
  <si>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</si>
  <si>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</si>
  <si>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</si>
  <si>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</si>
  <si>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</si>
  <si>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</si>
  <si>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</si>
  <si>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</si>
  <si>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</si>
  <si>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</si>
  <si>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</si>
  <si>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</si>
  <si>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</si>
  <si>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</si>
  <si>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</si>
  <si>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</si>
  <si>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</si>
  <si>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</si>
  <si>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</si>
  <si>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</si>
  <si>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</si>
  <si>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</si>
  <si>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</si>
  <si>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</si>
  <si>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</si>
  <si>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</si>
  <si>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</si>
  <si>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</si>
  <si>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</si>
  <si>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</si>
  <si>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</si>
  <si>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</si>
  <si>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</si>
  <si>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</si>
  <si>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</si>
  <si>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</si>
  <si>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</si>
  <si>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</si>
  <si>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</si>
  <si>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</si>
  <si>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</si>
  <si>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</si>
  <si>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</si>
  <si>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</si>
  <si>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</si>
  <si>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</si>
  <si>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</si>
  <si>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</si>
  <si>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</si>
  <si>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</si>
  <si>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</si>
  <si>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</si>
  <si>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</si>
  <si>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</si>
  <si>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</si>
  <si>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</si>
  <si>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</si>
  <si>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</si>
  <si>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</si>
  <si>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</si>
  <si>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</si>
  <si>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</si>
  <si>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</si>
  <si>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</si>
  <si>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</si>
  <si>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</si>
  <si>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</si>
  <si>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</si>
  <si>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</si>
  <si>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</si>
  <si>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</si>
  <si>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</si>
  <si>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</si>
  <si>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</si>
  <si>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</si>
  <si>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</si>
  <si>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</si>
  <si>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</si>
  <si>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</si>
  <si>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</si>
  <si>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</si>
  <si>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</si>
  <si>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</si>
  <si>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</si>
  <si>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</si>
  <si>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</si>
  <si>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</si>
  <si>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</si>
  <si>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</si>
  <si>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</si>
  <si>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</si>
  <si>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</si>
  <si>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</si>
  <si>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</si>
  <si>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</si>
  <si>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</si>
  <si>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</si>
  <si>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</si>
  <si>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</si>
  <si>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</si>
  <si>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</si>
  <si>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</si>
  <si>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</si>
  <si>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</si>
  <si>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</si>
  <si>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</si>
  <si>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</si>
  <si>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</si>
  <si>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</si>
  <si>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</si>
  <si>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</si>
  <si>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</si>
  <si>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</si>
  <si>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</si>
  <si>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</si>
  <si>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</si>
  <si>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</si>
  <si>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</si>
  <si>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</si>
  <si>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</si>
  <si>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</si>
  <si>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</si>
  <si>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</si>
  <si>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</si>
  <si>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</si>
  <si>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</si>
  <si>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</si>
  <si>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</si>
  <si>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</si>
  <si>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</si>
  <si>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</si>
  <si>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</si>
  <si>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</si>
  <si>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</si>
  <si>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</si>
  <si>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</si>
  <si>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</si>
  <si>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</si>
  <si>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</si>
  <si>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</si>
  <si>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</si>
  <si>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</si>
  <si>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</si>
  <si>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</si>
  <si>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</si>
  <si>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</si>
  <si>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</si>
  <si>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</si>
  <si>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</si>
  <si>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</si>
  <si>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</si>
  <si>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</si>
  <si>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</si>
  <si>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</si>
  <si>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</si>
  <si>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</si>
  <si>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</si>
  <si>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</si>
  <si>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</si>
  <si>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</si>
  <si>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</si>
  <si>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</si>
  <si>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</si>
  <si>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</si>
  <si>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</si>
  <si>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</si>
  <si>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</si>
  <si>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</si>
  <si>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</si>
  <si>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</si>
  <si>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</si>
  <si>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</si>
  <si>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</si>
  <si>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</si>
  <si>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</si>
  <si>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</si>
  <si>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</si>
  <si>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</si>
  <si>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</si>
  <si>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</si>
  <si>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</si>
  <si>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</si>
  <si>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</si>
  <si>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</si>
  <si>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</si>
  <si>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</si>
  <si>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</si>
  <si>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</si>
  <si>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</si>
  <si>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</si>
  <si>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</si>
  <si>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</si>
  <si>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</si>
  <si>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</si>
  <si>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</si>
  <si>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</si>
  <si>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</si>
  <si>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</si>
  <si>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</si>
  <si>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</si>
  <si>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</si>
  <si>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</si>
  <si>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</si>
  <si>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</si>
  <si>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</si>
  <si>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</si>
  <si>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</si>
  <si>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</si>
  <si>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</si>
  <si>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</si>
  <si>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</si>
  <si>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</si>
  <si>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</si>
  <si>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</si>
  <si>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</si>
  <si>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</si>
  <si>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</si>
  <si>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</si>
  <si>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</si>
  <si>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</si>
  <si>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</si>
  <si>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</si>
  <si>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</si>
  <si>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</si>
  <si>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</si>
  <si>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</si>
  <si>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</si>
  <si>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</si>
  <si>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</si>
  <si>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</si>
  <si>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</si>
  <si>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</si>
  <si>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</si>
  <si>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</si>
  <si>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</si>
  <si>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</si>
  <si>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</si>
  <si>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</si>
  <si>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</si>
  <si>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</si>
  <si>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</si>
  <si>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</si>
  <si>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</si>
  <si>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</si>
  <si>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</si>
  <si>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</si>
  <si>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</si>
  <si>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</si>
  <si>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</si>
  <si>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</si>
  <si>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</si>
  <si>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</si>
  <si>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</si>
  <si>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</si>
  <si>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</si>
  <si>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</si>
  <si>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</si>
  <si>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</si>
  <si>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</si>
  <si>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</si>
  <si>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</si>
  <si>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</si>
  <si>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</si>
  <si>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</si>
  <si>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</si>
  <si>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</si>
  <si>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</si>
  <si>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</si>
  <si>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</si>
  <si>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</si>
  <si>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</si>
  <si>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</si>
  <si>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</si>
  <si>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</si>
  <si>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</si>
  <si>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</si>
  <si>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</si>
  <si>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</si>
  <si>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</si>
  <si>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</si>
  <si>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</si>
  <si>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</si>
  <si>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</si>
  <si>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</si>
  <si>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</si>
  <si>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</si>
  <si>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</si>
  <si>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</si>
  <si>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</si>
  <si>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</si>
  <si>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</si>
  <si>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</si>
  <si>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</si>
  <si>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</si>
  <si>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</si>
  <si>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</si>
  <si>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</si>
  <si>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</si>
  <si>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</si>
  <si>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</si>
  <si>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</si>
  <si>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</si>
  <si>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</si>
  <si>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</si>
  <si>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</si>
  <si>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</si>
  <si>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</si>
  <si>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</si>
  <si>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</si>
  <si>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</si>
  <si>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</si>
  <si>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</si>
  <si>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</si>
  <si>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</si>
  <si>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</si>
  <si>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</si>
  <si>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</si>
  <si>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</si>
  <si>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</si>
  <si>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</si>
  <si>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</si>
  <si>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</si>
  <si>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</si>
  <si>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</si>
  <si>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</si>
  <si>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</si>
  <si>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</si>
  <si>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</si>
  <si>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</si>
  <si>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</si>
  <si>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</si>
  <si>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</si>
  <si>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</si>
  <si>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</si>
  <si>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</si>
  <si>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</si>
  <si>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</si>
  <si>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</si>
  <si>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</si>
  <si>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</si>
  <si>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</si>
  <si>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</si>
  <si>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</si>
  <si>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</si>
  <si>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</si>
  <si>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</si>
  <si>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</si>
  <si>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</si>
  <si>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</si>
  <si>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</si>
  <si>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</si>
  <si>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</si>
  <si>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</si>
  <si>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</si>
  <si>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</si>
  <si>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</si>
  <si>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</si>
  <si>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</si>
  <si>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</si>
  <si>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</si>
  <si>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</si>
  <si>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</si>
  <si>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</si>
  <si>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</si>
  <si>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</si>
  <si>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</si>
  <si>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</si>
  <si>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</si>
  <si>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</si>
  <si>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</si>
  <si>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</si>
  <si>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</si>
  <si>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</si>
  <si>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</si>
  <si>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</si>
  <si>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</si>
  <si>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</si>
  <si>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</si>
  <si>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</si>
  <si>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</si>
  <si>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</si>
  <si>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</si>
  <si>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</si>
  <si>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</si>
  <si>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</si>
  <si>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</si>
  <si>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</si>
  <si>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</si>
  <si>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</si>
  <si>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</si>
  <si>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</si>
  <si>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</si>
  <si>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</si>
  <si>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</si>
  <si>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</si>
  <si>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</si>
  <si>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</si>
  <si>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</si>
  <si>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</si>
  <si>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</si>
  <si>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</si>
  <si>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</si>
  <si>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</si>
  <si>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</si>
  <si>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</si>
  <si>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</si>
  <si>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</si>
  <si>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</si>
  <si>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</si>
  <si>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</si>
  <si>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</si>
  <si>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</si>
  <si>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</si>
  <si>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</si>
  <si>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</si>
  <si>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</si>
  <si>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</si>
  <si>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</si>
  <si>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</si>
  <si>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</si>
  <si>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</si>
  <si>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</si>
  <si>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</si>
  <si>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</si>
  <si>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</si>
  <si>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</si>
  <si>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</si>
  <si>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</si>
  <si>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</si>
  <si>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</si>
  <si>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</si>
  <si>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</si>
  <si>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</si>
  <si>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</si>
  <si>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</si>
  <si>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</si>
  <si>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</si>
  <si>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</si>
  <si>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</si>
  <si>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</si>
  <si>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</si>
  <si>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</si>
  <si>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</si>
  <si>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</si>
  <si>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</si>
  <si>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</si>
  <si>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</si>
  <si>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</si>
  <si>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</si>
  <si>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</si>
  <si>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</si>
  <si>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</si>
  <si>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</si>
  <si>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</si>
  <si>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</si>
  <si>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</si>
  <si>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</si>
  <si>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</si>
  <si>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</si>
  <si>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</si>
  <si>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</si>
  <si>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</si>
  <si>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</si>
  <si>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</si>
  <si>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</si>
  <si>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</si>
  <si>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</si>
  <si>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</si>
  <si>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</si>
  <si>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</si>
  <si>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</si>
  <si>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</si>
  <si>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</si>
  <si>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</si>
  <si>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</si>
  <si>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</si>
  <si>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</si>
  <si>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</si>
  <si>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</si>
  <si>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</si>
  <si>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</si>
  <si>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</si>
  <si>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</si>
  <si>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</si>
  <si>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</si>
  <si>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</si>
  <si>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</si>
  <si>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</si>
  <si>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</si>
  <si>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</si>
  <si>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</si>
  <si>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</si>
  <si>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</si>
  <si>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</si>
  <si>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</si>
  <si>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</si>
  <si>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</si>
  <si>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</si>
  <si>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</si>
  <si>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</si>
  <si>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</si>
  <si>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</si>
  <si>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</si>
  <si>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</si>
  <si>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</si>
  <si>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</si>
  <si>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</si>
  <si>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</si>
  <si>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</si>
  <si>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</si>
  <si>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</si>
  <si>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</si>
  <si>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</si>
  <si>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</si>
  <si>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</si>
  <si>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</si>
  <si>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</si>
  <si>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</si>
  <si>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</si>
  <si>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</si>
  <si>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</si>
  <si>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</si>
  <si>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</si>
  <si>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</si>
  <si>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</si>
  <si>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</si>
  <si>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</si>
  <si>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</si>
  <si>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</si>
  <si>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</si>
  <si>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</si>
  <si>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</si>
  <si>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</si>
  <si>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</si>
  <si>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</si>
  <si>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</si>
  <si>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</si>
  <si>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</si>
  <si>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</si>
  <si>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</si>
  <si>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</si>
  <si>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</si>
  <si>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</si>
  <si>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</si>
  <si>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</si>
  <si>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</si>
  <si>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</si>
  <si>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</si>
  <si>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</si>
  <si>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</si>
  <si>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</si>
  <si>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</si>
  <si>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</si>
  <si>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</si>
  <si>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</si>
  <si>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</si>
  <si>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</si>
  <si>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</si>
  <si>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</si>
  <si>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</si>
  <si>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</si>
  <si>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</si>
  <si>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</si>
  <si>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</si>
  <si>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</si>
  <si>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</si>
  <si>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</si>
  <si>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</si>
  <si>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</si>
  <si>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</si>
  <si>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</si>
  <si>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</si>
  <si>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</si>
  <si>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</si>
  <si>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</si>
  <si>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</si>
  <si>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</si>
  <si>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</si>
  <si>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</si>
  <si>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</si>
  <si>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</si>
  <si>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</si>
  <si>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</si>
  <si>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</si>
  <si>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</si>
  <si>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</si>
  <si>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</si>
  <si>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</si>
  <si>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</si>
  <si>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</si>
  <si>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</si>
  <si>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</si>
  <si>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</si>
  <si>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</si>
  <si>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</si>
  <si>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</si>
  <si>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</si>
  <si>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</si>
  <si>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</si>
  <si>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</si>
  <si>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</si>
  <si>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</si>
  <si>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</si>
  <si>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</si>
  <si>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</si>
  <si>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</si>
  <si>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</si>
  <si>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</si>
  <si>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</si>
  <si>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</si>
  <si>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</si>
  <si>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</si>
  <si>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</si>
  <si>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</si>
  <si>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</si>
  <si>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</si>
  <si>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</si>
  <si>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</si>
  <si>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</si>
  <si>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</si>
  <si>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</si>
  <si>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</si>
  <si>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</si>
  <si>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</si>
  <si>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</si>
  <si>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</si>
  <si>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</si>
  <si>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</si>
  <si>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</si>
  <si>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</si>
  <si>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</si>
  <si>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</si>
  <si>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</si>
  <si>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</si>
  <si>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</si>
  <si>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</si>
  <si>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</si>
  <si>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</si>
  <si>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</si>
  <si>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</si>
  <si>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</si>
  <si>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</si>
  <si>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</si>
  <si>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</si>
  <si>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</si>
  <si>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</si>
  <si>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</si>
  <si>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</si>
  <si>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</si>
  <si>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</si>
  <si>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</si>
  <si>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</si>
  <si>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</si>
  <si>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</si>
  <si>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</si>
  <si>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</si>
  <si>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</si>
  <si>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</si>
  <si>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</si>
  <si>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</si>
  <si>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</si>
  <si>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</si>
  <si>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</si>
  <si>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</si>
  <si>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</si>
  <si>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</si>
  <si>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</si>
  <si>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</si>
  <si>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</si>
  <si>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</si>
  <si>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</si>
  <si>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</si>
  <si>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</si>
  <si>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</si>
  <si>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</si>
  <si>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</si>
  <si>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</si>
  <si>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</si>
  <si>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</si>
  <si>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</si>
  <si>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</si>
  <si>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</si>
  <si>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</si>
  <si>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</si>
  <si>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</si>
  <si>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</si>
  <si>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</si>
  <si>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</si>
  <si>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</si>
  <si>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</si>
  <si>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</si>
  <si>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</si>
  <si>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</si>
  <si>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</si>
  <si>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</si>
  <si>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</si>
  <si>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</si>
  <si>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</si>
  <si>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</si>
  <si>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</si>
  <si>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</si>
  <si>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</si>
  <si>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</si>
  <si>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</si>
  <si>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</si>
  <si>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</si>
  <si>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</si>
  <si>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</si>
  <si>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</si>
  <si>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</si>
  <si>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</si>
  <si>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</si>
  <si>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</si>
  <si>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</si>
  <si>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</si>
  <si>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</si>
  <si>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</si>
  <si>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</si>
  <si>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Brown County</t>
  </si>
  <si>
    <t>Brown County Clerk's office</t>
  </si>
  <si>
    <t>None</t>
  </si>
  <si>
    <t>Watershed # 1 Walnut Creek</t>
  </si>
  <si>
    <t>24-1219</t>
  </si>
  <si>
    <t>2770 Horned Owl Road</t>
  </si>
  <si>
    <t>Salaries &amp; Wages</t>
  </si>
  <si>
    <t>Employee Benefits &amp; Withholdings</t>
  </si>
  <si>
    <t>Mileage &amp; Supplies</t>
  </si>
  <si>
    <t>Insurance</t>
  </si>
  <si>
    <t>Dues &amp; Fees</t>
  </si>
  <si>
    <t>Reserve for Structure Maintenance</t>
  </si>
  <si>
    <t>Repairs, Maintenance &amp; Structures</t>
  </si>
  <si>
    <t>Insurance Refund</t>
  </si>
  <si>
    <t>Postage, Budget &amp; Publications</t>
  </si>
  <si>
    <t>August 1, 2011</t>
  </si>
  <si>
    <t>8:00 AM</t>
  </si>
  <si>
    <t>Attest:   August 25,</t>
  </si>
  <si>
    <t>Debbie Parker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</si>
</sst>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0" fillId="41" borderId="0" xfId="0" applyFont="1" applyFill="1" applyAlignment="1">
      <alignment horizontal="center" wrapText="1"/>
    </xf>
    <xf numFmtId="0" fontId="32" fillId="0" borderId="0" xfId="0" applyFont="1" applyAlignment="1">
      <alignment horizontal="center" wrapText="1"/>
    </xf>
    <xf numFmtId="0" fontId="80" fillId="41" borderId="0" xfId="0" applyFont="1" applyFill="1" applyAlignment="1">
      <alignment horizontal="center" vertical="center"/>
    </xf>
    <xf numFmtId="0" fontId="80" fillId="0" borderId="0" xfId="0" applyFont="1" applyAlignment="1">
      <alignment horizontal="center" vertical="center"/>
    </xf>
    <xf numFmtId="0" fontId="80"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0"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230</v>
      </c>
    </row>
    <row r="6" ht="15.75">
      <c r="A6" s="346"/>
    </row>
    <row r="7" ht="57.75" customHeight="1">
      <c r="A7" s="347" t="s">
        <v>269</v>
      </c>
    </row>
    <row r="8" ht="15.75">
      <c r="A8" s="346"/>
    </row>
    <row r="9" spans="1:2" ht="15.75">
      <c r="A9" s="348" t="s">
        <v>224</v>
      </c>
      <c r="B9" s="344"/>
    </row>
    <row r="10" spans="1:2" ht="15.75">
      <c r="A10" s="348"/>
      <c r="B10" s="344"/>
    </row>
    <row r="11" spans="1:2" ht="15.75">
      <c r="A11" s="346" t="s">
        <v>225</v>
      </c>
      <c r="B11" s="344"/>
    </row>
    <row r="12" ht="14.25" customHeight="1">
      <c r="A12" s="152"/>
    </row>
    <row r="13" s="337" customFormat="1" ht="42" customHeight="1">
      <c r="A13" s="349" t="s">
        <v>270</v>
      </c>
    </row>
    <row r="16" ht="15.75">
      <c r="A16" s="348" t="s">
        <v>5</v>
      </c>
    </row>
    <row r="17" ht="15.75">
      <c r="A17" s="152"/>
    </row>
    <row r="18" ht="15.75">
      <c r="A18" s="272" t="s">
        <v>219</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223</v>
      </c>
    </row>
    <row r="24" ht="21" customHeight="1">
      <c r="A24" s="349" t="s">
        <v>74</v>
      </c>
    </row>
    <row r="25" ht="15.75">
      <c r="A25" s="152"/>
    </row>
    <row r="26" ht="15.75">
      <c r="A26" s="354" t="s">
        <v>6</v>
      </c>
    </row>
    <row r="28" ht="21" customHeight="1">
      <c r="A28" s="337" t="s">
        <v>145</v>
      </c>
    </row>
    <row r="30" ht="71.25" customHeight="1">
      <c r="A30" s="337" t="s">
        <v>707</v>
      </c>
    </row>
    <row r="31" ht="49.5" customHeight="1">
      <c r="A31" s="355" t="s">
        <v>222</v>
      </c>
    </row>
    <row r="32" ht="73.5" customHeight="1">
      <c r="A32" s="386" t="s">
        <v>534</v>
      </c>
    </row>
    <row r="33" ht="69.75" customHeight="1">
      <c r="A33" s="387" t="s">
        <v>535</v>
      </c>
    </row>
    <row r="35" ht="71.25" customHeight="1">
      <c r="A35" s="337" t="s">
        <v>708</v>
      </c>
    </row>
    <row r="36" ht="57.75" customHeight="1">
      <c r="A36" s="337" t="s">
        <v>536</v>
      </c>
    </row>
    <row r="37" ht="105" customHeight="1">
      <c r="A37" s="337" t="s">
        <v>537</v>
      </c>
    </row>
    <row r="38" ht="15.75">
      <c r="A38" s="337"/>
    </row>
    <row r="39" ht="70.5" customHeight="1">
      <c r="A39" s="337" t="s">
        <v>538</v>
      </c>
    </row>
    <row r="40" ht="70.5" customHeight="1">
      <c r="A40" s="337" t="s">
        <v>539</v>
      </c>
    </row>
    <row r="41" ht="39" customHeight="1">
      <c r="A41" s="337" t="s">
        <v>540</v>
      </c>
    </row>
    <row r="42" ht="15.75">
      <c r="A42" s="337"/>
    </row>
    <row r="43" ht="71.25" customHeight="1">
      <c r="A43" s="337" t="s">
        <v>541</v>
      </c>
    </row>
    <row r="44" ht="42" customHeight="1">
      <c r="A44" s="337" t="s">
        <v>542</v>
      </c>
    </row>
    <row r="45" ht="44.25" customHeight="1">
      <c r="A45" s="337" t="s">
        <v>543</v>
      </c>
    </row>
    <row r="47" ht="51.75" customHeight="1">
      <c r="A47" s="337" t="s">
        <v>544</v>
      </c>
    </row>
    <row r="49" ht="35.25" customHeight="1">
      <c r="A49" s="337" t="s">
        <v>545</v>
      </c>
    </row>
    <row r="50" ht="23.25" customHeight="1">
      <c r="A50" s="98" t="s">
        <v>546</v>
      </c>
    </row>
    <row r="51" ht="72.75" customHeight="1">
      <c r="A51" s="337" t="s">
        <v>561</v>
      </c>
    </row>
    <row r="52" ht="29.25" customHeight="1">
      <c r="A52" s="337" t="s">
        <v>547</v>
      </c>
    </row>
    <row r="54" ht="72" customHeight="1">
      <c r="A54" s="337" t="s">
        <v>548</v>
      </c>
    </row>
    <row r="56" ht="67.5" customHeight="1">
      <c r="A56" s="337" t="s">
        <v>549</v>
      </c>
    </row>
    <row r="57" ht="15.75">
      <c r="A57" s="337"/>
    </row>
    <row r="58" ht="53.25" customHeight="1">
      <c r="A58" s="337" t="s">
        <v>550</v>
      </c>
    </row>
    <row r="59" ht="70.5" customHeight="1">
      <c r="A59" s="579" t="s">
        <v>709</v>
      </c>
    </row>
    <row r="60" ht="53.25" customHeight="1">
      <c r="A60" s="579" t="s">
        <v>710</v>
      </c>
    </row>
    <row r="61" ht="53.25" customHeight="1">
      <c r="A61" s="580" t="s">
        <v>711</v>
      </c>
    </row>
    <row r="62" ht="68.25" customHeight="1">
      <c r="A62" s="579" t="s">
        <v>712</v>
      </c>
    </row>
    <row r="63" ht="69" customHeight="1">
      <c r="A63" s="337" t="s">
        <v>713</v>
      </c>
    </row>
    <row r="64" ht="90" customHeight="1">
      <c r="A64" s="337" t="s">
        <v>714</v>
      </c>
    </row>
    <row r="65" ht="113.25" customHeight="1">
      <c r="A65" s="357" t="s">
        <v>715</v>
      </c>
    </row>
    <row r="66" ht="105.75" customHeight="1">
      <c r="A66" s="358" t="s">
        <v>716</v>
      </c>
    </row>
    <row r="67" ht="77.25" customHeight="1">
      <c r="A67" s="359" t="s">
        <v>717</v>
      </c>
    </row>
    <row r="68" ht="91.5" customHeight="1">
      <c r="A68" s="337" t="s">
        <v>718</v>
      </c>
    </row>
    <row r="69" ht="113.25" customHeight="1">
      <c r="A69" s="360" t="s">
        <v>719</v>
      </c>
    </row>
    <row r="70" ht="11.25" customHeight="1">
      <c r="A70" s="337"/>
    </row>
    <row r="71" ht="120.75" customHeight="1">
      <c r="A71" s="337" t="s">
        <v>551</v>
      </c>
    </row>
    <row r="72" ht="108" customHeight="1">
      <c r="A72" s="356" t="s">
        <v>552</v>
      </c>
    </row>
    <row r="73" ht="66" customHeight="1">
      <c r="A73" s="356" t="s">
        <v>553</v>
      </c>
    </row>
    <row r="74" ht="21" customHeight="1">
      <c r="A74" s="337" t="s">
        <v>554</v>
      </c>
    </row>
    <row r="75" ht="11.25" customHeight="1">
      <c r="A75" s="337"/>
    </row>
    <row r="76" s="337" customFormat="1" ht="50.25" customHeight="1">
      <c r="A76" s="337" t="s">
        <v>555</v>
      </c>
    </row>
    <row r="77" s="337" customFormat="1" ht="23.25" customHeight="1">
      <c r="A77" s="337" t="s">
        <v>558</v>
      </c>
    </row>
    <row r="78" s="337" customFormat="1" ht="70.5" customHeight="1">
      <c r="A78" s="579" t="s">
        <v>720</v>
      </c>
    </row>
    <row r="79" s="337" customFormat="1" ht="88.5" customHeight="1">
      <c r="A79" s="579" t="s">
        <v>721</v>
      </c>
    </row>
    <row r="80" s="337" customFormat="1" ht="43.5" customHeight="1">
      <c r="A80" s="337" t="s">
        <v>722</v>
      </c>
    </row>
    <row r="81" s="337" customFormat="1" ht="54" customHeight="1">
      <c r="A81" s="337" t="s">
        <v>723</v>
      </c>
    </row>
    <row r="83" s="337" customFormat="1" ht="33.75" customHeight="1">
      <c r="A83" s="337" t="s">
        <v>556</v>
      </c>
    </row>
    <row r="85" ht="21.75" customHeight="1">
      <c r="A85" s="337" t="s">
        <v>557</v>
      </c>
    </row>
    <row r="87" ht="49.5" customHeight="1">
      <c r="A87" s="579" t="s">
        <v>724</v>
      </c>
    </row>
    <row r="88" ht="81.75" customHeight="1">
      <c r="A88" s="579" t="s">
        <v>725</v>
      </c>
    </row>
    <row r="89" ht="97.5" customHeight="1">
      <c r="A89" s="579" t="s">
        <v>726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Watershed # 1 Walnut Creek</v>
      </c>
      <c r="B1" s="18"/>
      <c r="C1" s="18"/>
      <c r="D1" s="18"/>
      <c r="E1" s="18"/>
      <c r="F1" s="18"/>
      <c r="G1" s="18"/>
      <c r="H1" s="18"/>
      <c r="I1" s="18"/>
      <c r="J1" s="18"/>
      <c r="K1" s="191">
        <f>inputPrYr!D6</f>
        <v>2012</v>
      </c>
    </row>
    <row r="2" spans="1:11" ht="15.75">
      <c r="A2" s="18" t="str">
        <f>inputPrYr!$D$4</f>
        <v>Brown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t="s">
        <v>739</v>
      </c>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233</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9"/>
  <sheetViews>
    <sheetView zoomScalePageLayoutView="0" workbookViewId="0" topLeftCell="A6">
      <selection activeCell="E37" sqref="E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 1 Walnut Creek</v>
      </c>
      <c r="C1" s="240"/>
      <c r="D1" s="18"/>
      <c r="E1" s="191"/>
    </row>
    <row r="2" spans="2:5" ht="15.75">
      <c r="B2" s="18" t="str">
        <f>inputPrYr!D4</f>
        <v>Brown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251</v>
      </c>
      <c r="D5" s="398" t="s">
        <v>250</v>
      </c>
      <c r="E5" s="242" t="s">
        <v>247</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11818</v>
      </c>
      <c r="D7" s="400">
        <f>C39</f>
        <v>31988</v>
      </c>
      <c r="E7" s="47">
        <f>D39</f>
        <v>28899</v>
      </c>
    </row>
    <row r="8" spans="2:5" ht="15.75">
      <c r="B8" s="245" t="s">
        <v>125</v>
      </c>
      <c r="C8" s="246"/>
      <c r="D8" s="246"/>
      <c r="E8" s="127"/>
    </row>
    <row r="9" spans="2:5" ht="15.75">
      <c r="B9" s="121" t="s">
        <v>33</v>
      </c>
      <c r="C9" s="393">
        <v>35408</v>
      </c>
      <c r="D9" s="400">
        <f>inputPrYr!E19</f>
        <v>35319</v>
      </c>
      <c r="E9" s="134" t="s">
        <v>28</v>
      </c>
    </row>
    <row r="10" spans="2:5" ht="15.75">
      <c r="B10" s="121" t="s">
        <v>34</v>
      </c>
      <c r="C10" s="393"/>
      <c r="D10" s="393"/>
      <c r="E10" s="208"/>
    </row>
    <row r="11" spans="2:5" ht="15.75">
      <c r="B11" s="121" t="s">
        <v>35</v>
      </c>
      <c r="C11" s="393"/>
      <c r="D11" s="393">
        <v>2241</v>
      </c>
      <c r="E11" s="47">
        <f>mvalloc!D11</f>
        <v>2047</v>
      </c>
    </row>
    <row r="12" spans="2:5" ht="15.75">
      <c r="B12" s="121" t="s">
        <v>36</v>
      </c>
      <c r="C12" s="393"/>
      <c r="D12" s="393">
        <v>41</v>
      </c>
      <c r="E12" s="47">
        <f>mvalloc!E11</f>
        <v>44</v>
      </c>
    </row>
    <row r="13" spans="2:5" ht="15.75">
      <c r="B13" s="246" t="s">
        <v>107</v>
      </c>
      <c r="C13" s="393"/>
      <c r="D13" s="393">
        <v>114</v>
      </c>
      <c r="E13" s="47">
        <f>mvalloc!F11</f>
        <v>341</v>
      </c>
    </row>
    <row r="14" spans="2:5" ht="15.75">
      <c r="B14" s="246" t="s">
        <v>157</v>
      </c>
      <c r="C14" s="393"/>
      <c r="D14" s="393"/>
      <c r="E14" s="47">
        <f>inputOth!E30</f>
        <v>0</v>
      </c>
    </row>
    <row r="15" spans="2:5" ht="15.75">
      <c r="B15" s="246" t="s">
        <v>158</v>
      </c>
      <c r="C15" s="393"/>
      <c r="D15" s="393"/>
      <c r="E15" s="47">
        <f>mvalloc!G11</f>
        <v>0</v>
      </c>
    </row>
    <row r="16" spans="2:5" ht="15.75">
      <c r="B16" s="247" t="s">
        <v>750</v>
      </c>
      <c r="C16" s="393">
        <v>9</v>
      </c>
      <c r="D16" s="393"/>
      <c r="E16" s="208"/>
    </row>
    <row r="17" spans="2:5" ht="15.75">
      <c r="B17" s="248"/>
      <c r="C17" s="393"/>
      <c r="D17" s="393"/>
      <c r="E17" s="208"/>
    </row>
    <row r="18" spans="2:5" ht="15.75">
      <c r="B18" s="248" t="s">
        <v>37</v>
      </c>
      <c r="C18" s="393"/>
      <c r="D18" s="393">
        <v>300</v>
      </c>
      <c r="E18" s="208"/>
    </row>
    <row r="19" spans="2:5" ht="15.75">
      <c r="B19" s="249" t="s">
        <v>220</v>
      </c>
      <c r="C19" s="247"/>
      <c r="D19" s="247"/>
      <c r="E19" s="208"/>
    </row>
    <row r="20" spans="2:5" ht="15.75">
      <c r="B20" s="249" t="s">
        <v>574</v>
      </c>
      <c r="C20" s="394">
        <f>IF(C21*0.1&lt;C19,"Exceed 10% Rule","")</f>
      </c>
      <c r="D20" s="394">
        <f>IF(D21*0.1&lt;D19,"Exceed 10% Rule","")</f>
      </c>
      <c r="E20" s="420">
        <f>IF(E21*0.1+E45&lt;E19,"Exceed 10% Rule","")</f>
      </c>
    </row>
    <row r="21" spans="2:5" ht="15.75">
      <c r="B21" s="252" t="s">
        <v>38</v>
      </c>
      <c r="C21" s="395">
        <f>SUM(C9:C19)</f>
        <v>35417</v>
      </c>
      <c r="D21" s="395">
        <f>SUM(D9:D19)</f>
        <v>38015</v>
      </c>
      <c r="E21" s="253">
        <f>SUM(E9:E19)</f>
        <v>2432</v>
      </c>
    </row>
    <row r="22" spans="2:5" ht="15.75">
      <c r="B22" s="252" t="s">
        <v>39</v>
      </c>
      <c r="C22" s="395">
        <f>C7+C21</f>
        <v>47235</v>
      </c>
      <c r="D22" s="395">
        <f>D7+D21</f>
        <v>70003</v>
      </c>
      <c r="E22" s="253">
        <f>E7+E21</f>
        <v>31331</v>
      </c>
    </row>
    <row r="23" spans="2:5" ht="15.75">
      <c r="B23" s="121" t="s">
        <v>40</v>
      </c>
      <c r="C23" s="125"/>
      <c r="D23" s="125"/>
      <c r="E23" s="38"/>
    </row>
    <row r="24" spans="2:5" ht="15.75">
      <c r="B24" s="247" t="s">
        <v>743</v>
      </c>
      <c r="C24" s="393">
        <v>4865</v>
      </c>
      <c r="D24" s="393">
        <v>7500</v>
      </c>
      <c r="E24" s="208">
        <v>7500</v>
      </c>
    </row>
    <row r="25" spans="2:5" ht="15.75">
      <c r="B25" s="247" t="s">
        <v>744</v>
      </c>
      <c r="C25" s="393">
        <v>1119</v>
      </c>
      <c r="D25" s="393">
        <v>1000</v>
      </c>
      <c r="E25" s="208">
        <v>1200</v>
      </c>
    </row>
    <row r="26" spans="2:5" ht="15.75">
      <c r="B26" s="247" t="s">
        <v>745</v>
      </c>
      <c r="C26" s="393">
        <v>968</v>
      </c>
      <c r="D26" s="393">
        <v>5000</v>
      </c>
      <c r="E26" s="208">
        <v>5000</v>
      </c>
    </row>
    <row r="27" spans="2:5" ht="15.75">
      <c r="B27" s="247" t="s">
        <v>746</v>
      </c>
      <c r="C27" s="393">
        <v>1960</v>
      </c>
      <c r="D27" s="393">
        <v>2500</v>
      </c>
      <c r="E27" s="208">
        <v>2500</v>
      </c>
    </row>
    <row r="28" spans="2:5" ht="15.75">
      <c r="B28" s="247" t="s">
        <v>749</v>
      </c>
      <c r="C28" s="393">
        <f>824+2874</f>
        <v>3698</v>
      </c>
      <c r="D28" s="393">
        <v>24079</v>
      </c>
      <c r="E28" s="208">
        <v>25000</v>
      </c>
    </row>
    <row r="29" spans="2:5" ht="15.75">
      <c r="B29" s="247" t="s">
        <v>747</v>
      </c>
      <c r="C29" s="393">
        <v>1560</v>
      </c>
      <c r="D29" s="393">
        <v>900</v>
      </c>
      <c r="E29" s="208">
        <v>1700</v>
      </c>
    </row>
    <row r="30" spans="2:5" ht="15.75">
      <c r="B30" s="247" t="s">
        <v>748</v>
      </c>
      <c r="C30" s="393"/>
      <c r="D30" s="393"/>
      <c r="E30" s="208">
        <f>35594-12769</f>
        <v>22825</v>
      </c>
    </row>
    <row r="31" spans="2:5" ht="15.75">
      <c r="B31" s="247" t="s">
        <v>751</v>
      </c>
      <c r="C31" s="393">
        <v>1077</v>
      </c>
      <c r="D31" s="393">
        <v>125</v>
      </c>
      <c r="E31" s="208">
        <v>1200</v>
      </c>
    </row>
    <row r="32" spans="2:5" ht="15.75">
      <c r="B32" s="247"/>
      <c r="C32" s="393"/>
      <c r="D32" s="393"/>
      <c r="E32" s="208"/>
    </row>
    <row r="33" spans="2:5" ht="15.75">
      <c r="B33" s="247"/>
      <c r="C33" s="393"/>
      <c r="D33" s="393"/>
      <c r="E33" s="208"/>
    </row>
    <row r="34" spans="2:10" ht="15.75">
      <c r="B34" s="247"/>
      <c r="C34" s="393"/>
      <c r="D34" s="393"/>
      <c r="E34" s="208"/>
      <c r="G34" s="549">
        <f>E21</f>
        <v>2432</v>
      </c>
      <c r="H34" s="539" t="str">
        <f>CONCATENATE("",F3," Non-AV Receipts (est.)")</f>
        <v>2012 Non-AV Receipts (est.)</v>
      </c>
      <c r="I34" s="539"/>
      <c r="J34" s="540"/>
    </row>
    <row r="35" spans="2:10" ht="15.75">
      <c r="B35" s="125" t="s">
        <v>221</v>
      </c>
      <c r="C35" s="393"/>
      <c r="D35" s="393"/>
      <c r="E35" s="213">
        <f>Nhood!E7</f>
      </c>
      <c r="G35" s="538">
        <f>E45</f>
        <v>35594</v>
      </c>
      <c r="H35" s="539" t="str">
        <f>CONCATENATE("",F3," Ad Valorem Tax (est.)")</f>
        <v>2012 Ad Valorem Tax (est.)</v>
      </c>
      <c r="I35" s="539"/>
      <c r="J35" s="540"/>
    </row>
    <row r="36" spans="2:10" ht="15.75">
      <c r="B36" s="125" t="s">
        <v>220</v>
      </c>
      <c r="C36" s="393"/>
      <c r="D36" s="393"/>
      <c r="E36" s="37"/>
      <c r="G36" s="549">
        <f>SUM(G34:G35)</f>
        <v>38026</v>
      </c>
      <c r="H36" s="539" t="str">
        <f>CONCATENATE("Total ",E4," Resources Available")</f>
        <v>Total  Resources Available</v>
      </c>
      <c r="I36" s="539"/>
      <c r="J36" s="540"/>
    </row>
    <row r="37" spans="2:10" ht="15.75">
      <c r="B37" s="125" t="s">
        <v>573</v>
      </c>
      <c r="C37" s="394">
        <f>IF(C38*0.1&lt;C36,"Exceed 10% Rule","")</f>
      </c>
      <c r="D37" s="394">
        <f>IF(D38*0.1&lt;D36,"Exceed 10% Rule","")</f>
      </c>
      <c r="E37" s="420">
        <f>IF(E38*0.1&lt;E36,"Exceed 10% Rule","")</f>
      </c>
      <c r="G37" s="537"/>
      <c r="H37" s="539"/>
      <c r="I37" s="539"/>
      <c r="J37" s="540"/>
    </row>
    <row r="38" spans="2:10" ht="15.75">
      <c r="B38" s="252" t="s">
        <v>41</v>
      </c>
      <c r="C38" s="395">
        <f>SUM(C24:C36)</f>
        <v>15247</v>
      </c>
      <c r="D38" s="395">
        <f>SUM(D24:D36)</f>
        <v>41104</v>
      </c>
      <c r="E38" s="253">
        <f>SUM(E24:E36)</f>
        <v>66925</v>
      </c>
      <c r="G38" s="538">
        <f>C38*0.05+C38</f>
        <v>16009.35</v>
      </c>
      <c r="H38" s="539" t="str">
        <f>CONCATENATE("Less ",F3-2," Expenditures + 5%")</f>
        <v>Less 2010 Expenditures + 5%</v>
      </c>
      <c r="I38" s="539"/>
      <c r="J38" s="540"/>
    </row>
    <row r="39" spans="2:10" ht="15.75">
      <c r="B39" s="121" t="s">
        <v>124</v>
      </c>
      <c r="C39" s="396">
        <f>C22-C38</f>
        <v>31988</v>
      </c>
      <c r="D39" s="396">
        <f>D22-D38</f>
        <v>28899</v>
      </c>
      <c r="E39" s="134" t="s">
        <v>28</v>
      </c>
      <c r="G39" s="536">
        <f>G36-G38</f>
        <v>22016.65</v>
      </c>
      <c r="H39" s="535" t="str">
        <f>CONCATENATE("Projected ",F3+1," Carryover (est.)")</f>
        <v>Projected 2013 Carryover (est.)</v>
      </c>
      <c r="I39" s="521"/>
      <c r="J39" s="534"/>
    </row>
    <row r="40" spans="2:10" ht="15.75">
      <c r="B40" s="144" t="str">
        <f>CONCATENATE("",F3-2,"/",F3-1," Budget Authority Amount:")</f>
        <v>2010/2011 Budget Authority Amount:</v>
      </c>
      <c r="C40" s="122">
        <f>inputOth!B42</f>
        <v>44700</v>
      </c>
      <c r="D40" s="421">
        <f>inputPrYr!D19</f>
        <v>41104</v>
      </c>
      <c r="E40" s="134" t="s">
        <v>28</v>
      </c>
      <c r="F40" s="254"/>
      <c r="G40" s="16"/>
      <c r="H40" s="16"/>
      <c r="I40" s="16"/>
      <c r="J40" s="16"/>
    </row>
    <row r="41" spans="2:10" ht="15.75">
      <c r="B41" s="144"/>
      <c r="C41" s="624" t="s">
        <v>676</v>
      </c>
      <c r="D41" s="625"/>
      <c r="E41" s="37"/>
      <c r="F41" s="254">
        <f>IF(E38/0.95-E38&lt;E41,"Exceeds 5%","")</f>
      </c>
      <c r="G41" s="533">
        <f>IF(inputOth!E7=0,"",ROUND(gen!E45/inputOth!E7*1000,3))</f>
        <v>1.804</v>
      </c>
      <c r="H41" s="532" t="str">
        <f>CONCATENATE("Projected ",F3-1," Mill Rate (est.)")</f>
        <v>Projected 2011 Mill Rate (est.)</v>
      </c>
      <c r="I41" s="531"/>
      <c r="J41" s="530"/>
    </row>
    <row r="42" spans="2:10" ht="15.75">
      <c r="B42" s="419" t="str">
        <f>CONCATENATE(C58,"     ",D58)</f>
        <v>     </v>
      </c>
      <c r="C42" s="626" t="s">
        <v>677</v>
      </c>
      <c r="D42" s="627"/>
      <c r="E42" s="47">
        <f>E38+E41</f>
        <v>66925</v>
      </c>
      <c r="G42" s="529"/>
      <c r="H42" s="529"/>
      <c r="I42" s="529"/>
      <c r="J42" s="529"/>
    </row>
    <row r="43" spans="2:10" ht="15.75">
      <c r="B43" s="419" t="str">
        <f>CONCATENATE(C59,"     ",D59)</f>
        <v>     </v>
      </c>
      <c r="C43" s="554"/>
      <c r="D43" s="553" t="s">
        <v>678</v>
      </c>
      <c r="E43" s="44">
        <f>IF(E42-E22&gt;0,E42-E22,0)</f>
        <v>35594</v>
      </c>
      <c r="G43" s="628" t="str">
        <f>CONCATENATE("Desired Carryover Into ",F3+1,"")</f>
        <v>Desired Carryover Into 2013</v>
      </c>
      <c r="H43" s="629"/>
      <c r="I43" s="629"/>
      <c r="J43" s="630"/>
    </row>
    <row r="44" spans="2:10" ht="15.75">
      <c r="B44" s="164"/>
      <c r="C44" s="551" t="s">
        <v>679</v>
      </c>
      <c r="D44" s="552">
        <f>inputOth!$E$36</f>
        <v>0</v>
      </c>
      <c r="E44" s="47">
        <f>ROUND(IF(D44&gt;0,(E43*D44),0),0)</f>
        <v>0</v>
      </c>
      <c r="G44" s="528"/>
      <c r="H44" s="541"/>
      <c r="I44" s="539"/>
      <c r="J44" s="527"/>
    </row>
    <row r="45" spans="2:10" ht="15.75">
      <c r="B45" s="18"/>
      <c r="C45" s="622" t="str">
        <f>CONCATENATE("Amount of  ",$F$3-1," Ad Valorem Tax")</f>
        <v>Amount of  2011 Ad Valorem Tax</v>
      </c>
      <c r="D45" s="623"/>
      <c r="E45" s="44">
        <f>E43+E44</f>
        <v>35594</v>
      </c>
      <c r="G45" s="526" t="s">
        <v>681</v>
      </c>
      <c r="H45" s="539"/>
      <c r="I45" s="539"/>
      <c r="J45" s="525"/>
    </row>
    <row r="46" spans="2:10" ht="15.75">
      <c r="B46" s="18"/>
      <c r="C46" s="18"/>
      <c r="D46" s="18"/>
      <c r="E46" s="18"/>
      <c r="G46" s="528" t="s">
        <v>682</v>
      </c>
      <c r="H46" s="541"/>
      <c r="I46" s="541"/>
      <c r="J46" s="524">
        <f>IF(gen!J45=0,"",ROUND((J45+E45-G39)/inputOth!E7*1000,3)-G41)</f>
      </c>
    </row>
    <row r="47" spans="2:10" ht="15.75">
      <c r="B47" s="18"/>
      <c r="C47" s="18"/>
      <c r="D47" s="18"/>
      <c r="E47" s="18"/>
      <c r="G47" s="523" t="str">
        <f>CONCATENATE("",F3," Total Expenditures Must Be:")</f>
        <v>2012 Total Expenditures Must Be:</v>
      </c>
      <c r="H47" s="522"/>
      <c r="I47" s="521"/>
      <c r="J47" s="520">
        <f>IF((J45&gt;0),(E38+J45-G39),0)</f>
        <v>0</v>
      </c>
    </row>
    <row r="48" spans="2:5" ht="15.75">
      <c r="B48" s="18"/>
      <c r="C48" s="18"/>
      <c r="D48" s="18"/>
      <c r="E48" s="18"/>
    </row>
    <row r="49" spans="2:5" ht="15.75">
      <c r="B49" s="18"/>
      <c r="C49" s="18"/>
      <c r="D49" s="18"/>
      <c r="E49" s="18"/>
    </row>
    <row r="50" spans="2:5" ht="15.75">
      <c r="B50" s="18"/>
      <c r="C50" s="240"/>
      <c r="D50" s="240"/>
      <c r="E50" s="240"/>
    </row>
    <row r="51" spans="2:5" ht="15.75">
      <c r="B51" s="144"/>
      <c r="C51" s="18" t="s">
        <v>229</v>
      </c>
      <c r="D51" s="18"/>
      <c r="E51" s="18"/>
    </row>
    <row r="53" ht="15.75">
      <c r="B53" s="63"/>
    </row>
    <row r="58" spans="3:4" ht="15.75" hidden="1">
      <c r="C58" s="98">
        <f>IF(C38&gt;C40,"See Tab A","")</f>
      </c>
      <c r="D58" s="98">
        <f>IF(D38&gt;D40,"See Tab C","")</f>
      </c>
    </row>
    <row r="59" spans="3:4" ht="15.75" hidden="1">
      <c r="C59" s="98">
        <f>IF(C39&lt;0,"See Tab B","")</f>
      </c>
      <c r="D59" s="98">
        <f>IF(D39&lt;0,"See Tab D","")</f>
      </c>
    </row>
  </sheetData>
  <sheetProtection/>
  <mergeCells count="4">
    <mergeCell ref="C45:D45"/>
    <mergeCell ref="C41:D41"/>
    <mergeCell ref="C42:D42"/>
    <mergeCell ref="G43:J43"/>
  </mergeCells>
  <conditionalFormatting sqref="E41">
    <cfRule type="cellIs" priority="2" dxfId="62" operator="greaterThan" stopIfTrue="1">
      <formula>$E$38/0.95-$E$38</formula>
    </cfRule>
  </conditionalFormatting>
  <conditionalFormatting sqref="C36">
    <cfRule type="cellIs" priority="3" dxfId="62" operator="greaterThan" stopIfTrue="1">
      <formula>$C$38*0.1</formula>
    </cfRule>
  </conditionalFormatting>
  <conditionalFormatting sqref="D36">
    <cfRule type="cellIs" priority="4" dxfId="62" operator="greaterThan" stopIfTrue="1">
      <formula>$D$38*0.1</formula>
    </cfRule>
  </conditionalFormatting>
  <conditionalFormatting sqref="E36">
    <cfRule type="cellIs" priority="5" dxfId="62" operator="greaterThan" stopIfTrue="1">
      <formula>$E$38*0.1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9">
    <cfRule type="cellIs" priority="8" dxfId="62" operator="lessThan" stopIfTrue="1">
      <formula>0</formula>
    </cfRule>
  </conditionalFormatting>
  <conditionalFormatting sqref="D39">
    <cfRule type="cellIs" priority="1" dxfId="0" operator="lessThan" stopIfTrue="1">
      <formula>0</formula>
    </cfRule>
  </conditionalFormatting>
  <conditionalFormatting sqref="D38">
    <cfRule type="cellIs" priority="20" dxfId="5" operator="greaterThan" stopIfTrue="1">
      <formula>$D$40</formula>
    </cfRule>
  </conditionalFormatting>
  <conditionalFormatting sqref="C38">
    <cfRule type="cellIs" priority="28" dxfId="62" operator="greaterThan" stopIfTrue="1">
      <formula>$C$40</formula>
    </cfRule>
  </conditionalFormatting>
  <conditionalFormatting sqref="E19">
    <cfRule type="cellIs" priority="31" dxfId="62" operator="greaterThan" stopIfTrue="1">
      <formula>$E$21*0.1+$E$45</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Watershed # 1 Walnut Creek</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250</v>
      </c>
      <c r="E5" s="242" t="s">
        <v>247</v>
      </c>
    </row>
    <row r="6" spans="2:5" ht="15.75">
      <c r="B6" s="423" t="s">
        <v>274</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220</v>
      </c>
      <c r="C28" s="402"/>
      <c r="D28" s="402"/>
      <c r="E28" s="263"/>
    </row>
    <row r="29" spans="2:5" ht="15.75">
      <c r="B29" s="249" t="s">
        <v>574</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221</v>
      </c>
      <c r="C51" s="402"/>
      <c r="D51" s="402"/>
      <c r="E51" s="185">
        <f>Nhood!E8</f>
      </c>
    </row>
    <row r="52" spans="2:9" ht="15.75">
      <c r="B52" s="125" t="s">
        <v>220</v>
      </c>
      <c r="C52" s="402"/>
      <c r="D52" s="402"/>
      <c r="E52" s="263"/>
      <c r="G52" s="631" t="str">
        <f>CONCATENATE("Projected Carryover Into ",E1+1,"")</f>
        <v>Projected Carryover Into 2013</v>
      </c>
      <c r="H52" s="632"/>
      <c r="I52" s="633"/>
    </row>
    <row r="53" spans="2:9" ht="15.75">
      <c r="B53" s="125" t="s">
        <v>573</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4" t="s">
        <v>676</v>
      </c>
      <c r="D57" s="625"/>
      <c r="E57" s="37"/>
      <c r="F57" s="272">
        <f>IF(E54/0.95-E54&lt;E57,"Exceeds 5%","")</f>
      </c>
      <c r="G57" s="549">
        <f>SUM(G54:G56)</f>
        <v>0</v>
      </c>
      <c r="H57" s="560" t="str">
        <f>CONCATENATE("Total ",E1," Resources Available")</f>
        <v>Total 2012 Resources Available</v>
      </c>
      <c r="I57" s="540"/>
    </row>
    <row r="58" spans="2:9" ht="15.75">
      <c r="B58" s="419" t="str">
        <f>CONCATENATE(C69,"     ",D69)</f>
        <v>     </v>
      </c>
      <c r="C58" s="626" t="s">
        <v>677</v>
      </c>
      <c r="D58" s="627"/>
      <c r="E58" s="47">
        <f>E54+E57</f>
        <v>0</v>
      </c>
      <c r="G58" s="537"/>
      <c r="H58" s="560"/>
      <c r="I58" s="540"/>
    </row>
    <row r="59" spans="2:9" ht="15.75">
      <c r="B59" s="419" t="str">
        <f>CONCATENATE(C70,"     ",D70)</f>
        <v>     </v>
      </c>
      <c r="C59" s="556"/>
      <c r="D59" s="553" t="s">
        <v>678</v>
      </c>
      <c r="E59" s="44">
        <f>IF(E58-E31&gt;0,E58-E31,0)</f>
        <v>0</v>
      </c>
      <c r="G59" s="538">
        <f>C54</f>
        <v>0</v>
      </c>
      <c r="H59" s="560" t="str">
        <f>CONCATENATE("Less ",E1-2," Expenditures")</f>
        <v>Less 2010 Expenditures</v>
      </c>
      <c r="I59" s="540"/>
    </row>
    <row r="60" spans="2:9" ht="15.75">
      <c r="B60" s="164"/>
      <c r="C60" s="551" t="s">
        <v>679</v>
      </c>
      <c r="D60" s="552">
        <f>inputOth!$E$36</f>
        <v>0</v>
      </c>
      <c r="E60" s="47">
        <f>ROUND(IF(D60&gt;0,(E59*D60),0),0)</f>
        <v>0</v>
      </c>
      <c r="G60" s="574">
        <f>G57-G59</f>
        <v>0</v>
      </c>
      <c r="H60" s="561" t="str">
        <f>CONCATENATE("Projected ",E1+1," carryover (est.)")</f>
        <v>Projected 2013 carryover (est.)</v>
      </c>
      <c r="I60" s="534"/>
    </row>
    <row r="61" spans="2:5" ht="15.75">
      <c r="B61" s="18"/>
      <c r="C61" s="622" t="str">
        <f>CONCATENATE("Amount of  ",$E$1-1," Ad Valorem Tax")</f>
        <v>Amount of  2011 Ad Valorem Tax</v>
      </c>
      <c r="D61" s="623"/>
      <c r="E61" s="44">
        <f>E59+E60</f>
        <v>0</v>
      </c>
    </row>
    <row r="62" spans="2:9" ht="15.75">
      <c r="B62" s="164"/>
      <c r="C62" s="18"/>
      <c r="D62" s="18"/>
      <c r="E62" s="18"/>
      <c r="G62" s="575">
        <f>IF(inputOth!E7&gt;0,ROUND(DebtService!E61/inputOth!E7*1000,3),0)</f>
        <v>0</v>
      </c>
      <c r="H62" s="576" t="str">
        <f>CONCATENATE("",E1," Mill Rate")</f>
        <v>2012 Mill Rate</v>
      </c>
      <c r="I62" s="577"/>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 1 Walnut Creek</v>
      </c>
      <c r="C1" s="18"/>
      <c r="D1" s="18"/>
      <c r="E1" s="191"/>
    </row>
    <row r="2" spans="2:5" ht="15.75">
      <c r="B2" s="18" t="str">
        <f>inputPrYr!D4</f>
        <v>Brown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249</v>
      </c>
      <c r="D5" s="398" t="s">
        <v>248</v>
      </c>
      <c r="E5" s="242" t="s">
        <v>247</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220</v>
      </c>
      <c r="C19" s="393"/>
      <c r="D19" s="393"/>
      <c r="E19" s="37"/>
    </row>
    <row r="20" spans="2:5" ht="15.75">
      <c r="B20" s="249" t="s">
        <v>574</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221</v>
      </c>
      <c r="C30" s="393"/>
      <c r="D30" s="393"/>
      <c r="E30" s="213">
        <f>Nhood!E9</f>
      </c>
    </row>
    <row r="31" spans="2:5" ht="15.75">
      <c r="B31" s="125" t="s">
        <v>220</v>
      </c>
      <c r="C31" s="247"/>
      <c r="D31" s="247"/>
      <c r="E31" s="208"/>
    </row>
    <row r="32" spans="2:5" ht="15.75">
      <c r="B32" s="125" t="s">
        <v>573</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4" t="s">
        <v>676</v>
      </c>
      <c r="D36" s="625"/>
      <c r="E36" s="37"/>
      <c r="F36" s="254">
        <f>IF(E33/0.95-E33&lt;E36,"Exceeds 5%","")</f>
      </c>
    </row>
    <row r="37" spans="2:5" ht="15.75">
      <c r="B37" s="419" t="str">
        <f>CONCATENATE(C87,"     ",D87)</f>
        <v>     </v>
      </c>
      <c r="C37" s="626" t="s">
        <v>677</v>
      </c>
      <c r="D37" s="627"/>
      <c r="E37" s="47">
        <f>E33+E36</f>
        <v>0</v>
      </c>
    </row>
    <row r="38" spans="2:5" ht="15.75">
      <c r="B38" s="419" t="str">
        <f>CONCATENATE(C88,"     ",D88)</f>
        <v>     </v>
      </c>
      <c r="C38" s="558"/>
      <c r="D38" s="553" t="s">
        <v>678</v>
      </c>
      <c r="E38" s="44">
        <f>IF(E37-E22&gt;0,E37-E22,0)</f>
        <v>0</v>
      </c>
    </row>
    <row r="39" spans="2:5" ht="15.75">
      <c r="B39" s="164"/>
      <c r="C39" s="551" t="s">
        <v>679</v>
      </c>
      <c r="D39" s="552">
        <f>inputOth!$E$36</f>
        <v>0</v>
      </c>
      <c r="E39" s="47">
        <f>ROUND(IF(D39&gt;0,(E38*D39),0),0)</f>
        <v>0</v>
      </c>
    </row>
    <row r="40" spans="2:5" ht="15.75">
      <c r="B40" s="18"/>
      <c r="C40" s="622" t="str">
        <f>CONCATENATE("Amount of  ",$F$3-1," Ad Valorem Tax")</f>
        <v>Amount of  2011 Ad Valorem Tax</v>
      </c>
      <c r="D40" s="623"/>
      <c r="E40" s="44">
        <f>E38+E39</f>
        <v>0</v>
      </c>
    </row>
    <row r="41" spans="2:5" ht="15.75">
      <c r="B41" s="18"/>
      <c r="C41" s="18"/>
      <c r="D41" s="18"/>
      <c r="E41" s="18"/>
    </row>
    <row r="42" spans="2:5" ht="15.75">
      <c r="B42" s="17" t="s">
        <v>32</v>
      </c>
      <c r="C42" s="108"/>
      <c r="D42" s="108"/>
      <c r="E42" s="108"/>
    </row>
    <row r="43" spans="2:5" ht="15.75" customHeight="1">
      <c r="B43" s="18"/>
      <c r="C43" s="397" t="s">
        <v>249</v>
      </c>
      <c r="D43" s="398" t="s">
        <v>250</v>
      </c>
      <c r="E43" s="242" t="s">
        <v>247</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220</v>
      </c>
      <c r="C57" s="247"/>
      <c r="D57" s="247"/>
      <c r="E57" s="208"/>
    </row>
    <row r="58" spans="2:5" ht="15.75">
      <c r="B58" s="249" t="s">
        <v>574</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221</v>
      </c>
      <c r="C68" s="393"/>
      <c r="D68" s="393"/>
      <c r="E68" s="213">
        <f>Nhood!E10</f>
      </c>
    </row>
    <row r="69" spans="2:5" ht="15.75">
      <c r="B69" s="125" t="s">
        <v>220</v>
      </c>
      <c r="C69" s="247"/>
      <c r="D69" s="247"/>
      <c r="E69" s="208"/>
    </row>
    <row r="70" spans="2:5" ht="15.75">
      <c r="B70" s="125" t="s">
        <v>573</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4" t="s">
        <v>676</v>
      </c>
      <c r="D74" s="625"/>
      <c r="E74" s="37"/>
      <c r="F74" s="254">
        <f>IF(E71/0.95-E71&lt;E74,"Exceeds 5%","")</f>
      </c>
    </row>
    <row r="75" spans="2:5" ht="15.75">
      <c r="B75" s="419" t="str">
        <f>CONCATENATE(C89,"     ",D89)</f>
        <v>     </v>
      </c>
      <c r="C75" s="626" t="s">
        <v>677</v>
      </c>
      <c r="D75" s="627"/>
      <c r="E75" s="47">
        <f>E71+E74</f>
        <v>0</v>
      </c>
    </row>
    <row r="76" spans="2:5" ht="15.75">
      <c r="B76" s="419" t="str">
        <f>CONCATENATE(C90,"     ",D90)</f>
        <v>     </v>
      </c>
      <c r="C76" s="557"/>
      <c r="D76" s="553" t="s">
        <v>678</v>
      </c>
      <c r="E76" s="44">
        <f>IF(E75-E60&gt;0,E75-E60,0)</f>
        <v>0</v>
      </c>
    </row>
    <row r="77" spans="2:5" ht="15.75">
      <c r="B77" s="164"/>
      <c r="C77" s="551" t="s">
        <v>679</v>
      </c>
      <c r="D77" s="552">
        <f>inputOth!$E$36</f>
        <v>0</v>
      </c>
      <c r="E77" s="47">
        <f>ROUND(IF(D77&gt;0,(E76*D77),0),0)</f>
        <v>0</v>
      </c>
    </row>
    <row r="78" spans="2:5" ht="15.75">
      <c r="B78" s="18"/>
      <c r="C78" s="622" t="str">
        <f>CONCATENATE("Amount of  ",$F$3-1," Ad Valorem Tax")</f>
        <v>Amount of  2011 Ad Valorem Tax</v>
      </c>
      <c r="D78" s="623"/>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Watershed # 1 Walnut Creek</v>
      </c>
      <c r="C1" s="240"/>
      <c r="D1" s="18"/>
      <c r="E1" s="191"/>
    </row>
    <row r="2" spans="2:5" ht="15.75">
      <c r="B2" s="18" t="str">
        <f>inputPrYr!D4</f>
        <v>Brown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249</v>
      </c>
      <c r="D5" s="242" t="s">
        <v>250</v>
      </c>
      <c r="E5" s="242" t="s">
        <v>247</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220</v>
      </c>
      <c r="C17" s="208"/>
      <c r="D17" s="250"/>
      <c r="E17" s="250"/>
    </row>
    <row r="18" spans="2:5" ht="15.75">
      <c r="B18" s="249" t="s">
        <v>574</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220</v>
      </c>
      <c r="C29" s="37"/>
      <c r="D29" s="244"/>
      <c r="E29" s="244"/>
    </row>
    <row r="30" spans="2:5" ht="15.75">
      <c r="B30" s="125" t="s">
        <v>573</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249</v>
      </c>
      <c r="D38" s="242" t="s">
        <v>250</v>
      </c>
      <c r="E38" s="242" t="s">
        <v>247</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220</v>
      </c>
      <c r="C50" s="208"/>
      <c r="D50" s="250"/>
      <c r="E50" s="250"/>
    </row>
    <row r="51" spans="2:5" ht="15.75">
      <c r="B51" s="249" t="s">
        <v>574</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220</v>
      </c>
      <c r="C62" s="37"/>
      <c r="D62" s="244"/>
      <c r="E62" s="244"/>
    </row>
    <row r="63" spans="2:5" ht="15.75">
      <c r="B63" s="125" t="s">
        <v>573</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Watershed # 1 Walnut Creek</v>
      </c>
      <c r="B1" s="276"/>
      <c r="C1" s="62"/>
      <c r="D1" s="62"/>
      <c r="E1" s="62"/>
      <c r="F1" s="277" t="s">
        <v>234</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235</v>
      </c>
      <c r="B3" s="62"/>
      <c r="C3" s="62"/>
      <c r="D3" s="62"/>
      <c r="E3" s="62"/>
      <c r="F3" s="276"/>
      <c r="G3" s="62"/>
      <c r="H3" s="62"/>
      <c r="I3" s="62"/>
      <c r="J3" s="62"/>
      <c r="K3" s="62"/>
    </row>
    <row r="4" spans="1:11" ht="15.75">
      <c r="A4" s="62" t="s">
        <v>236</v>
      </c>
      <c r="B4" s="62"/>
      <c r="C4" s="62" t="s">
        <v>237</v>
      </c>
      <c r="D4" s="62"/>
      <c r="E4" s="62" t="s">
        <v>238</v>
      </c>
      <c r="F4" s="276"/>
      <c r="G4" s="62" t="s">
        <v>239</v>
      </c>
      <c r="H4" s="62"/>
      <c r="I4" s="62" t="s">
        <v>240</v>
      </c>
      <c r="J4" s="62"/>
      <c r="K4" s="62"/>
    </row>
    <row r="5" spans="1:11" ht="15.75">
      <c r="A5" s="634">
        <f>inputPrYr!B30</f>
        <v>0</v>
      </c>
      <c r="B5" s="635"/>
      <c r="C5" s="634">
        <f>inputPrYr!B31</f>
        <v>0</v>
      </c>
      <c r="D5" s="635"/>
      <c r="E5" s="634">
        <f>inputPrYr!B32</f>
        <v>0</v>
      </c>
      <c r="F5" s="635"/>
      <c r="G5" s="634">
        <f>inputPrYr!B33</f>
        <v>0</v>
      </c>
      <c r="H5" s="635"/>
      <c r="I5" s="634">
        <f>inputPrYr!B34</f>
        <v>0</v>
      </c>
      <c r="J5" s="635"/>
      <c r="K5" s="280"/>
    </row>
    <row r="6" spans="1:11" ht="15.75">
      <c r="A6" s="281" t="s">
        <v>241</v>
      </c>
      <c r="B6" s="282"/>
      <c r="C6" s="283" t="s">
        <v>241</v>
      </c>
      <c r="D6" s="284"/>
      <c r="E6" s="283" t="s">
        <v>241</v>
      </c>
      <c r="F6" s="285"/>
      <c r="G6" s="283" t="s">
        <v>241</v>
      </c>
      <c r="H6" s="279"/>
      <c r="I6" s="283" t="s">
        <v>241</v>
      </c>
      <c r="J6" s="62"/>
      <c r="K6" s="286" t="s">
        <v>13</v>
      </c>
    </row>
    <row r="7" spans="1:11" ht="15.75">
      <c r="A7" s="287" t="s">
        <v>242</v>
      </c>
      <c r="B7" s="288"/>
      <c r="C7" s="289" t="s">
        <v>242</v>
      </c>
      <c r="D7" s="288"/>
      <c r="E7" s="289" t="s">
        <v>242</v>
      </c>
      <c r="F7" s="288"/>
      <c r="G7" s="289" t="s">
        <v>242</v>
      </c>
      <c r="H7" s="288"/>
      <c r="I7" s="289" t="s">
        <v>242</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243</v>
      </c>
      <c r="B29" s="290">
        <f>SUM(B18-B28)</f>
        <v>0</v>
      </c>
      <c r="C29" s="291" t="s">
        <v>243</v>
      </c>
      <c r="D29" s="290">
        <f>SUM(D18-D28)</f>
        <v>0</v>
      </c>
      <c r="E29" s="291" t="s">
        <v>243</v>
      </c>
      <c r="F29" s="290">
        <f>SUM(F18-F28)</f>
        <v>0</v>
      </c>
      <c r="G29" s="291" t="s">
        <v>243</v>
      </c>
      <c r="H29" s="290">
        <f>SUM(H18-H28)</f>
        <v>0</v>
      </c>
      <c r="I29" s="291" t="s">
        <v>243</v>
      </c>
      <c r="J29" s="290">
        <f>SUM(J18-J28)</f>
        <v>0</v>
      </c>
      <c r="K29" s="305">
        <f>SUM(B29+D29+F29+H29+J29)</f>
        <v>0</v>
      </c>
      <c r="L29" s="98" t="s">
        <v>244</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244</v>
      </c>
    </row>
    <row r="31" spans="1:11" ht="15.75">
      <c r="A31" s="62"/>
      <c r="B31" s="306"/>
      <c r="C31" s="62"/>
      <c r="D31" s="276"/>
      <c r="E31" s="62"/>
      <c r="F31" s="62"/>
      <c r="G31" s="307" t="s">
        <v>245</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290</v>
      </c>
    </row>
    <row r="2" ht="15.75">
      <c r="A2" s="98"/>
    </row>
    <row r="3" ht="15.75">
      <c r="A3" s="98"/>
    </row>
    <row r="4" ht="56.25" customHeight="1">
      <c r="A4" s="339" t="s">
        <v>291</v>
      </c>
    </row>
    <row r="5" ht="15.75">
      <c r="A5" s="340"/>
    </row>
    <row r="6" ht="15.75">
      <c r="A6" s="98"/>
    </row>
    <row r="7" ht="50.25" customHeight="1">
      <c r="A7" s="339" t="s">
        <v>292</v>
      </c>
    </row>
    <row r="8" ht="15.75">
      <c r="A8" s="98"/>
    </row>
    <row r="9" ht="15.75">
      <c r="A9" s="98"/>
    </row>
    <row r="10" ht="52.5" customHeight="1">
      <c r="A10" s="339" t="s">
        <v>293</v>
      </c>
    </row>
    <row r="11" ht="15.75">
      <c r="A11" s="98"/>
    </row>
    <row r="12" ht="15.75">
      <c r="A12" s="98"/>
    </row>
    <row r="13" ht="52.5" customHeight="1">
      <c r="A13" s="339" t="s">
        <v>294</v>
      </c>
    </row>
    <row r="14" ht="15.75">
      <c r="A14" s="340"/>
    </row>
    <row r="15" ht="15.75">
      <c r="A15" s="340"/>
    </row>
    <row r="16" ht="51" customHeight="1">
      <c r="A16" s="518" t="s">
        <v>668</v>
      </c>
    </row>
    <row r="17" ht="15.75">
      <c r="A17" s="340"/>
    </row>
    <row r="18" ht="15.75">
      <c r="A18" s="340"/>
    </row>
    <row r="19" ht="37.5" customHeight="1">
      <c r="A19" s="339" t="s">
        <v>295</v>
      </c>
    </row>
    <row r="20" ht="15.75">
      <c r="A20" s="98"/>
    </row>
    <row r="21" ht="15.75">
      <c r="A21" s="98"/>
    </row>
    <row r="22" ht="47.25">
      <c r="A22" s="339" t="s">
        <v>296</v>
      </c>
    </row>
    <row r="23" ht="15.75">
      <c r="A23" s="340"/>
    </row>
    <row r="24" ht="15.75">
      <c r="A24" s="98"/>
    </row>
    <row r="25" ht="67.5" customHeight="1">
      <c r="A25" s="339" t="s">
        <v>297</v>
      </c>
    </row>
    <row r="26" ht="68.25" customHeight="1">
      <c r="A26" s="341" t="s">
        <v>298</v>
      </c>
    </row>
    <row r="27" ht="15.75">
      <c r="A27" s="98"/>
    </row>
    <row r="28" ht="15.75">
      <c r="A28" s="98"/>
    </row>
    <row r="29" ht="51" customHeight="1">
      <c r="A29" s="519" t="s">
        <v>669</v>
      </c>
    </row>
    <row r="30" ht="15.75">
      <c r="A30" s="98"/>
    </row>
    <row r="31" ht="15.75">
      <c r="A31" s="340"/>
    </row>
    <row r="32" ht="69" customHeight="1">
      <c r="A32" s="519" t="s">
        <v>670</v>
      </c>
    </row>
    <row r="33" ht="15.75">
      <c r="A33" s="340"/>
    </row>
    <row r="34" ht="15.75">
      <c r="A34" s="340"/>
    </row>
    <row r="35" ht="52.5" customHeight="1">
      <c r="A35" s="519" t="s">
        <v>671</v>
      </c>
    </row>
    <row r="36" ht="15.75">
      <c r="A36" s="340"/>
    </row>
    <row r="37" ht="15.75">
      <c r="A37" s="340"/>
    </row>
    <row r="38" ht="59.25" customHeight="1">
      <c r="A38" s="339" t="s">
        <v>299</v>
      </c>
    </row>
    <row r="39" ht="15.75">
      <c r="A39" s="98"/>
    </row>
    <row r="40" ht="15.75">
      <c r="A40" s="98"/>
    </row>
    <row r="41" ht="53.25" customHeight="1">
      <c r="A41" s="339" t="s">
        <v>300</v>
      </c>
    </row>
    <row r="42" ht="15.75">
      <c r="A42" s="340"/>
    </row>
    <row r="43" ht="15.75">
      <c r="A43" s="340"/>
    </row>
    <row r="44" ht="38.25" customHeight="1">
      <c r="A44" s="339" t="s">
        <v>301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39"/>
  <sheetViews>
    <sheetView zoomScale="89" zoomScaleNormal="89" zoomScalePageLayoutView="0" workbookViewId="0" topLeftCell="A1">
      <selection activeCell="B18" sqref="B17:B1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7" t="s">
        <v>81</v>
      </c>
      <c r="B1" s="587"/>
      <c r="C1" s="587"/>
      <c r="D1" s="587"/>
      <c r="E1" s="587"/>
      <c r="F1" s="587"/>
      <c r="G1" s="587"/>
      <c r="H1" s="644"/>
    </row>
    <row r="2" spans="1:8" ht="15.75">
      <c r="A2" s="18"/>
      <c r="B2" s="18"/>
      <c r="C2" s="18"/>
      <c r="D2" s="18"/>
      <c r="E2" s="18"/>
      <c r="F2" s="18"/>
      <c r="G2" s="18"/>
      <c r="H2" s="18"/>
    </row>
    <row r="3" spans="1:9" ht="15.75">
      <c r="A3" s="616" t="s">
        <v>108</v>
      </c>
      <c r="B3" s="616"/>
      <c r="C3" s="616"/>
      <c r="D3" s="616"/>
      <c r="E3" s="616"/>
      <c r="F3" s="616"/>
      <c r="G3" s="616"/>
      <c r="H3" s="616"/>
      <c r="I3" s="54">
        <f>inputPrYr!D6</f>
        <v>2012</v>
      </c>
    </row>
    <row r="4" spans="1:8" ht="15.75">
      <c r="A4" s="585" t="str">
        <f>inputPrYr!D3</f>
        <v>Watershed # 1 Walnut Creek</v>
      </c>
      <c r="B4" s="585"/>
      <c r="C4" s="585"/>
      <c r="D4" s="585"/>
      <c r="E4" s="585"/>
      <c r="F4" s="585"/>
      <c r="G4" s="585"/>
      <c r="H4" s="585"/>
    </row>
    <row r="5" spans="1:8" ht="15.75">
      <c r="A5" s="647" t="str">
        <f>inputPrYr!D4</f>
        <v>Brown County</v>
      </c>
      <c r="B5" s="647"/>
      <c r="C5" s="647"/>
      <c r="D5" s="647"/>
      <c r="E5" s="647"/>
      <c r="F5" s="647"/>
      <c r="G5" s="647"/>
      <c r="H5" s="647"/>
    </row>
    <row r="6" spans="1:8" ht="15.75">
      <c r="A6" s="636" t="str">
        <f>CONCATENATE("will meet on ",inputBudSum!B5," at ",inputBudSum!B7," at ",inputBudSum!B9," for the purpose of hearing and")</f>
        <v>will meet on August 1, 2011 at 8:00 AM at 2770 Horned Owl Road for the purpose of hearing and</v>
      </c>
      <c r="B6" s="636"/>
      <c r="C6" s="636"/>
      <c r="D6" s="636"/>
      <c r="E6" s="636"/>
      <c r="F6" s="636"/>
      <c r="G6" s="636"/>
      <c r="H6" s="636"/>
    </row>
    <row r="7" spans="1:8" ht="15.75">
      <c r="A7" s="100" t="s">
        <v>332</v>
      </c>
      <c r="B7" s="26"/>
      <c r="C7" s="26"/>
      <c r="D7" s="26"/>
      <c r="E7" s="26"/>
      <c r="F7" s="26"/>
      <c r="G7" s="26"/>
      <c r="H7" s="26"/>
    </row>
    <row r="8" spans="1:8" ht="15.75">
      <c r="A8" s="374" t="str">
        <f>CONCATENATE("Detailed budget information is available at ",inputBudSum!B12," and will be available at this hearing.")</f>
        <v>Detailed budget information is available at Brown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7" t="str">
        <f>CONCATENATE("Estimated Value Of One Mill For ",I3,"")</f>
        <v>Estimated Value Of One Mill For 2012</v>
      </c>
      <c r="K12" s="638"/>
      <c r="L12" s="638"/>
      <c r="M12" s="639"/>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50</v>
      </c>
      <c r="D14" s="107"/>
      <c r="E14" s="315" t="s">
        <v>50</v>
      </c>
      <c r="F14" s="229" t="s">
        <v>214</v>
      </c>
      <c r="G14" s="645" t="str">
        <f>CONCATENATE("Amount of ",I3-1," Ad Valorem Tax")</f>
        <v>Amount of 2011 Ad Valorem Tax</v>
      </c>
      <c r="H14" s="315" t="s">
        <v>577</v>
      </c>
      <c r="J14" s="565" t="s">
        <v>683</v>
      </c>
      <c r="K14" s="566"/>
      <c r="L14" s="566"/>
      <c r="M14" s="567">
        <f>ROUND(F22/1000,0)</f>
        <v>19733</v>
      </c>
    </row>
    <row r="15" spans="1:13" ht="15.75">
      <c r="A15" s="178" t="s">
        <v>51</v>
      </c>
      <c r="B15" s="116" t="s">
        <v>52</v>
      </c>
      <c r="C15" s="316" t="s">
        <v>195</v>
      </c>
      <c r="D15" s="116" t="s">
        <v>52</v>
      </c>
      <c r="E15" s="316" t="s">
        <v>195</v>
      </c>
      <c r="F15" s="116" t="s">
        <v>572</v>
      </c>
      <c r="G15" s="646"/>
      <c r="H15" s="316" t="s">
        <v>195</v>
      </c>
      <c r="J15" s="16"/>
      <c r="K15" s="16"/>
      <c r="L15" s="16"/>
      <c r="M15" s="16"/>
    </row>
    <row r="16" spans="1:13" ht="15.75">
      <c r="A16" s="38" t="str">
        <f>inputPrYr!B19</f>
        <v>General</v>
      </c>
      <c r="B16" s="127">
        <f>IF(gen!$C$38&lt;&gt;0,gen!$C$38,"  ")</f>
        <v>15247</v>
      </c>
      <c r="C16" s="124">
        <f>IF(inputPrYr!D38&gt;0,inputPrYr!D38,"  ")</f>
        <v>2.046</v>
      </c>
      <c r="D16" s="127">
        <f>IF(gen!$D$38&lt;&gt;0,gen!$D$38,"  ")</f>
        <v>41104</v>
      </c>
      <c r="E16" s="124">
        <f>IF(inputOth!D16&gt;0,inputOth!D16,"  ")</f>
        <v>1.823</v>
      </c>
      <c r="F16" s="127">
        <f>IF(gen!$E$38&lt;&gt;0,gen!$E$38,"  ")</f>
        <v>66925</v>
      </c>
      <c r="G16" s="127">
        <f>IF(gen!$E$45&lt;&gt;0,gen!$E$45,"  ")</f>
        <v>35594</v>
      </c>
      <c r="H16" s="124">
        <f>IF(gen!E45&gt;0,ROUND(G16/$F$22*1000,3)," ")</f>
        <v>1.804</v>
      </c>
      <c r="J16" s="637" t="str">
        <f>CONCATENATE("Want The Mill Rate The Same As For ",I3-1,"?")</f>
        <v>Want The Mill Rate The Same As For 2011?</v>
      </c>
      <c r="K16" s="640"/>
      <c r="L16" s="640"/>
      <c r="M16" s="641"/>
    </row>
    <row r="17" spans="1:13" ht="16.5" thickBot="1">
      <c r="A17" s="128">
        <f>IF((inputPrYr!$B$30&gt;" "),(NonBud!$A$3),"")</f>
      </c>
      <c r="B17" s="544">
        <f>IF(NonBud!K28&gt;0,NonBud!K28,"")</f>
      </c>
      <c r="C17" s="543"/>
      <c r="D17" s="544"/>
      <c r="E17" s="543"/>
      <c r="F17" s="544"/>
      <c r="G17" s="544"/>
      <c r="H17" s="543"/>
      <c r="J17" s="570"/>
      <c r="K17" s="570"/>
      <c r="L17" s="570"/>
      <c r="M17" s="570"/>
    </row>
    <row r="18" spans="1:13" ht="15.75">
      <c r="A18" s="35" t="s">
        <v>132</v>
      </c>
      <c r="B18" s="320">
        <f>SUM(B16:B17)</f>
        <v>15247</v>
      </c>
      <c r="C18" s="545">
        <f aca="true" t="shared" si="0" ref="C18:H18">SUM(C16:C16)</f>
        <v>2.046</v>
      </c>
      <c r="D18" s="320">
        <f t="shared" si="0"/>
        <v>41104</v>
      </c>
      <c r="E18" s="545">
        <f t="shared" si="0"/>
        <v>1.823</v>
      </c>
      <c r="F18" s="320">
        <f t="shared" si="0"/>
        <v>66925</v>
      </c>
      <c r="G18" s="320">
        <f t="shared" si="0"/>
        <v>35594</v>
      </c>
      <c r="H18" s="545">
        <f t="shared" si="0"/>
        <v>1.804</v>
      </c>
      <c r="J18" s="637" t="str">
        <f>CONCATENATE("Impact On Keeping The Same Mill Rate As For ",I3-1,"")</f>
        <v>Impact On Keeping The Same Mill Rate As For 2011</v>
      </c>
      <c r="K18" s="642"/>
      <c r="L18" s="642"/>
      <c r="M18" s="643"/>
    </row>
    <row r="19" spans="1:13" ht="15.75">
      <c r="A19" s="35" t="s">
        <v>166</v>
      </c>
      <c r="B19" s="213">
        <f>transfers!C26</f>
        <v>0</v>
      </c>
      <c r="C19" s="132"/>
      <c r="D19" s="213">
        <f>transfers!D26</f>
        <v>0</v>
      </c>
      <c r="E19" s="132"/>
      <c r="F19" s="317">
        <f>transfers!E26</f>
        <v>0</v>
      </c>
      <c r="G19" s="259"/>
      <c r="H19" s="318"/>
      <c r="J19" s="568"/>
      <c r="K19" s="563"/>
      <c r="L19" s="563"/>
      <c r="M19" s="569"/>
    </row>
    <row r="20" spans="1:13" ht="16.5" thickBot="1">
      <c r="A20" s="35" t="s">
        <v>167</v>
      </c>
      <c r="B20" s="135">
        <f>SUM(B18-B19)</f>
        <v>15247</v>
      </c>
      <c r="C20" s="319"/>
      <c r="D20" s="135">
        <f>SUM(D18-D19)</f>
        <v>41104</v>
      </c>
      <c r="E20" s="319"/>
      <c r="F20" s="542">
        <f>SUM(F18-F19)</f>
        <v>66925</v>
      </c>
      <c r="G20" s="259"/>
      <c r="H20" s="318"/>
      <c r="J20" s="568" t="str">
        <f>CONCATENATE("",I3," Ad Valorem Tax Revenue:")</f>
        <v>2012 Ad Valorem Tax Revenue:</v>
      </c>
      <c r="K20" s="563"/>
      <c r="L20" s="563"/>
      <c r="M20" s="564">
        <f>G18</f>
        <v>35594</v>
      </c>
    </row>
    <row r="21" spans="1:13" ht="16.5" thickTop="1">
      <c r="A21" s="35" t="s">
        <v>53</v>
      </c>
      <c r="B21" s="320">
        <f>inputPrYr!E44</f>
        <v>34612</v>
      </c>
      <c r="C21" s="229"/>
      <c r="D21" s="320">
        <f>inputPrYr!E24</f>
        <v>35319</v>
      </c>
      <c r="E21" s="229"/>
      <c r="F21" s="321" t="s">
        <v>172</v>
      </c>
      <c r="G21" s="18"/>
      <c r="H21" s="18"/>
      <c r="J21" s="568" t="str">
        <f>CONCATENATE("",I3-1," Ad Valorem Tax Revenue:")</f>
        <v>2011 Ad Valorem Tax Revenue:</v>
      </c>
      <c r="K21" s="563"/>
      <c r="L21" s="563"/>
      <c r="M21" s="571" t="e">
        <f>ROUND(F22*#REF!/1000,0)</f>
        <v>#REF!</v>
      </c>
    </row>
    <row r="22" spans="1:13" ht="15.75">
      <c r="A22" s="35" t="s">
        <v>168</v>
      </c>
      <c r="B22" s="213">
        <f>inputPrYr!E45</f>
        <v>16920793</v>
      </c>
      <c r="C22" s="229"/>
      <c r="D22" s="213">
        <f>inputOth!E24</f>
        <v>19377624</v>
      </c>
      <c r="E22" s="229"/>
      <c r="F22" s="213">
        <f>inputOth!E7</f>
        <v>19733109</v>
      </c>
      <c r="G22" s="18"/>
      <c r="H22" s="18"/>
      <c r="J22" s="572" t="s">
        <v>684</v>
      </c>
      <c r="K22" s="573"/>
      <c r="L22" s="573"/>
      <c r="M22" s="567" t="e">
        <f>M20-M21</f>
        <v>#REF!</v>
      </c>
    </row>
    <row r="23" spans="1:8" ht="15.75">
      <c r="A23" s="274" t="s">
        <v>54</v>
      </c>
      <c r="B23" s="18"/>
      <c r="C23" s="18"/>
      <c r="D23" s="18"/>
      <c r="E23" s="240"/>
      <c r="F23" s="240"/>
      <c r="G23" s="18"/>
      <c r="H23" s="54"/>
    </row>
    <row r="24" spans="1:8" ht="15.75">
      <c r="A24" s="54"/>
      <c r="B24" s="18"/>
      <c r="C24" s="18"/>
      <c r="D24" s="18"/>
      <c r="E24" s="18"/>
      <c r="F24" s="18"/>
      <c r="G24" s="18"/>
      <c r="H24" s="54"/>
    </row>
    <row r="25" spans="1:8" ht="15.75">
      <c r="A25" s="62"/>
      <c r="B25" s="18"/>
      <c r="C25" s="18"/>
      <c r="D25" s="18"/>
      <c r="E25" s="18"/>
      <c r="F25" s="18"/>
      <c r="G25" s="18"/>
      <c r="H25" s="62"/>
    </row>
    <row r="26" spans="1:8" ht="15.75">
      <c r="A26" s="610"/>
      <c r="B26" s="611"/>
      <c r="C26" s="101"/>
      <c r="D26" s="18"/>
      <c r="E26" s="18"/>
      <c r="F26" s="18"/>
      <c r="G26" s="18"/>
      <c r="H26" s="54"/>
    </row>
    <row r="27" spans="1:8" ht="15.75">
      <c r="A27" s="310" t="s">
        <v>55</v>
      </c>
      <c r="B27" s="26"/>
      <c r="C27" s="18"/>
      <c r="D27" s="144" t="s">
        <v>43</v>
      </c>
      <c r="E27" s="546">
        <v>7</v>
      </c>
      <c r="F27" s="18"/>
      <c r="G27" s="18"/>
      <c r="H27" s="54"/>
    </row>
    <row r="29" spans="1:8" ht="15.75">
      <c r="A29" s="16"/>
      <c r="B29" s="16"/>
      <c r="C29" s="16"/>
      <c r="D29" s="16"/>
      <c r="E29" s="16"/>
      <c r="F29" s="16"/>
      <c r="G29" s="16"/>
      <c r="H29"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sheetData>
  <sheetProtection/>
  <mergeCells count="10">
    <mergeCell ref="A6:H6"/>
    <mergeCell ref="J12:M12"/>
    <mergeCell ref="J16:M16"/>
    <mergeCell ref="J18:M18"/>
    <mergeCell ref="A26:B26"/>
    <mergeCell ref="A1:H1"/>
    <mergeCell ref="G14:G15"/>
    <mergeCell ref="A3:H3"/>
    <mergeCell ref="A4:H4"/>
    <mergeCell ref="A5:H5"/>
  </mergeCells>
  <printOptions/>
  <pageMargins left="1.03" right="1" top="0.5" bottom="0.5" header="0.5" footer="0.5"/>
  <pageSetup blackAndWhite="1" horizontalDpi="120" verticalDpi="120" orientation="portrait" scale="6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1" sqref="A1"/>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Watershed # 1 Walnut Creek</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2" t="str">
        <f>CONCATENATE("",F1," Neighborhood Revitalization Rebate")</f>
        <v>2012 Neighborhood Revitalization Rebate</v>
      </c>
      <c r="C4" s="650"/>
      <c r="D4" s="650"/>
      <c r="E4" s="64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209</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1" t="str">
        <f>CONCATENATE("",F1-1," July 1 Valuation:")</f>
        <v>2011 July 1 Valuation:</v>
      </c>
      <c r="B16" s="649"/>
      <c r="C16" s="651"/>
      <c r="D16" s="330">
        <f>inputOth!E7</f>
        <v>19733109</v>
      </c>
      <c r="E16" s="18"/>
      <c r="F16" s="54"/>
    </row>
    <row r="17" spans="1:6" ht="15.75">
      <c r="A17" s="18"/>
      <c r="B17" s="18"/>
      <c r="C17" s="18"/>
      <c r="D17" s="18"/>
      <c r="E17" s="18"/>
      <c r="F17" s="54"/>
    </row>
    <row r="18" spans="1:6" ht="15.75">
      <c r="A18" s="18"/>
      <c r="B18" s="651" t="s">
        <v>321</v>
      </c>
      <c r="C18" s="651"/>
      <c r="D18" s="331">
        <f>IF(D16&gt;0,(D16*0.001),"")</f>
        <v>19733.109</v>
      </c>
      <c r="E18" s="18"/>
      <c r="F18" s="54"/>
    </row>
    <row r="19" spans="1:6" ht="15.75">
      <c r="A19" s="18"/>
      <c r="B19" s="144"/>
      <c r="C19" s="144"/>
      <c r="D19" s="332"/>
      <c r="E19" s="18"/>
      <c r="F19" s="54"/>
    </row>
    <row r="20" spans="1:6" ht="15.75">
      <c r="A20" s="648" t="s">
        <v>319</v>
      </c>
      <c r="B20" s="644"/>
      <c r="C20" s="644"/>
      <c r="D20" s="333">
        <f>inputOth!E12</f>
        <v>0</v>
      </c>
      <c r="E20" s="64"/>
      <c r="F20" s="64"/>
    </row>
    <row r="21" spans="1:6" ht="15">
      <c r="A21" s="64"/>
      <c r="B21" s="64"/>
      <c r="C21" s="64"/>
      <c r="D21" s="334"/>
      <c r="E21" s="64"/>
      <c r="F21" s="64"/>
    </row>
    <row r="22" spans="1:6" ht="15.75">
      <c r="A22" s="64"/>
      <c r="B22" s="648" t="s">
        <v>320</v>
      </c>
      <c r="C22" s="649"/>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559</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v>7</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0" t="s">
        <v>137</v>
      </c>
      <c r="C1" s="660"/>
      <c r="D1" s="660"/>
      <c r="E1" s="660"/>
      <c r="F1" s="660"/>
      <c r="G1" s="660"/>
      <c r="H1" s="660"/>
    </row>
    <row r="2" spans="2:8" ht="15.75">
      <c r="B2" s="6"/>
      <c r="C2"/>
      <c r="D2"/>
      <c r="E2"/>
      <c r="F2"/>
      <c r="G2"/>
      <c r="H2"/>
    </row>
    <row r="3" spans="2:8" ht="15.75">
      <c r="B3" s="661" t="s">
        <v>134</v>
      </c>
      <c r="C3" s="661"/>
      <c r="D3" s="661"/>
      <c r="E3" s="661"/>
      <c r="F3" s="661"/>
      <c r="G3" s="661"/>
      <c r="H3" s="661"/>
    </row>
    <row r="4" spans="2:8" ht="15.75">
      <c r="B4" s="7"/>
      <c r="C4"/>
      <c r="D4"/>
      <c r="E4"/>
      <c r="F4"/>
      <c r="G4"/>
      <c r="H4"/>
    </row>
    <row r="5" spans="2:8" ht="15.75">
      <c r="B5" s="653"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 1 Walnut Creek District with respect to financing the 2012 annual budget for Watershed # 1 Walnut Creek , Brown County , Kansas.</v>
      </c>
      <c r="C5" s="654"/>
      <c r="D5" s="654"/>
      <c r="E5" s="654"/>
      <c r="F5" s="654"/>
      <c r="G5" s="654"/>
      <c r="H5" s="654"/>
    </row>
    <row r="6" spans="2:10" ht="15.75">
      <c r="B6" s="654"/>
      <c r="C6" s="654"/>
      <c r="D6" s="654"/>
      <c r="E6" s="654"/>
      <c r="F6" s="654"/>
      <c r="G6" s="654"/>
      <c r="H6" s="654"/>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Watershed # 1 Walnut Creek district budget exceed the amount levied to finance the</v>
      </c>
      <c r="C9"/>
      <c r="D9"/>
      <c r="E9"/>
      <c r="F9"/>
      <c r="G9"/>
      <c r="H9"/>
    </row>
    <row r="10" spans="2:8" ht="15.75">
      <c r="B10" s="12" t="str">
        <f>CONCATENATE("",inputPrYr!D6-1," ",inputPrYr!D3," except with regard to revenue produced and attributable to the")</f>
        <v>2011 Watershed # 1 Walnut Creek except with regard to revenue produced and attributable to the</v>
      </c>
      <c r="C10"/>
      <c r="D10"/>
      <c r="E10"/>
      <c r="F10"/>
      <c r="G10"/>
      <c r="H10"/>
    </row>
    <row r="11" spans="2:8" ht="15.75">
      <c r="B11" s="657" t="s">
        <v>174</v>
      </c>
      <c r="C11" s="662"/>
      <c r="D11" s="662"/>
      <c r="E11" s="662"/>
      <c r="F11" s="662"/>
      <c r="G11" s="662"/>
      <c r="H11" s="662"/>
    </row>
    <row r="12" spans="2:8" ht="15.75">
      <c r="B12" s="662"/>
      <c r="C12" s="662"/>
      <c r="D12" s="662"/>
      <c r="E12" s="662"/>
      <c r="F12" s="662"/>
      <c r="G12" s="662"/>
      <c r="H12" s="662"/>
    </row>
    <row r="13" spans="2:8" ht="15.75">
      <c r="B13" s="662"/>
      <c r="C13" s="662"/>
      <c r="D13" s="662"/>
      <c r="E13" s="662"/>
      <c r="F13" s="662"/>
      <c r="G13" s="662"/>
      <c r="H13" s="662"/>
    </row>
    <row r="14" spans="2:8" ht="15.75">
      <c r="B14" s="662"/>
      <c r="C14" s="662"/>
      <c r="D14" s="662"/>
      <c r="E14" s="662"/>
      <c r="F14" s="662"/>
      <c r="G14" s="662"/>
      <c r="H14" s="662"/>
    </row>
    <row r="15" spans="2:8" ht="15.75">
      <c r="B15" s="1"/>
      <c r="C15" s="1"/>
      <c r="D15" s="1"/>
      <c r="E15" s="1"/>
      <c r="F15" s="1"/>
      <c r="G15" s="1"/>
      <c r="H15" s="1"/>
    </row>
    <row r="16" spans="2:8" ht="15.75">
      <c r="B16" s="655" t="s">
        <v>146</v>
      </c>
      <c r="C16" s="656"/>
      <c r="D16" s="656"/>
      <c r="E16" s="656"/>
      <c r="F16" s="656"/>
      <c r="G16" s="656"/>
      <c r="H16" s="656"/>
    </row>
    <row r="17" spans="2:8" ht="15.75">
      <c r="B17" s="656"/>
      <c r="C17" s="656"/>
      <c r="D17" s="656"/>
      <c r="E17" s="656"/>
      <c r="F17" s="656"/>
      <c r="G17" s="656"/>
      <c r="H17" s="656"/>
    </row>
    <row r="18" spans="2:8" ht="15.75">
      <c r="B18" s="12"/>
      <c r="C18"/>
      <c r="D18"/>
      <c r="E18"/>
      <c r="F18"/>
      <c r="G18"/>
      <c r="H18"/>
    </row>
    <row r="19" spans="2:8" ht="15.75">
      <c r="B19" s="12" t="str">
        <f>CONCATENATE("Whereas, ",(inputPrYr!D3)," provides essential services to district residents; and")</f>
        <v>Whereas, Watershed # 1 Walnut Creek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5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 1 Walnut Creek that is our desire to notify the public of the possibility of increased property taxes to finance the 2012 Watershed # 1 Walnut Creek  budget as defined above.</v>
      </c>
      <c r="C23" s="658"/>
      <c r="D23" s="658"/>
      <c r="E23" s="658"/>
      <c r="F23" s="658"/>
      <c r="G23" s="658"/>
      <c r="H23" s="658"/>
    </row>
    <row r="24" spans="2:8" ht="15.75">
      <c r="B24" s="658"/>
      <c r="C24" s="658"/>
      <c r="D24" s="658"/>
      <c r="E24" s="658"/>
      <c r="F24" s="658"/>
      <c r="G24" s="658"/>
      <c r="H24" s="658"/>
    </row>
    <row r="25" spans="2:8" ht="15.75">
      <c r="B25" s="658"/>
      <c r="C25" s="658"/>
      <c r="D25" s="658"/>
      <c r="E25" s="658"/>
      <c r="F25" s="658"/>
      <c r="G25" s="658"/>
      <c r="H25" s="658"/>
    </row>
    <row r="26" spans="2:8" ht="15.75">
      <c r="B26" s="12"/>
      <c r="C26"/>
      <c r="D26"/>
      <c r="E26"/>
      <c r="F26"/>
      <c r="G26"/>
      <c r="H26"/>
    </row>
    <row r="27" spans="2:8" ht="15.75">
      <c r="B27" s="655" t="str">
        <f>CONCATENATE("Adopted this _________ day of ___________, ",inputPrYr!D6-1," by the ",(inputPrYr!D3)," District Board, ",(inputPrYr!D4),", Kansas.")</f>
        <v>Adopted this _________ day of ___________, 2011 by the Watershed # 1 Walnut Creek District Board, Brown County, Kansas.</v>
      </c>
      <c r="C27" s="654"/>
      <c r="D27" s="654"/>
      <c r="E27" s="654"/>
      <c r="F27" s="654"/>
      <c r="G27" s="654"/>
      <c r="H27" s="654"/>
    </row>
    <row r="28" spans="2:8" ht="15.75">
      <c r="B28" s="654"/>
      <c r="C28" s="654"/>
      <c r="D28" s="654"/>
      <c r="E28" s="654"/>
      <c r="F28" s="654"/>
      <c r="G28" s="654"/>
      <c r="H28" s="654"/>
    </row>
    <row r="29" spans="2:8" ht="15.75">
      <c r="B29" s="8"/>
      <c r="C29"/>
      <c r="D29"/>
      <c r="E29"/>
      <c r="F29"/>
      <c r="G29"/>
      <c r="H29"/>
    </row>
    <row r="30" spans="2:8" ht="15.75">
      <c r="B30" s="8"/>
      <c r="C30"/>
      <c r="D30"/>
      <c r="E30"/>
      <c r="F30"/>
      <c r="G30"/>
      <c r="H30"/>
    </row>
    <row r="31" spans="2:8" ht="15.75">
      <c r="B31" s="9" t="str">
        <f>CONCATENATE(" ",(inputPrYr!D3)," District Board")</f>
        <v> Watershed # 1 Walnut Creek District Board</v>
      </c>
      <c r="C31"/>
      <c r="D31"/>
      <c r="E31"/>
      <c r="F31"/>
      <c r="G31"/>
      <c r="H31"/>
    </row>
    <row r="32" spans="2:8" ht="15.75">
      <c r="B32" s="8"/>
      <c r="C32"/>
      <c r="D32"/>
      <c r="E32"/>
      <c r="F32"/>
      <c r="G32"/>
      <c r="H32"/>
    </row>
    <row r="33" spans="2:8" ht="15.75">
      <c r="B33"/>
      <c r="C33"/>
      <c r="D33"/>
      <c r="E33" s="659" t="s">
        <v>135</v>
      </c>
      <c r="F33" s="659"/>
      <c r="G33" s="659"/>
      <c r="H33" s="659"/>
    </row>
    <row r="34" spans="2:8" ht="15.75">
      <c r="B34"/>
      <c r="C34"/>
      <c r="D34"/>
      <c r="E34" s="659" t="s">
        <v>138</v>
      </c>
      <c r="F34" s="659"/>
      <c r="G34" s="659"/>
      <c r="H34" s="659"/>
    </row>
    <row r="35" spans="2:8" ht="15.75">
      <c r="B35" s="8"/>
      <c r="C35"/>
      <c r="D35"/>
      <c r="E35" s="659"/>
      <c r="F35" s="659"/>
      <c r="G35" s="659"/>
      <c r="H35" s="659"/>
    </row>
    <row r="36" spans="2:8" ht="15.75">
      <c r="B36"/>
      <c r="C36"/>
      <c r="D36"/>
      <c r="E36" s="659" t="s">
        <v>135</v>
      </c>
      <c r="F36" s="659"/>
      <c r="G36" s="659"/>
      <c r="H36" s="659"/>
    </row>
    <row r="37" spans="2:8" ht="15.75">
      <c r="B37"/>
      <c r="C37"/>
      <c r="D37"/>
      <c r="E37" s="659" t="s">
        <v>139</v>
      </c>
      <c r="F37" s="659"/>
      <c r="G37" s="659"/>
      <c r="H37" s="659"/>
    </row>
    <row r="38" spans="2:8" ht="15.75">
      <c r="B38" s="8"/>
      <c r="C38"/>
      <c r="D38"/>
      <c r="E38" s="659"/>
      <c r="F38" s="659"/>
      <c r="G38" s="659"/>
      <c r="H38" s="659"/>
    </row>
    <row r="39" spans="2:8" ht="15.75">
      <c r="B39"/>
      <c r="C39"/>
      <c r="D39"/>
      <c r="E39" s="659" t="s">
        <v>135</v>
      </c>
      <c r="F39" s="659"/>
      <c r="G39" s="659"/>
      <c r="H39" s="659"/>
    </row>
    <row r="40" spans="2:8" ht="15.75">
      <c r="B40"/>
      <c r="C40"/>
      <c r="D40"/>
      <c r="E40" s="659" t="s">
        <v>140</v>
      </c>
      <c r="F40" s="659"/>
      <c r="G40" s="659"/>
      <c r="H40" s="65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52"/>
      <c r="F46" s="652"/>
      <c r="G46" s="652"/>
      <c r="H46" s="652"/>
    </row>
    <row r="47" spans="2:8" ht="15.75">
      <c r="B47" s="3"/>
      <c r="E47" s="652"/>
      <c r="F47" s="652"/>
      <c r="G47" s="652"/>
      <c r="H47" s="652"/>
    </row>
    <row r="48" spans="5:8" ht="15.75">
      <c r="E48" s="652"/>
      <c r="F48" s="652"/>
      <c r="G48" s="652"/>
      <c r="H48" s="652"/>
    </row>
    <row r="49" spans="5:8" ht="15.75">
      <c r="E49" s="652"/>
      <c r="F49" s="652"/>
      <c r="G49" s="652"/>
      <c r="H49" s="652"/>
    </row>
    <row r="50" spans="2:8" ht="15.75">
      <c r="B50" s="3"/>
      <c r="E50" s="652"/>
      <c r="F50" s="652"/>
      <c r="G50" s="652"/>
      <c r="H50" s="65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5" t="s">
        <v>7</v>
      </c>
      <c r="B1" s="586"/>
      <c r="C1" s="586"/>
      <c r="D1" s="586"/>
      <c r="E1" s="586"/>
    </row>
    <row r="2" spans="1:5" ht="15.75">
      <c r="A2" s="17"/>
      <c r="B2" s="18"/>
      <c r="C2" s="18"/>
      <c r="D2" s="18"/>
      <c r="E2" s="18"/>
    </row>
    <row r="3" spans="1:5" ht="15.75">
      <c r="A3" s="19" t="s">
        <v>129</v>
      </c>
      <c r="B3" s="18"/>
      <c r="C3" s="18"/>
      <c r="D3" s="20" t="s">
        <v>740</v>
      </c>
      <c r="E3" s="21"/>
    </row>
    <row r="4" spans="1:5" ht="15.75">
      <c r="A4" s="19" t="s">
        <v>228</v>
      </c>
      <c r="B4" s="18"/>
      <c r="C4" s="18"/>
      <c r="D4" s="22" t="s">
        <v>737</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87" t="s">
        <v>206</v>
      </c>
      <c r="B8" s="588"/>
      <c r="C8" s="588"/>
      <c r="D8" s="588"/>
      <c r="E8" s="588"/>
    </row>
    <row r="9" spans="1:5" ht="15.75">
      <c r="A9" s="25" t="s">
        <v>76</v>
      </c>
      <c r="B9" s="26"/>
      <c r="C9" s="26"/>
      <c r="D9" s="26"/>
      <c r="E9" s="26"/>
    </row>
    <row r="10" spans="1:5" ht="15.75">
      <c r="A10" s="589" t="s">
        <v>205</v>
      </c>
      <c r="B10" s="590"/>
      <c r="C10" s="590"/>
      <c r="D10" s="590"/>
      <c r="E10" s="590"/>
    </row>
    <row r="11" spans="1:5" ht="15.75">
      <c r="A11" s="27"/>
      <c r="B11" s="18"/>
      <c r="C11" s="18"/>
      <c r="D11" s="18"/>
      <c r="E11" s="18"/>
    </row>
    <row r="12" spans="1:5" ht="15.75">
      <c r="A12" s="583" t="s">
        <v>194</v>
      </c>
      <c r="B12" s="584"/>
      <c r="C12" s="584"/>
      <c r="D12" s="584"/>
      <c r="E12" s="584"/>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278</v>
      </c>
      <c r="B16" s="31"/>
      <c r="C16" s="18"/>
      <c r="D16" s="18"/>
      <c r="E16" s="18"/>
    </row>
    <row r="17" spans="1:5" ht="15.75">
      <c r="A17" s="18"/>
      <c r="B17" s="18"/>
      <c r="C17" s="32"/>
      <c r="D17" s="33">
        <f>D6-1</f>
        <v>2011</v>
      </c>
      <c r="E17" s="591" t="str">
        <f>CONCATENATE("Amount of ",D6-2,"     Ad Valorem Tax")</f>
        <v>Amount of 2010     Ad Valorem Tax</v>
      </c>
    </row>
    <row r="18" spans="1:5" ht="15.75">
      <c r="A18" s="17" t="s">
        <v>8</v>
      </c>
      <c r="B18" s="18"/>
      <c r="C18" s="32" t="s">
        <v>9</v>
      </c>
      <c r="D18" s="34" t="s">
        <v>279</v>
      </c>
      <c r="E18" s="592"/>
    </row>
    <row r="19" spans="1:5" ht="15.75">
      <c r="A19" s="18"/>
      <c r="B19" s="35" t="s">
        <v>10</v>
      </c>
      <c r="C19" s="432" t="s">
        <v>741</v>
      </c>
      <c r="D19" s="37">
        <v>41104</v>
      </c>
      <c r="E19" s="37">
        <v>35319</v>
      </c>
    </row>
    <row r="20" spans="1:5" ht="15.75">
      <c r="A20" s="18"/>
      <c r="B20" s="35" t="s">
        <v>274</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35319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41104</v>
      </c>
      <c r="E28" s="39"/>
    </row>
    <row r="29" spans="1:5" ht="15.75">
      <c r="A29" s="18" t="s">
        <v>246</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81" t="str">
        <f>CONCATENATE("",D6-3," Tax Rate          (",D6-2," Column)")</f>
        <v>2009 Tax Rate          (2010 Column)</v>
      </c>
      <c r="E36" s="39"/>
    </row>
    <row r="37" spans="1:5" ht="15.75">
      <c r="A37" s="30" t="str">
        <f>CONCATENATE("the ",D6-1," Budget, Budget Summary Page:")</f>
        <v>the 2011 Budget, Budget Summary Page:</v>
      </c>
      <c r="B37" s="31"/>
      <c r="C37" s="18"/>
      <c r="D37" s="582"/>
      <c r="E37" s="39"/>
    </row>
    <row r="38" spans="1:5" ht="15.75">
      <c r="A38" s="18"/>
      <c r="B38" s="38" t="str">
        <f>B19</f>
        <v>General</v>
      </c>
      <c r="C38" s="18"/>
      <c r="D38" s="49">
        <v>2.046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2.046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34612</v>
      </c>
    </row>
    <row r="45" spans="1:5" ht="15.75">
      <c r="A45" s="51" t="str">
        <f>CONCATENATE("Assessed Valuation (",D6-2," budget column)")</f>
        <v>Assessed Valuation (2010 budget column)</v>
      </c>
      <c r="B45" s="29"/>
      <c r="C45" s="18"/>
      <c r="D45" s="18"/>
      <c r="E45" s="53">
        <v>16920793</v>
      </c>
    </row>
    <row r="46" spans="1:5" ht="15.75">
      <c r="A46" s="18"/>
      <c r="B46" s="18"/>
      <c r="C46" s="18"/>
      <c r="D46" s="18"/>
      <c r="E46" s="39"/>
    </row>
    <row r="47" spans="1:5" ht="15.75">
      <c r="A47" s="29" t="s">
        <v>207</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680</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338</v>
      </c>
      <c r="B3" s="379"/>
      <c r="C3" s="379"/>
      <c r="D3" s="379"/>
      <c r="E3" s="379"/>
      <c r="F3" s="379"/>
      <c r="G3" s="379"/>
      <c r="H3" s="379"/>
      <c r="I3" s="379"/>
      <c r="J3" s="379"/>
      <c r="K3" s="379"/>
      <c r="L3" s="379"/>
    </row>
    <row r="5" ht="15">
      <c r="A5" s="380" t="s">
        <v>339</v>
      </c>
    </row>
    <row r="6" ht="15">
      <c r="A6" s="380" t="str">
        <f>CONCATENATE(inputPrYr!D6-2," 'total expenditures' exceed your ",inputPrYr!D6-2," 'budget authority.'")</f>
        <v>2010 'total expenditures' exceed your 2010 'budget authority.'</v>
      </c>
    </row>
    <row r="7" ht="15">
      <c r="A7" s="380"/>
    </row>
    <row r="8" ht="15">
      <c r="A8" s="380" t="s">
        <v>340</v>
      </c>
    </row>
    <row r="9" ht="15">
      <c r="A9" s="380" t="s">
        <v>341</v>
      </c>
    </row>
    <row r="10" ht="15">
      <c r="A10" s="380" t="s">
        <v>342</v>
      </c>
    </row>
    <row r="11" ht="15">
      <c r="A11" s="380"/>
    </row>
    <row r="12" ht="15">
      <c r="A12" s="380"/>
    </row>
    <row r="13" ht="15">
      <c r="A13" s="381" t="s">
        <v>343</v>
      </c>
    </row>
    <row r="15" ht="15">
      <c r="A15" s="380" t="s">
        <v>344</v>
      </c>
    </row>
    <row r="16" ht="15">
      <c r="A16" s="380" t="str">
        <f>CONCATENATE("(i.e. an audit has not been completed, or the ",inputPrYr!D6," adopted")</f>
        <v>(i.e. an audit has not been completed, or the 2012 adopted</v>
      </c>
    </row>
    <row r="17" ht="15">
      <c r="A17" s="380" t="s">
        <v>345</v>
      </c>
    </row>
    <row r="18" ht="15">
      <c r="A18" s="380" t="s">
        <v>346</v>
      </c>
    </row>
    <row r="19" ht="15">
      <c r="A19" s="380" t="s">
        <v>347</v>
      </c>
    </row>
    <row r="21" ht="15">
      <c r="A21" s="381" t="s">
        <v>348</v>
      </c>
    </row>
    <row r="22" ht="15">
      <c r="A22" s="381"/>
    </row>
    <row r="23" ht="15">
      <c r="A23" s="380" t="s">
        <v>349</v>
      </c>
    </row>
    <row r="24" ht="15">
      <c r="A24" s="380" t="s">
        <v>350</v>
      </c>
    </row>
    <row r="25" ht="15">
      <c r="A25" s="380" t="str">
        <f>CONCATENATE("particular fund.  If your ",inputPrYr!D6-2," budget was amended, did you")</f>
        <v>particular fund.  If your 2010 budget was amended, did you</v>
      </c>
    </row>
    <row r="26" ht="15">
      <c r="A26" s="380" t="s">
        <v>351</v>
      </c>
    </row>
    <row r="27" ht="15">
      <c r="A27" s="380"/>
    </row>
    <row r="28" ht="15">
      <c r="A28" s="380" t="str">
        <f>CONCATENATE("Next, look to see if any of your ",inputPrYr!D6-2," expenditures can be")</f>
        <v>Next, look to see if any of your 2010 expenditures can be</v>
      </c>
    </row>
    <row r="29" ht="15">
      <c r="A29" s="380" t="s">
        <v>352</v>
      </c>
    </row>
    <row r="30" ht="15">
      <c r="A30" s="380" t="s">
        <v>353</v>
      </c>
    </row>
    <row r="31" ht="15">
      <c r="A31" s="380" t="s">
        <v>354</v>
      </c>
    </row>
    <row r="32" ht="15">
      <c r="A32" s="380"/>
    </row>
    <row r="33" ht="15">
      <c r="A33" s="380" t="str">
        <f>CONCATENATE("Additionally, do your ",inputPrYr!D6-2," receipts contain a reimbursement")</f>
        <v>Additionally, do your 2010 receipts contain a reimbursement</v>
      </c>
    </row>
    <row r="34" ht="15">
      <c r="A34" s="380" t="s">
        <v>355</v>
      </c>
    </row>
    <row r="35" ht="15">
      <c r="A35" s="380" t="s">
        <v>356</v>
      </c>
    </row>
    <row r="36" ht="15">
      <c r="A36" s="380"/>
    </row>
    <row r="37" ht="15">
      <c r="A37" s="380" t="s">
        <v>360</v>
      </c>
    </row>
    <row r="38" ht="15">
      <c r="A38" s="380" t="s">
        <v>361</v>
      </c>
    </row>
    <row r="39" ht="15">
      <c r="A39" s="380" t="s">
        <v>362</v>
      </c>
    </row>
    <row r="40" ht="15">
      <c r="A40" s="380"/>
    </row>
    <row r="41" ht="15">
      <c r="A41" s="381" t="s">
        <v>363</v>
      </c>
    </row>
    <row r="42" ht="15">
      <c r="A42" s="380"/>
    </row>
    <row r="43" ht="15">
      <c r="A43" s="380" t="s">
        <v>364</v>
      </c>
    </row>
    <row r="44" ht="15">
      <c r="A44" s="380" t="s">
        <v>365</v>
      </c>
    </row>
    <row r="45" ht="15">
      <c r="A45" s="380" t="s">
        <v>366</v>
      </c>
    </row>
    <row r="46" ht="15">
      <c r="A46" s="380" t="s">
        <v>367</v>
      </c>
    </row>
    <row r="47" ht="15">
      <c r="A47" s="380" t="s">
        <v>368</v>
      </c>
    </row>
    <row r="48" ht="15">
      <c r="A48" s="380" t="s">
        <v>369</v>
      </c>
    </row>
    <row r="49" ht="15">
      <c r="A49" s="380" t="s">
        <v>370</v>
      </c>
    </row>
    <row r="50" ht="15">
      <c r="A50" s="380" t="s">
        <v>371</v>
      </c>
    </row>
    <row r="51" ht="15">
      <c r="A51" s="380" t="s">
        <v>372</v>
      </c>
    </row>
    <row r="52" ht="15">
      <c r="A52" s="380" t="s">
        <v>373</v>
      </c>
    </row>
    <row r="53" ht="15">
      <c r="A53" s="380" t="s">
        <v>374</v>
      </c>
    </row>
    <row r="54" ht="15">
      <c r="A54" s="380" t="s">
        <v>375</v>
      </c>
    </row>
    <row r="55" ht="15">
      <c r="A55" s="380" t="s">
        <v>376</v>
      </c>
    </row>
    <row r="56" ht="15">
      <c r="A56" s="380"/>
    </row>
    <row r="57" ht="15">
      <c r="A57" s="380" t="s">
        <v>377</v>
      </c>
    </row>
    <row r="58" ht="15">
      <c r="A58" s="380" t="s">
        <v>378</v>
      </c>
    </row>
    <row r="59" ht="15">
      <c r="A59" s="380" t="s">
        <v>379</v>
      </c>
    </row>
    <row r="60" ht="15">
      <c r="A60" s="380"/>
    </row>
    <row r="61" ht="15">
      <c r="A61" s="381" t="str">
        <f>CONCATENATE("What if the ",inputPrYr!D6-2," financial records have been closed?")</f>
        <v>What if the 2010 financial records have been closed?</v>
      </c>
    </row>
    <row r="63" ht="15">
      <c r="A63" s="380" t="s">
        <v>380</v>
      </c>
    </row>
    <row r="64" ht="15">
      <c r="A64" s="380" t="str">
        <f>CONCATENATE("(i.e. an audit for ",inputPrYr!D6-2," has been completed, or the ",inputPrYr!D6)</f>
        <v>(i.e. an audit for 2010 has been completed, or the 2012</v>
      </c>
    </row>
    <row r="65" ht="15">
      <c r="A65" s="380" t="s">
        <v>381</v>
      </c>
    </row>
    <row r="66" ht="15">
      <c r="A66" s="380" t="s">
        <v>382</v>
      </c>
    </row>
    <row r="67" ht="15">
      <c r="A67" s="380"/>
    </row>
    <row r="68" ht="15">
      <c r="A68" s="380" t="s">
        <v>383</v>
      </c>
    </row>
    <row r="69" ht="15">
      <c r="A69" s="380" t="s">
        <v>384</v>
      </c>
    </row>
    <row r="70" ht="15">
      <c r="A70" s="380" t="s">
        <v>385</v>
      </c>
    </row>
    <row r="71" ht="15">
      <c r="A71" s="380"/>
    </row>
    <row r="72" ht="15">
      <c r="A72" s="380" t="s">
        <v>386</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387</v>
      </c>
      <c r="B3" s="379"/>
      <c r="C3" s="379"/>
      <c r="D3" s="379"/>
      <c r="E3" s="379"/>
      <c r="F3" s="379"/>
      <c r="G3" s="379"/>
      <c r="H3" s="382"/>
      <c r="I3" s="382"/>
      <c r="J3" s="382"/>
    </row>
    <row r="5" ht="15">
      <c r="A5" s="380" t="s">
        <v>388</v>
      </c>
    </row>
    <row r="6" ht="15">
      <c r="A6" t="str">
        <f>CONCATENATE(inputPrYr!D6-2," expenditures show that you finished the year with a ")</f>
        <v>2010 expenditures show that you finished the year with a </v>
      </c>
    </row>
    <row r="7" ht="15">
      <c r="A7" t="s">
        <v>389</v>
      </c>
    </row>
    <row r="9" ht="15">
      <c r="A9" t="s">
        <v>390</v>
      </c>
    </row>
    <row r="10" ht="15">
      <c r="A10" t="s">
        <v>391</v>
      </c>
    </row>
    <row r="11" ht="15">
      <c r="A11" t="s">
        <v>392</v>
      </c>
    </row>
    <row r="13" ht="15">
      <c r="A13" s="381" t="s">
        <v>393</v>
      </c>
    </row>
    <row r="14" ht="15">
      <c r="A14" s="381"/>
    </row>
    <row r="15" ht="15">
      <c r="A15" s="380" t="s">
        <v>394</v>
      </c>
    </row>
    <row r="16" ht="15">
      <c r="A16" s="380" t="s">
        <v>395</v>
      </c>
    </row>
    <row r="17" ht="15">
      <c r="A17" s="380" t="s">
        <v>396</v>
      </c>
    </row>
    <row r="18" ht="15">
      <c r="A18" s="380"/>
    </row>
    <row r="19" ht="15">
      <c r="A19" s="381" t="s">
        <v>397</v>
      </c>
    </row>
    <row r="20" ht="15">
      <c r="A20" s="381"/>
    </row>
    <row r="21" ht="15">
      <c r="A21" s="380" t="s">
        <v>398</v>
      </c>
    </row>
    <row r="22" ht="15">
      <c r="A22" s="380" t="s">
        <v>399</v>
      </c>
    </row>
    <row r="23" ht="15">
      <c r="A23" s="380" t="s">
        <v>400</v>
      </c>
    </row>
    <row r="24" ht="15">
      <c r="A24" s="380"/>
    </row>
    <row r="25" ht="15">
      <c r="A25" s="381" t="s">
        <v>401</v>
      </c>
    </row>
    <row r="26" ht="15">
      <c r="A26" s="381"/>
    </row>
    <row r="27" ht="15">
      <c r="A27" s="380" t="s">
        <v>402</v>
      </c>
    </row>
    <row r="28" ht="15">
      <c r="A28" s="380" t="s">
        <v>403</v>
      </c>
    </row>
    <row r="29" ht="15">
      <c r="A29" s="380" t="s">
        <v>404</v>
      </c>
    </row>
    <row r="30" ht="15">
      <c r="A30" s="380"/>
    </row>
    <row r="31" ht="15">
      <c r="A31" s="381" t="s">
        <v>405</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406</v>
      </c>
      <c r="B35" s="380"/>
      <c r="C35" s="380"/>
      <c r="D35" s="380"/>
      <c r="E35" s="380"/>
      <c r="F35" s="380"/>
      <c r="G35" s="380"/>
      <c r="H35" s="380"/>
    </row>
    <row r="36" spans="1:8" ht="15">
      <c r="A36" s="380" t="s">
        <v>407</v>
      </c>
      <c r="B36" s="380"/>
      <c r="C36" s="380"/>
      <c r="D36" s="380"/>
      <c r="E36" s="380"/>
      <c r="F36" s="380"/>
      <c r="G36" s="380"/>
      <c r="H36" s="380"/>
    </row>
    <row r="37" spans="1:8" ht="15">
      <c r="A37" s="380" t="s">
        <v>408</v>
      </c>
      <c r="B37" s="380"/>
      <c r="C37" s="380"/>
      <c r="D37" s="380"/>
      <c r="E37" s="380"/>
      <c r="F37" s="380"/>
      <c r="G37" s="380"/>
      <c r="H37" s="380"/>
    </row>
    <row r="38" spans="1:8" ht="15">
      <c r="A38" s="380" t="s">
        <v>409</v>
      </c>
      <c r="B38" s="380"/>
      <c r="C38" s="380"/>
      <c r="D38" s="380"/>
      <c r="E38" s="380"/>
      <c r="F38" s="380"/>
      <c r="G38" s="380"/>
      <c r="H38" s="380"/>
    </row>
    <row r="39" spans="1:8" ht="15">
      <c r="A39" s="380" t="s">
        <v>410</v>
      </c>
      <c r="B39" s="380"/>
      <c r="C39" s="380"/>
      <c r="D39" s="380"/>
      <c r="E39" s="380"/>
      <c r="F39" s="380"/>
      <c r="G39" s="380"/>
      <c r="H39" s="380"/>
    </row>
    <row r="40" spans="1:8" ht="15">
      <c r="A40" s="380"/>
      <c r="B40" s="380"/>
      <c r="C40" s="380"/>
      <c r="D40" s="380"/>
      <c r="E40" s="380"/>
      <c r="F40" s="380"/>
      <c r="G40" s="380"/>
      <c r="H40" s="380"/>
    </row>
    <row r="41" spans="1:8" ht="15">
      <c r="A41" s="380" t="s">
        <v>411</v>
      </c>
      <c r="B41" s="380"/>
      <c r="C41" s="380"/>
      <c r="D41" s="380"/>
      <c r="E41" s="380"/>
      <c r="F41" s="380"/>
      <c r="G41" s="380"/>
      <c r="H41" s="380"/>
    </row>
    <row r="42" spans="1:8" ht="15">
      <c r="A42" s="380" t="s">
        <v>412</v>
      </c>
      <c r="B42" s="380"/>
      <c r="C42" s="380"/>
      <c r="D42" s="380"/>
      <c r="E42" s="380"/>
      <c r="F42" s="380"/>
      <c r="G42" s="380"/>
      <c r="H42" s="380"/>
    </row>
    <row r="43" spans="1:8" ht="15">
      <c r="A43" s="380" t="s">
        <v>413</v>
      </c>
      <c r="B43" s="380"/>
      <c r="C43" s="380"/>
      <c r="D43" s="380"/>
      <c r="E43" s="380"/>
      <c r="F43" s="380"/>
      <c r="G43" s="380"/>
      <c r="H43" s="380"/>
    </row>
    <row r="44" spans="1:8" ht="15">
      <c r="A44" s="380" t="s">
        <v>414</v>
      </c>
      <c r="B44" s="380"/>
      <c r="C44" s="380"/>
      <c r="D44" s="380"/>
      <c r="E44" s="380"/>
      <c r="F44" s="380"/>
      <c r="G44" s="380"/>
      <c r="H44" s="380"/>
    </row>
    <row r="45" spans="1:8" ht="15">
      <c r="A45" s="380"/>
      <c r="B45" s="380"/>
      <c r="C45" s="380"/>
      <c r="D45" s="380"/>
      <c r="E45" s="380"/>
      <c r="F45" s="380"/>
      <c r="G45" s="380"/>
      <c r="H45" s="380"/>
    </row>
    <row r="46" spans="1:8" ht="15">
      <c r="A46" s="380" t="s">
        <v>415</v>
      </c>
      <c r="B46" s="380"/>
      <c r="C46" s="380"/>
      <c r="D46" s="380"/>
      <c r="E46" s="380"/>
      <c r="F46" s="380"/>
      <c r="G46" s="380"/>
      <c r="H46" s="380"/>
    </row>
    <row r="47" spans="1:8" ht="15">
      <c r="A47" s="380" t="s">
        <v>416</v>
      </c>
      <c r="B47" s="380"/>
      <c r="C47" s="380"/>
      <c r="D47" s="380"/>
      <c r="E47" s="380"/>
      <c r="F47" s="380"/>
      <c r="G47" s="380"/>
      <c r="H47" s="380"/>
    </row>
    <row r="48" spans="1:8" ht="15">
      <c r="A48" s="380" t="s">
        <v>417</v>
      </c>
      <c r="B48" s="380"/>
      <c r="C48" s="380"/>
      <c r="D48" s="380"/>
      <c r="E48" s="380"/>
      <c r="F48" s="380"/>
      <c r="G48" s="380"/>
      <c r="H48" s="380"/>
    </row>
    <row r="49" spans="1:8" ht="15">
      <c r="A49" s="380" t="s">
        <v>418</v>
      </c>
      <c r="B49" s="380"/>
      <c r="C49" s="380"/>
      <c r="D49" s="380"/>
      <c r="E49" s="380"/>
      <c r="F49" s="380"/>
      <c r="G49" s="380"/>
      <c r="H49" s="380"/>
    </row>
    <row r="50" spans="1:8" ht="15">
      <c r="A50" s="380" t="s">
        <v>419</v>
      </c>
      <c r="B50" s="380"/>
      <c r="C50" s="380"/>
      <c r="D50" s="380"/>
      <c r="E50" s="380"/>
      <c r="F50" s="380"/>
      <c r="G50" s="380"/>
      <c r="H50" s="380"/>
    </row>
    <row r="51" spans="1:8" ht="15">
      <c r="A51" s="380"/>
      <c r="B51" s="380"/>
      <c r="C51" s="380"/>
      <c r="D51" s="380"/>
      <c r="E51" s="380"/>
      <c r="F51" s="380"/>
      <c r="G51" s="380"/>
      <c r="H51" s="380"/>
    </row>
    <row r="52" spans="1:8" ht="15">
      <c r="A52" s="381" t="s">
        <v>420</v>
      </c>
      <c r="B52" s="381"/>
      <c r="C52" s="381"/>
      <c r="D52" s="381"/>
      <c r="E52" s="381"/>
      <c r="F52" s="381"/>
      <c r="G52" s="381"/>
      <c r="H52" s="380"/>
    </row>
    <row r="53" spans="1:8" ht="15">
      <c r="A53" s="381" t="s">
        <v>421</v>
      </c>
      <c r="B53" s="381"/>
      <c r="C53" s="381"/>
      <c r="D53" s="381"/>
      <c r="E53" s="381"/>
      <c r="F53" s="381"/>
      <c r="G53" s="381"/>
      <c r="H53" s="380"/>
    </row>
    <row r="54" spans="1:8" ht="15">
      <c r="A54" s="380"/>
      <c r="B54" s="380"/>
      <c r="C54" s="380"/>
      <c r="D54" s="380"/>
      <c r="E54" s="380"/>
      <c r="F54" s="380"/>
      <c r="G54" s="380"/>
      <c r="H54" s="380"/>
    </row>
    <row r="55" spans="1:8" ht="15">
      <c r="A55" s="380" t="s">
        <v>422</v>
      </c>
      <c r="B55" s="380"/>
      <c r="C55" s="380"/>
      <c r="D55" s="380"/>
      <c r="E55" s="380"/>
      <c r="F55" s="380"/>
      <c r="G55" s="380"/>
      <c r="H55" s="380"/>
    </row>
    <row r="56" spans="1:8" ht="15">
      <c r="A56" s="380" t="s">
        <v>423</v>
      </c>
      <c r="B56" s="380"/>
      <c r="C56" s="380"/>
      <c r="D56" s="380"/>
      <c r="E56" s="380"/>
      <c r="F56" s="380"/>
      <c r="G56" s="380"/>
      <c r="H56" s="380"/>
    </row>
    <row r="57" spans="1:8" ht="15">
      <c r="A57" s="380" t="s">
        <v>424</v>
      </c>
      <c r="B57" s="380"/>
      <c r="C57" s="380"/>
      <c r="D57" s="380"/>
      <c r="E57" s="380"/>
      <c r="F57" s="380"/>
      <c r="G57" s="380"/>
      <c r="H57" s="380"/>
    </row>
    <row r="58" spans="1:8" ht="15">
      <c r="A58" s="380" t="s">
        <v>425</v>
      </c>
      <c r="B58" s="380"/>
      <c r="C58" s="380"/>
      <c r="D58" s="380"/>
      <c r="E58" s="380"/>
      <c r="F58" s="380"/>
      <c r="G58" s="380"/>
      <c r="H58" s="380"/>
    </row>
    <row r="59" spans="1:8" ht="15">
      <c r="A59" s="380"/>
      <c r="B59" s="380"/>
      <c r="C59" s="380"/>
      <c r="D59" s="380"/>
      <c r="E59" s="380"/>
      <c r="F59" s="380"/>
      <c r="G59" s="380"/>
      <c r="H59" s="380"/>
    </row>
    <row r="60" spans="1:8" ht="15">
      <c r="A60" s="380" t="s">
        <v>426</v>
      </c>
      <c r="B60" s="380"/>
      <c r="C60" s="380"/>
      <c r="D60" s="380"/>
      <c r="E60" s="380"/>
      <c r="F60" s="380"/>
      <c r="G60" s="380"/>
      <c r="H60" s="380"/>
    </row>
    <row r="61" spans="1:8" ht="15">
      <c r="A61" s="380" t="s">
        <v>427</v>
      </c>
      <c r="B61" s="380"/>
      <c r="C61" s="380"/>
      <c r="D61" s="380"/>
      <c r="E61" s="380"/>
      <c r="F61" s="380"/>
      <c r="G61" s="380"/>
      <c r="H61" s="380"/>
    </row>
    <row r="62" spans="1:8" ht="15">
      <c r="A62" s="380" t="s">
        <v>428</v>
      </c>
      <c r="B62" s="380"/>
      <c r="C62" s="380"/>
      <c r="D62" s="380"/>
      <c r="E62" s="380"/>
      <c r="F62" s="380"/>
      <c r="G62" s="380"/>
      <c r="H62" s="380"/>
    </row>
    <row r="63" spans="1:8" ht="15">
      <c r="A63" s="380" t="s">
        <v>429</v>
      </c>
      <c r="B63" s="380"/>
      <c r="C63" s="380"/>
      <c r="D63" s="380"/>
      <c r="E63" s="380"/>
      <c r="F63" s="380"/>
      <c r="G63" s="380"/>
      <c r="H63" s="380"/>
    </row>
    <row r="64" spans="1:8" ht="15">
      <c r="A64" s="380" t="s">
        <v>430</v>
      </c>
      <c r="B64" s="380"/>
      <c r="C64" s="380"/>
      <c r="D64" s="380"/>
      <c r="E64" s="380"/>
      <c r="F64" s="380"/>
      <c r="G64" s="380"/>
      <c r="H64" s="380"/>
    </row>
    <row r="65" spans="1:8" ht="15">
      <c r="A65" s="380" t="s">
        <v>431</v>
      </c>
      <c r="B65" s="380"/>
      <c r="C65" s="380"/>
      <c r="D65" s="380"/>
      <c r="E65" s="380"/>
      <c r="F65" s="380"/>
      <c r="G65" s="380"/>
      <c r="H65" s="380"/>
    </row>
    <row r="66" spans="1:8" ht="15">
      <c r="A66" s="380"/>
      <c r="B66" s="380"/>
      <c r="C66" s="380"/>
      <c r="D66" s="380"/>
      <c r="E66" s="380"/>
      <c r="F66" s="380"/>
      <c r="G66" s="380"/>
      <c r="H66" s="380"/>
    </row>
    <row r="67" spans="1:8" ht="15">
      <c r="A67" s="380" t="s">
        <v>432</v>
      </c>
      <c r="B67" s="380"/>
      <c r="C67" s="380"/>
      <c r="D67" s="380"/>
      <c r="E67" s="380"/>
      <c r="F67" s="380"/>
      <c r="G67" s="380"/>
      <c r="H67" s="380"/>
    </row>
    <row r="68" spans="1:8" ht="15">
      <c r="A68" s="380" t="s">
        <v>433</v>
      </c>
      <c r="B68" s="380"/>
      <c r="C68" s="380"/>
      <c r="D68" s="380"/>
      <c r="E68" s="380"/>
      <c r="F68" s="380"/>
      <c r="G68" s="380"/>
      <c r="H68" s="380"/>
    </row>
    <row r="69" spans="1:8" ht="15">
      <c r="A69" s="380" t="s">
        <v>434</v>
      </c>
      <c r="B69" s="380"/>
      <c r="C69" s="380"/>
      <c r="D69" s="380"/>
      <c r="E69" s="380"/>
      <c r="F69" s="380"/>
      <c r="G69" s="380"/>
      <c r="H69" s="380"/>
    </row>
    <row r="70" spans="1:8" ht="15">
      <c r="A70" s="380" t="s">
        <v>435</v>
      </c>
      <c r="B70" s="380"/>
      <c r="C70" s="380"/>
      <c r="D70" s="380"/>
      <c r="E70" s="380"/>
      <c r="F70" s="380"/>
      <c r="G70" s="380"/>
      <c r="H70" s="380"/>
    </row>
    <row r="71" spans="1:8" ht="15">
      <c r="A71" s="380" t="s">
        <v>436</v>
      </c>
      <c r="B71" s="380"/>
      <c r="C71" s="380"/>
      <c r="D71" s="380"/>
      <c r="E71" s="380"/>
      <c r="F71" s="380"/>
      <c r="G71" s="380"/>
      <c r="H71" s="380"/>
    </row>
    <row r="72" spans="1:8" ht="15">
      <c r="A72" s="380" t="s">
        <v>437</v>
      </c>
      <c r="B72" s="380"/>
      <c r="C72" s="380"/>
      <c r="D72" s="380"/>
      <c r="E72" s="380"/>
      <c r="F72" s="380"/>
      <c r="G72" s="380"/>
      <c r="H72" s="380"/>
    </row>
    <row r="73" spans="1:8" ht="15">
      <c r="A73" s="380" t="s">
        <v>438</v>
      </c>
      <c r="B73" s="380"/>
      <c r="C73" s="380"/>
      <c r="D73" s="380"/>
      <c r="E73" s="380"/>
      <c r="F73" s="380"/>
      <c r="G73" s="380"/>
      <c r="H73" s="380"/>
    </row>
    <row r="74" spans="1:8" ht="15">
      <c r="A74" s="380"/>
      <c r="B74" s="380"/>
      <c r="C74" s="380"/>
      <c r="D74" s="380"/>
      <c r="E74" s="380"/>
      <c r="F74" s="380"/>
      <c r="G74" s="380"/>
      <c r="H74" s="380"/>
    </row>
    <row r="75" spans="1:8" ht="15">
      <c r="A75" s="380" t="s">
        <v>439</v>
      </c>
      <c r="B75" s="380"/>
      <c r="C75" s="380"/>
      <c r="D75" s="380"/>
      <c r="E75" s="380"/>
      <c r="F75" s="380"/>
      <c r="G75" s="380"/>
      <c r="H75" s="380"/>
    </row>
    <row r="76" spans="1:8" ht="15">
      <c r="A76" s="380" t="s">
        <v>440</v>
      </c>
      <c r="B76" s="380"/>
      <c r="C76" s="380"/>
      <c r="D76" s="380"/>
      <c r="E76" s="380"/>
      <c r="F76" s="380"/>
      <c r="G76" s="380"/>
      <c r="H76" s="380"/>
    </row>
    <row r="77" spans="1:8" ht="15">
      <c r="A77" s="380" t="s">
        <v>441</v>
      </c>
      <c r="B77" s="380"/>
      <c r="C77" s="380"/>
      <c r="D77" s="380"/>
      <c r="E77" s="380"/>
      <c r="F77" s="380"/>
      <c r="G77" s="380"/>
      <c r="H77" s="380"/>
    </row>
    <row r="78" spans="1:8" ht="15">
      <c r="A78" s="380"/>
      <c r="B78" s="380"/>
      <c r="C78" s="380"/>
      <c r="D78" s="380"/>
      <c r="E78" s="380"/>
      <c r="F78" s="380"/>
      <c r="G78" s="380"/>
      <c r="H78" s="380"/>
    </row>
    <row r="79" ht="15">
      <c r="A79" s="380" t="s">
        <v>386</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442</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339</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443</v>
      </c>
      <c r="I7" s="379"/>
      <c r="J7" s="379"/>
      <c r="K7" s="379"/>
      <c r="L7" s="379"/>
    </row>
    <row r="8" spans="1:12" ht="15">
      <c r="A8" s="380"/>
      <c r="I8" s="379"/>
      <c r="J8" s="379"/>
      <c r="K8" s="379"/>
      <c r="L8" s="379"/>
    </row>
    <row r="9" spans="1:12" ht="15">
      <c r="A9" s="380" t="s">
        <v>444</v>
      </c>
      <c r="I9" s="379"/>
      <c r="J9" s="379"/>
      <c r="K9" s="379"/>
      <c r="L9" s="379"/>
    </row>
    <row r="10" spans="1:12" ht="15">
      <c r="A10" s="380" t="s">
        <v>445</v>
      </c>
      <c r="I10" s="379"/>
      <c r="J10" s="379"/>
      <c r="K10" s="379"/>
      <c r="L10" s="379"/>
    </row>
    <row r="11" spans="1:12" ht="15">
      <c r="A11" s="380" t="s">
        <v>446</v>
      </c>
      <c r="I11" s="379"/>
      <c r="J11" s="379"/>
      <c r="K11" s="379"/>
      <c r="L11" s="379"/>
    </row>
    <row r="12" spans="1:12" ht="15">
      <c r="A12" s="380" t="s">
        <v>447</v>
      </c>
      <c r="I12" s="379"/>
      <c r="J12" s="379"/>
      <c r="K12" s="379"/>
      <c r="L12" s="379"/>
    </row>
    <row r="13" spans="1:12" ht="15">
      <c r="A13" s="380" t="s">
        <v>448</v>
      </c>
      <c r="I13" s="379"/>
      <c r="J13" s="379"/>
      <c r="K13" s="379"/>
      <c r="L13" s="379"/>
    </row>
    <row r="14" spans="1:12" ht="15">
      <c r="A14" s="379"/>
      <c r="B14" s="379"/>
      <c r="C14" s="379"/>
      <c r="D14" s="379"/>
      <c r="E14" s="379"/>
      <c r="F14" s="379"/>
      <c r="G14" s="379"/>
      <c r="H14" s="379"/>
      <c r="I14" s="379"/>
      <c r="J14" s="379"/>
      <c r="K14" s="379"/>
      <c r="L14" s="379"/>
    </row>
    <row r="15" ht="15">
      <c r="A15" s="381" t="s">
        <v>449</v>
      </c>
    </row>
    <row r="16" ht="15">
      <c r="A16" s="381" t="s">
        <v>450</v>
      </c>
    </row>
    <row r="17" ht="15">
      <c r="A17" s="381"/>
    </row>
    <row r="18" spans="1:7" ht="15">
      <c r="A18" s="380" t="s">
        <v>451</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452</v>
      </c>
      <c r="B20" s="380"/>
      <c r="C20" s="380"/>
      <c r="D20" s="380"/>
      <c r="E20" s="380"/>
      <c r="F20" s="380"/>
      <c r="G20" s="380"/>
    </row>
    <row r="21" spans="1:7" ht="15">
      <c r="A21" s="380" t="s">
        <v>453</v>
      </c>
      <c r="B21" s="380"/>
      <c r="C21" s="380"/>
      <c r="D21" s="380"/>
      <c r="E21" s="380"/>
      <c r="F21" s="380"/>
      <c r="G21" s="380"/>
    </row>
    <row r="22" ht="15">
      <c r="A22" s="380"/>
    </row>
    <row r="23" ht="15">
      <c r="A23" s="381" t="s">
        <v>454</v>
      </c>
    </row>
    <row r="24" ht="15">
      <c r="A24" s="381"/>
    </row>
    <row r="25" ht="15">
      <c r="A25" s="380" t="s">
        <v>455</v>
      </c>
    </row>
    <row r="26" spans="1:6" ht="15">
      <c r="A26" s="380" t="s">
        <v>456</v>
      </c>
      <c r="B26" s="380"/>
      <c r="C26" s="380"/>
      <c r="D26" s="380"/>
      <c r="E26" s="380"/>
      <c r="F26" s="380"/>
    </row>
    <row r="27" spans="1:6" ht="15">
      <c r="A27" s="380" t="s">
        <v>457</v>
      </c>
      <c r="B27" s="380"/>
      <c r="C27" s="380"/>
      <c r="D27" s="380"/>
      <c r="E27" s="380"/>
      <c r="F27" s="380"/>
    </row>
    <row r="28" spans="1:6" ht="15">
      <c r="A28" s="380" t="s">
        <v>458</v>
      </c>
      <c r="B28" s="380"/>
      <c r="C28" s="380"/>
      <c r="D28" s="380"/>
      <c r="E28" s="380"/>
      <c r="F28" s="380"/>
    </row>
    <row r="29" spans="1:6" ht="15">
      <c r="A29" s="380"/>
      <c r="B29" s="380"/>
      <c r="C29" s="380"/>
      <c r="D29" s="380"/>
      <c r="E29" s="380"/>
      <c r="F29" s="380"/>
    </row>
    <row r="30" spans="1:7" ht="15">
      <c r="A30" s="381" t="s">
        <v>459</v>
      </c>
      <c r="B30" s="381"/>
      <c r="C30" s="381"/>
      <c r="D30" s="381"/>
      <c r="E30" s="381"/>
      <c r="F30" s="381"/>
      <c r="G30" s="381"/>
    </row>
    <row r="31" spans="1:7" ht="15">
      <c r="A31" s="381" t="s">
        <v>460</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461</v>
      </c>
      <c r="B34" s="380"/>
      <c r="C34" s="380"/>
      <c r="D34" s="380"/>
      <c r="E34" s="380"/>
      <c r="F34" s="380"/>
    </row>
    <row r="35" spans="1:6" ht="15">
      <c r="A35" s="372" t="s">
        <v>353</v>
      </c>
      <c r="B35" s="380"/>
      <c r="C35" s="380"/>
      <c r="D35" s="380"/>
      <c r="E35" s="380"/>
      <c r="F35" s="380"/>
    </row>
    <row r="36" spans="1:6" ht="15">
      <c r="A36" s="372" t="s">
        <v>354</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355</v>
      </c>
      <c r="B39" s="380"/>
      <c r="C39" s="380"/>
      <c r="D39" s="380"/>
      <c r="E39" s="380"/>
      <c r="F39" s="380"/>
    </row>
    <row r="40" spans="1:6" ht="15">
      <c r="A40" s="372" t="s">
        <v>356</v>
      </c>
      <c r="B40" s="380"/>
      <c r="C40" s="380"/>
      <c r="D40" s="380"/>
      <c r="E40" s="380"/>
      <c r="F40" s="380"/>
    </row>
    <row r="41" spans="1:6" ht="15">
      <c r="A41" s="372"/>
      <c r="B41" s="380"/>
      <c r="C41" s="380"/>
      <c r="D41" s="380"/>
      <c r="E41" s="380"/>
      <c r="F41" s="380"/>
    </row>
    <row r="42" spans="1:6" ht="15">
      <c r="A42" s="372" t="s">
        <v>462</v>
      </c>
      <c r="B42" s="380"/>
      <c r="C42" s="380"/>
      <c r="D42" s="380"/>
      <c r="E42" s="380"/>
      <c r="F42" s="380"/>
    </row>
    <row r="43" spans="1:6" ht="15">
      <c r="A43" s="372" t="s">
        <v>463</v>
      </c>
      <c r="B43" s="380"/>
      <c r="C43" s="380"/>
      <c r="D43" s="380"/>
      <c r="E43" s="380"/>
      <c r="F43" s="380"/>
    </row>
    <row r="44" spans="1:6" ht="15">
      <c r="A44" s="372" t="s">
        <v>464</v>
      </c>
      <c r="B44" s="380"/>
      <c r="C44" s="380"/>
      <c r="D44" s="380"/>
      <c r="E44" s="380"/>
      <c r="F44" s="380"/>
    </row>
    <row r="45" spans="1:6" ht="15">
      <c r="A45" s="372" t="s">
        <v>465</v>
      </c>
      <c r="B45" s="380"/>
      <c r="C45" s="380"/>
      <c r="D45" s="380"/>
      <c r="E45" s="380"/>
      <c r="F45" s="380"/>
    </row>
    <row r="46" spans="1:6" ht="15">
      <c r="A46" s="372" t="s">
        <v>466</v>
      </c>
      <c r="B46" s="380"/>
      <c r="C46" s="380"/>
      <c r="D46" s="380"/>
      <c r="E46" s="380"/>
      <c r="F46" s="380"/>
    </row>
    <row r="47" spans="1:6" ht="15">
      <c r="A47" s="372"/>
      <c r="B47" s="380"/>
      <c r="C47" s="380"/>
      <c r="D47" s="380"/>
      <c r="E47" s="380"/>
      <c r="F47" s="380"/>
    </row>
    <row r="48" spans="1:6" ht="15">
      <c r="A48" s="373" t="s">
        <v>467</v>
      </c>
      <c r="B48" s="380"/>
      <c r="C48" s="380"/>
      <c r="D48" s="380"/>
      <c r="E48" s="380"/>
      <c r="F48" s="380"/>
    </row>
    <row r="49" spans="1:6" ht="15">
      <c r="A49" s="373" t="s">
        <v>468</v>
      </c>
      <c r="B49" s="380"/>
      <c r="C49" s="380"/>
      <c r="D49" s="380"/>
      <c r="E49" s="380"/>
      <c r="F49" s="380"/>
    </row>
    <row r="50" spans="1:6" ht="15">
      <c r="A50" s="373" t="s">
        <v>469</v>
      </c>
      <c r="B50" s="380"/>
      <c r="C50" s="380"/>
      <c r="D50" s="380"/>
      <c r="E50" s="380"/>
      <c r="F50" s="380"/>
    </row>
    <row r="51" ht="15">
      <c r="A51" s="373" t="s">
        <v>470</v>
      </c>
    </row>
    <row r="52" ht="15">
      <c r="A52" s="373" t="s">
        <v>471</v>
      </c>
    </row>
    <row r="53" ht="15">
      <c r="A53" s="373" t="s">
        <v>472</v>
      </c>
    </row>
    <row r="55" ht="15">
      <c r="A55" s="380" t="s">
        <v>473</v>
      </c>
    </row>
    <row r="56" ht="15">
      <c r="A56" s="380" t="s">
        <v>474</v>
      </c>
    </row>
    <row r="57" ht="15">
      <c r="A57" s="380" t="s">
        <v>475</v>
      </c>
    </row>
    <row r="58" ht="15">
      <c r="A58" s="380" t="s">
        <v>476</v>
      </c>
    </row>
    <row r="59" ht="15">
      <c r="A59" s="380" t="s">
        <v>477</v>
      </c>
    </row>
    <row r="60" ht="15">
      <c r="A60" s="380" t="s">
        <v>478</v>
      </c>
    </row>
    <row r="62" ht="15">
      <c r="A62" s="380" t="s">
        <v>386</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479</v>
      </c>
      <c r="B3" s="379"/>
      <c r="C3" s="379"/>
      <c r="D3" s="379"/>
      <c r="E3" s="379"/>
      <c r="F3" s="379"/>
      <c r="G3" s="379"/>
    </row>
    <row r="4" spans="1:7" ht="15">
      <c r="A4" s="379"/>
      <c r="B4" s="379"/>
      <c r="C4" s="379"/>
      <c r="D4" s="379"/>
      <c r="E4" s="379"/>
      <c r="F4" s="379"/>
      <c r="G4" s="379"/>
    </row>
    <row r="5" ht="15">
      <c r="A5" s="380" t="s">
        <v>388</v>
      </c>
    </row>
    <row r="6" ht="15">
      <c r="A6" s="380" t="str">
        <f>CONCATENATE(inputPrYr!D6-1," estimated expenditures show that at the end of this year")</f>
        <v>2011 estimated expenditures show that at the end of this year</v>
      </c>
    </row>
    <row r="7" ht="15">
      <c r="A7" s="380" t="s">
        <v>480</v>
      </c>
    </row>
    <row r="8" ht="15">
      <c r="A8" s="380" t="s">
        <v>481</v>
      </c>
    </row>
    <row r="10" ht="15">
      <c r="A10" t="s">
        <v>390</v>
      </c>
    </row>
    <row r="11" ht="15">
      <c r="A11" t="s">
        <v>391</v>
      </c>
    </row>
    <row r="12" ht="15">
      <c r="A12" t="s">
        <v>392</v>
      </c>
    </row>
    <row r="13" spans="1:7" ht="15">
      <c r="A13" s="379"/>
      <c r="B13" s="379"/>
      <c r="C13" s="379"/>
      <c r="D13" s="379"/>
      <c r="E13" s="379"/>
      <c r="F13" s="379"/>
      <c r="G13" s="379"/>
    </row>
    <row r="14" ht="15">
      <c r="A14" s="381" t="s">
        <v>482</v>
      </c>
    </row>
    <row r="15" ht="15">
      <c r="A15" s="380"/>
    </row>
    <row r="16" ht="15">
      <c r="A16" s="380" t="s">
        <v>483</v>
      </c>
    </row>
    <row r="17" ht="15">
      <c r="A17" s="380" t="s">
        <v>484</v>
      </c>
    </row>
    <row r="18" ht="15">
      <c r="A18" s="380" t="s">
        <v>485</v>
      </c>
    </row>
    <row r="19" ht="15">
      <c r="A19" s="380"/>
    </row>
    <row r="20" ht="15">
      <c r="A20" s="380" t="s">
        <v>486</v>
      </c>
    </row>
    <row r="21" ht="15">
      <c r="A21" s="380" t="s">
        <v>487</v>
      </c>
    </row>
    <row r="22" ht="15">
      <c r="A22" s="380" t="s">
        <v>488</v>
      </c>
    </row>
    <row r="23" ht="15">
      <c r="A23" s="380" t="s">
        <v>489</v>
      </c>
    </row>
    <row r="24" ht="15">
      <c r="A24" s="380"/>
    </row>
    <row r="25" ht="15">
      <c r="A25" s="381" t="s">
        <v>454</v>
      </c>
    </row>
    <row r="26" ht="15">
      <c r="A26" s="381"/>
    </row>
    <row r="27" ht="15">
      <c r="A27" s="380" t="s">
        <v>455</v>
      </c>
    </row>
    <row r="28" spans="1:6" ht="15">
      <c r="A28" s="380" t="s">
        <v>456</v>
      </c>
      <c r="B28" s="380"/>
      <c r="C28" s="380"/>
      <c r="D28" s="380"/>
      <c r="E28" s="380"/>
      <c r="F28" s="380"/>
    </row>
    <row r="29" spans="1:6" ht="15">
      <c r="A29" s="380" t="s">
        <v>457</v>
      </c>
      <c r="B29" s="380"/>
      <c r="C29" s="380"/>
      <c r="D29" s="380"/>
      <c r="E29" s="380"/>
      <c r="F29" s="380"/>
    </row>
    <row r="30" spans="1:6" ht="15">
      <c r="A30" s="380" t="s">
        <v>458</v>
      </c>
      <c r="B30" s="380"/>
      <c r="C30" s="380"/>
      <c r="D30" s="380"/>
      <c r="E30" s="380"/>
      <c r="F30" s="380"/>
    </row>
    <row r="31" ht="15">
      <c r="A31" s="380"/>
    </row>
    <row r="32" spans="1:7" ht="15">
      <c r="A32" s="381" t="s">
        <v>459</v>
      </c>
      <c r="B32" s="381"/>
      <c r="C32" s="381"/>
      <c r="D32" s="381"/>
      <c r="E32" s="381"/>
      <c r="F32" s="381"/>
      <c r="G32" s="381"/>
    </row>
    <row r="33" spans="1:7" ht="15">
      <c r="A33" s="381" t="s">
        <v>460</v>
      </c>
      <c r="B33" s="381"/>
      <c r="C33" s="381"/>
      <c r="D33" s="381"/>
      <c r="E33" s="381"/>
      <c r="F33" s="381"/>
      <c r="G33" s="381"/>
    </row>
    <row r="34" spans="1:7" ht="15">
      <c r="A34" s="381"/>
      <c r="B34" s="381"/>
      <c r="C34" s="381"/>
      <c r="D34" s="381"/>
      <c r="E34" s="381"/>
      <c r="F34" s="381"/>
      <c r="G34" s="381"/>
    </row>
    <row r="35" spans="1:7" ht="15">
      <c r="A35" s="380" t="s">
        <v>490</v>
      </c>
      <c r="B35" s="380"/>
      <c r="C35" s="380"/>
      <c r="D35" s="380"/>
      <c r="E35" s="380"/>
      <c r="F35" s="380"/>
      <c r="G35" s="380"/>
    </row>
    <row r="36" spans="1:7" ht="15">
      <c r="A36" s="380" t="s">
        <v>491</v>
      </c>
      <c r="B36" s="380"/>
      <c r="C36" s="380"/>
      <c r="D36" s="380"/>
      <c r="E36" s="380"/>
      <c r="F36" s="380"/>
      <c r="G36" s="380"/>
    </row>
    <row r="37" spans="1:7" ht="15">
      <c r="A37" s="380" t="s">
        <v>492</v>
      </c>
      <c r="B37" s="380"/>
      <c r="C37" s="380"/>
      <c r="D37" s="380"/>
      <c r="E37" s="380"/>
      <c r="F37" s="380"/>
      <c r="G37" s="380"/>
    </row>
    <row r="38" spans="1:7" ht="15">
      <c r="A38" s="380" t="s">
        <v>493</v>
      </c>
      <c r="B38" s="380"/>
      <c r="C38" s="380"/>
      <c r="D38" s="380"/>
      <c r="E38" s="380"/>
      <c r="F38" s="380"/>
      <c r="G38" s="380"/>
    </row>
    <row r="39" spans="1:7" ht="15">
      <c r="A39" s="380" t="s">
        <v>494</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461</v>
      </c>
      <c r="B42" s="380"/>
      <c r="C42" s="380"/>
      <c r="D42" s="380"/>
      <c r="E42" s="380"/>
      <c r="F42" s="380"/>
    </row>
    <row r="43" spans="1:6" ht="15">
      <c r="A43" s="372" t="s">
        <v>353</v>
      </c>
      <c r="B43" s="380"/>
      <c r="C43" s="380"/>
      <c r="D43" s="380"/>
      <c r="E43" s="380"/>
      <c r="F43" s="380"/>
    </row>
    <row r="44" spans="1:6" ht="15">
      <c r="A44" s="372" t="s">
        <v>354</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355</v>
      </c>
      <c r="B47" s="380"/>
      <c r="C47" s="380"/>
      <c r="D47" s="380"/>
      <c r="E47" s="380"/>
      <c r="F47" s="380"/>
    </row>
    <row r="48" spans="1:6" ht="15">
      <c r="A48" s="372" t="s">
        <v>356</v>
      </c>
      <c r="B48" s="380"/>
      <c r="C48" s="380"/>
      <c r="D48" s="380"/>
      <c r="E48" s="380"/>
      <c r="F48" s="380"/>
    </row>
    <row r="49" spans="1:7" ht="15">
      <c r="A49" s="380"/>
      <c r="B49" s="380"/>
      <c r="C49" s="380"/>
      <c r="D49" s="380"/>
      <c r="E49" s="380"/>
      <c r="F49" s="380"/>
      <c r="G49" s="380"/>
    </row>
    <row r="50" spans="1:7" ht="15">
      <c r="A50" s="380" t="s">
        <v>415</v>
      </c>
      <c r="B50" s="380"/>
      <c r="C50" s="380"/>
      <c r="D50" s="380"/>
      <c r="E50" s="380"/>
      <c r="F50" s="380"/>
      <c r="G50" s="380"/>
    </row>
    <row r="51" spans="1:7" ht="15">
      <c r="A51" s="380" t="s">
        <v>416</v>
      </c>
      <c r="B51" s="380"/>
      <c r="C51" s="380"/>
      <c r="D51" s="380"/>
      <c r="E51" s="380"/>
      <c r="F51" s="380"/>
      <c r="G51" s="380"/>
    </row>
    <row r="52" spans="1:7" ht="15">
      <c r="A52" s="380" t="s">
        <v>417</v>
      </c>
      <c r="B52" s="380"/>
      <c r="C52" s="380"/>
      <c r="D52" s="380"/>
      <c r="E52" s="380"/>
      <c r="F52" s="380"/>
      <c r="G52" s="380"/>
    </row>
    <row r="53" spans="1:7" ht="15">
      <c r="A53" s="380" t="s">
        <v>418</v>
      </c>
      <c r="B53" s="380"/>
      <c r="C53" s="380"/>
      <c r="D53" s="380"/>
      <c r="E53" s="380"/>
      <c r="F53" s="380"/>
      <c r="G53" s="380"/>
    </row>
    <row r="54" spans="1:7" ht="15">
      <c r="A54" s="380" t="s">
        <v>419</v>
      </c>
      <c r="B54" s="380"/>
      <c r="C54" s="380"/>
      <c r="D54" s="380"/>
      <c r="E54" s="380"/>
      <c r="F54" s="380"/>
      <c r="G54" s="380"/>
    </row>
    <row r="55" spans="1:7" ht="15">
      <c r="A55" s="380"/>
      <c r="B55" s="380"/>
      <c r="C55" s="380"/>
      <c r="D55" s="380"/>
      <c r="E55" s="380"/>
      <c r="F55" s="380"/>
      <c r="G55" s="380"/>
    </row>
    <row r="56" spans="1:6" ht="15">
      <c r="A56" s="372" t="s">
        <v>357</v>
      </c>
      <c r="B56" s="380"/>
      <c r="C56" s="380"/>
      <c r="D56" s="380"/>
      <c r="E56" s="380"/>
      <c r="F56" s="380"/>
    </row>
    <row r="57" spans="1:6" ht="15">
      <c r="A57" s="372" t="s">
        <v>358</v>
      </c>
      <c r="B57" s="380"/>
      <c r="C57" s="380"/>
      <c r="D57" s="380"/>
      <c r="E57" s="380"/>
      <c r="F57" s="380"/>
    </row>
    <row r="58" spans="1:6" ht="15">
      <c r="A58" s="372" t="s">
        <v>359</v>
      </c>
      <c r="B58" s="380"/>
      <c r="C58" s="380"/>
      <c r="D58" s="380"/>
      <c r="E58" s="380"/>
      <c r="F58" s="380"/>
    </row>
    <row r="59" spans="1:6" ht="15">
      <c r="A59" s="372"/>
      <c r="B59" s="380"/>
      <c r="C59" s="380"/>
      <c r="D59" s="380"/>
      <c r="E59" s="380"/>
      <c r="F59" s="380"/>
    </row>
    <row r="60" spans="1:7" ht="15">
      <c r="A60" s="380" t="s">
        <v>495</v>
      </c>
      <c r="B60" s="380"/>
      <c r="C60" s="380"/>
      <c r="D60" s="380"/>
      <c r="E60" s="380"/>
      <c r="F60" s="380"/>
      <c r="G60" s="380"/>
    </row>
    <row r="61" spans="1:7" ht="15">
      <c r="A61" s="380" t="s">
        <v>496</v>
      </c>
      <c r="B61" s="380"/>
      <c r="C61" s="380"/>
      <c r="D61" s="380"/>
      <c r="E61" s="380"/>
      <c r="F61" s="380"/>
      <c r="G61" s="380"/>
    </row>
    <row r="62" spans="1:7" ht="15">
      <c r="A62" s="380" t="s">
        <v>497</v>
      </c>
      <c r="B62" s="380"/>
      <c r="C62" s="380"/>
      <c r="D62" s="380"/>
      <c r="E62" s="380"/>
      <c r="F62" s="380"/>
      <c r="G62" s="380"/>
    </row>
    <row r="63" spans="1:7" ht="15">
      <c r="A63" s="380" t="s">
        <v>498</v>
      </c>
      <c r="B63" s="380"/>
      <c r="C63" s="380"/>
      <c r="D63" s="380"/>
      <c r="E63" s="380"/>
      <c r="F63" s="380"/>
      <c r="G63" s="380"/>
    </row>
    <row r="64" spans="1:7" ht="15">
      <c r="A64" s="380" t="s">
        <v>499</v>
      </c>
      <c r="B64" s="380"/>
      <c r="C64" s="380"/>
      <c r="D64" s="380"/>
      <c r="E64" s="380"/>
      <c r="F64" s="380"/>
      <c r="G64" s="380"/>
    </row>
    <row r="66" spans="1:6" ht="15">
      <c r="A66" s="372" t="s">
        <v>462</v>
      </c>
      <c r="B66" s="380"/>
      <c r="C66" s="380"/>
      <c r="D66" s="380"/>
      <c r="E66" s="380"/>
      <c r="F66" s="380"/>
    </row>
    <row r="67" spans="1:6" ht="15">
      <c r="A67" s="372" t="s">
        <v>463</v>
      </c>
      <c r="B67" s="380"/>
      <c r="C67" s="380"/>
      <c r="D67" s="380"/>
      <c r="E67" s="380"/>
      <c r="F67" s="380"/>
    </row>
    <row r="68" spans="1:6" ht="15">
      <c r="A68" s="372" t="s">
        <v>464</v>
      </c>
      <c r="B68" s="380"/>
      <c r="C68" s="380"/>
      <c r="D68" s="380"/>
      <c r="E68" s="380"/>
      <c r="F68" s="380"/>
    </row>
    <row r="69" spans="1:6" ht="15">
      <c r="A69" s="372" t="s">
        <v>465</v>
      </c>
      <c r="B69" s="380"/>
      <c r="C69" s="380"/>
      <c r="D69" s="380"/>
      <c r="E69" s="380"/>
      <c r="F69" s="380"/>
    </row>
    <row r="70" spans="1:6" ht="15">
      <c r="A70" s="372" t="s">
        <v>466</v>
      </c>
      <c r="B70" s="380"/>
      <c r="C70" s="380"/>
      <c r="D70" s="380"/>
      <c r="E70" s="380"/>
      <c r="F70" s="380"/>
    </row>
    <row r="71" ht="15">
      <c r="A71" s="380"/>
    </row>
    <row r="72" ht="15">
      <c r="A72" s="380" t="s">
        <v>386</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500</v>
      </c>
      <c r="B3" s="379"/>
      <c r="C3" s="379"/>
      <c r="D3" s="379"/>
      <c r="E3" s="379"/>
      <c r="F3" s="379"/>
      <c r="G3" s="379"/>
    </row>
    <row r="4" spans="1:7" ht="15">
      <c r="A4" s="379" t="s">
        <v>501</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339</v>
      </c>
    </row>
    <row r="8" ht="15">
      <c r="A8" s="380" t="str">
        <f>CONCATENATE("estimated ",inputPrYr!D6," 'total expenditures' exceed your ",inputPrYr!D6,"")</f>
        <v>estimated 2012 'total expenditures' exceed your 2012</v>
      </c>
    </row>
    <row r="9" ht="15">
      <c r="A9" s="383" t="s">
        <v>502</v>
      </c>
    </row>
    <row r="10" ht="15">
      <c r="A10" s="380"/>
    </row>
    <row r="11" ht="15">
      <c r="A11" s="380" t="s">
        <v>503</v>
      </c>
    </row>
    <row r="12" ht="15">
      <c r="A12" s="380" t="s">
        <v>504</v>
      </c>
    </row>
    <row r="13" ht="15">
      <c r="A13" s="380" t="s">
        <v>505</v>
      </c>
    </row>
    <row r="14" ht="15">
      <c r="A14" s="380"/>
    </row>
    <row r="15" ht="15">
      <c r="A15" s="381" t="s">
        <v>506</v>
      </c>
    </row>
    <row r="16" spans="1:7" ht="15">
      <c r="A16" s="379"/>
      <c r="B16" s="379"/>
      <c r="C16" s="379"/>
      <c r="D16" s="379"/>
      <c r="E16" s="379"/>
      <c r="F16" s="379"/>
      <c r="G16" s="379"/>
    </row>
    <row r="17" spans="1:8" ht="15">
      <c r="A17" s="384" t="s">
        <v>507</v>
      </c>
      <c r="B17" s="376"/>
      <c r="C17" s="376"/>
      <c r="D17" s="376"/>
      <c r="E17" s="376"/>
      <c r="F17" s="376"/>
      <c r="G17" s="376"/>
      <c r="H17" s="376"/>
    </row>
    <row r="18" spans="1:7" ht="15">
      <c r="A18" s="380" t="s">
        <v>508</v>
      </c>
      <c r="B18" s="385"/>
      <c r="C18" s="385"/>
      <c r="D18" s="385"/>
      <c r="E18" s="385"/>
      <c r="F18" s="385"/>
      <c r="G18" s="385"/>
    </row>
    <row r="19" ht="15">
      <c r="A19" s="380" t="s">
        <v>509</v>
      </c>
    </row>
    <row r="20" ht="15">
      <c r="A20" s="380" t="s">
        <v>510</v>
      </c>
    </row>
    <row r="22" ht="15">
      <c r="A22" s="381" t="s">
        <v>511</v>
      </c>
    </row>
    <row r="24" ht="15">
      <c r="A24" s="380" t="s">
        <v>512</v>
      </c>
    </row>
    <row r="25" ht="15">
      <c r="A25" s="380" t="s">
        <v>513</v>
      </c>
    </row>
    <row r="26" ht="15">
      <c r="A26" s="380" t="s">
        <v>514</v>
      </c>
    </row>
    <row r="28" ht="15">
      <c r="A28" s="381" t="s">
        <v>515</v>
      </c>
    </row>
    <row r="30" ht="15">
      <c r="A30" t="s">
        <v>516</v>
      </c>
    </row>
    <row r="31" ht="15">
      <c r="A31" t="s">
        <v>517</v>
      </c>
    </row>
    <row r="32" ht="15">
      <c r="A32" t="s">
        <v>518</v>
      </c>
    </row>
    <row r="33" ht="15">
      <c r="A33" s="380" t="s">
        <v>519</v>
      </c>
    </row>
    <row r="35" ht="15">
      <c r="A35" t="s">
        <v>520</v>
      </c>
    </row>
    <row r="36" ht="15">
      <c r="A36" t="s">
        <v>521</v>
      </c>
    </row>
    <row r="37" ht="15">
      <c r="A37" t="s">
        <v>522</v>
      </c>
    </row>
    <row r="38" ht="15">
      <c r="A38" t="s">
        <v>523</v>
      </c>
    </row>
    <row r="40" ht="15">
      <c r="A40" t="s">
        <v>524</v>
      </c>
    </row>
    <row r="41" ht="15">
      <c r="A41" t="s">
        <v>525</v>
      </c>
    </row>
    <row r="42" ht="15">
      <c r="A42" t="s">
        <v>526</v>
      </c>
    </row>
    <row r="43" ht="15">
      <c r="A43" t="s">
        <v>527</v>
      </c>
    </row>
    <row r="44" ht="15">
      <c r="A44" t="s">
        <v>528</v>
      </c>
    </row>
    <row r="45" ht="15">
      <c r="A45" t="s">
        <v>529</v>
      </c>
    </row>
    <row r="47" ht="15">
      <c r="A47" t="s">
        <v>530</v>
      </c>
    </row>
    <row r="48" ht="15">
      <c r="A48" t="s">
        <v>531</v>
      </c>
    </row>
    <row r="49" ht="15">
      <c r="A49" s="380" t="s">
        <v>532</v>
      </c>
    </row>
    <row r="50" ht="15">
      <c r="A50" s="380" t="s">
        <v>533</v>
      </c>
    </row>
    <row r="52" ht="15">
      <c r="A52" t="s">
        <v>386</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63" t="s">
        <v>578</v>
      </c>
      <c r="C6" s="664"/>
      <c r="D6" s="664"/>
      <c r="E6" s="664"/>
      <c r="F6" s="664"/>
      <c r="G6" s="664"/>
      <c r="H6" s="664"/>
      <c r="I6" s="664"/>
      <c r="J6" s="664"/>
      <c r="K6" s="664"/>
      <c r="L6" s="436"/>
    </row>
    <row r="7" spans="1:12" ht="40.5" customHeight="1">
      <c r="A7" s="433"/>
      <c r="B7" s="665" t="s">
        <v>579</v>
      </c>
      <c r="C7" s="666"/>
      <c r="D7" s="666"/>
      <c r="E7" s="666"/>
      <c r="F7" s="666"/>
      <c r="G7" s="666"/>
      <c r="H7" s="666"/>
      <c r="I7" s="666"/>
      <c r="J7" s="666"/>
      <c r="K7" s="666"/>
      <c r="L7" s="433"/>
    </row>
    <row r="8" spans="1:12" ht="14.25">
      <c r="A8" s="433"/>
      <c r="B8" s="667" t="s">
        <v>580</v>
      </c>
      <c r="C8" s="667"/>
      <c r="D8" s="667"/>
      <c r="E8" s="667"/>
      <c r="F8" s="667"/>
      <c r="G8" s="667"/>
      <c r="H8" s="667"/>
      <c r="I8" s="667"/>
      <c r="J8" s="667"/>
      <c r="K8" s="667"/>
      <c r="L8" s="433"/>
    </row>
    <row r="9" spans="1:12" ht="14.25">
      <c r="A9" s="433"/>
      <c r="L9" s="433"/>
    </row>
    <row r="10" spans="1:12" ht="14.25">
      <c r="A10" s="433"/>
      <c r="B10" s="667" t="s">
        <v>581</v>
      </c>
      <c r="C10" s="667"/>
      <c r="D10" s="667"/>
      <c r="E10" s="667"/>
      <c r="F10" s="667"/>
      <c r="G10" s="667"/>
      <c r="H10" s="667"/>
      <c r="I10" s="667"/>
      <c r="J10" s="667"/>
      <c r="K10" s="667"/>
      <c r="L10" s="433"/>
    </row>
    <row r="11" spans="1:12" ht="14.25">
      <c r="A11" s="433"/>
      <c r="B11" s="437"/>
      <c r="C11" s="437"/>
      <c r="D11" s="437"/>
      <c r="E11" s="437"/>
      <c r="F11" s="437"/>
      <c r="G11" s="437"/>
      <c r="H11" s="437"/>
      <c r="I11" s="437"/>
      <c r="J11" s="437"/>
      <c r="K11" s="437"/>
      <c r="L11" s="433"/>
    </row>
    <row r="12" spans="1:12" ht="32.25" customHeight="1">
      <c r="A12" s="433"/>
      <c r="B12" s="668" t="s">
        <v>582</v>
      </c>
      <c r="C12" s="668"/>
      <c r="D12" s="668"/>
      <c r="E12" s="668"/>
      <c r="F12" s="668"/>
      <c r="G12" s="668"/>
      <c r="H12" s="668"/>
      <c r="I12" s="668"/>
      <c r="J12" s="668"/>
      <c r="K12" s="668"/>
      <c r="L12" s="433"/>
    </row>
    <row r="13" spans="1:12" ht="14.25">
      <c r="A13" s="433"/>
      <c r="L13" s="433"/>
    </row>
    <row r="14" spans="1:12" ht="14.25">
      <c r="A14" s="433"/>
      <c r="B14" s="438" t="s">
        <v>583</v>
      </c>
      <c r="L14" s="433"/>
    </row>
    <row r="15" spans="1:12" ht="14.25">
      <c r="A15" s="433"/>
      <c r="L15" s="433"/>
    </row>
    <row r="16" spans="1:12" ht="14.25">
      <c r="A16" s="433"/>
      <c r="B16" s="435" t="s">
        <v>584</v>
      </c>
      <c r="L16" s="433"/>
    </row>
    <row r="17" spans="1:12" ht="14.25">
      <c r="A17" s="433"/>
      <c r="B17" s="435" t="s">
        <v>585</v>
      </c>
      <c r="L17" s="433"/>
    </row>
    <row r="18" spans="1:12" ht="14.25">
      <c r="A18" s="433"/>
      <c r="L18" s="433"/>
    </row>
    <row r="19" spans="1:12" ht="14.25">
      <c r="A19" s="433"/>
      <c r="B19" s="438" t="s">
        <v>586</v>
      </c>
      <c r="L19" s="433"/>
    </row>
    <row r="20" spans="1:12" ht="14.25">
      <c r="A20" s="433"/>
      <c r="B20" s="438"/>
      <c r="L20" s="433"/>
    </row>
    <row r="21" spans="1:12" ht="14.25">
      <c r="A21" s="433"/>
      <c r="B21" s="435" t="s">
        <v>587</v>
      </c>
      <c r="L21" s="433"/>
    </row>
    <row r="22" spans="1:12" ht="14.25">
      <c r="A22" s="433"/>
      <c r="L22" s="433"/>
    </row>
    <row r="23" spans="1:12" ht="14.25">
      <c r="A23" s="433"/>
      <c r="B23" s="435" t="s">
        <v>588</v>
      </c>
      <c r="E23" s="435" t="s">
        <v>589</v>
      </c>
      <c r="F23" s="669">
        <v>133685008</v>
      </c>
      <c r="G23" s="669"/>
      <c r="L23" s="433"/>
    </row>
    <row r="24" spans="1:12" ht="14.25">
      <c r="A24" s="433"/>
      <c r="L24" s="433"/>
    </row>
    <row r="25" spans="1:12" ht="14.25">
      <c r="A25" s="433"/>
      <c r="C25" s="670">
        <f>F23</f>
        <v>133685008</v>
      </c>
      <c r="D25" s="670"/>
      <c r="E25" s="435" t="s">
        <v>590</v>
      </c>
      <c r="F25" s="439">
        <v>1000</v>
      </c>
      <c r="G25" s="439" t="s">
        <v>589</v>
      </c>
      <c r="H25" s="440">
        <f>F23/F25</f>
        <v>133685.008</v>
      </c>
      <c r="L25" s="433"/>
    </row>
    <row r="26" spans="1:12" ht="15" thickBot="1">
      <c r="A26" s="433"/>
      <c r="L26" s="433"/>
    </row>
    <row r="27" spans="1:12" ht="14.25">
      <c r="A27" s="433"/>
      <c r="B27" s="441" t="s">
        <v>583</v>
      </c>
      <c r="C27" s="442"/>
      <c r="D27" s="442"/>
      <c r="E27" s="442"/>
      <c r="F27" s="442"/>
      <c r="G27" s="442"/>
      <c r="H27" s="442"/>
      <c r="I27" s="442"/>
      <c r="J27" s="442"/>
      <c r="K27" s="443"/>
      <c r="L27" s="433"/>
    </row>
    <row r="28" spans="1:12" ht="14.25">
      <c r="A28" s="433"/>
      <c r="B28" s="444">
        <f>F23</f>
        <v>133685008</v>
      </c>
      <c r="C28" s="445" t="s">
        <v>591</v>
      </c>
      <c r="D28" s="445"/>
      <c r="E28" s="445" t="s">
        <v>590</v>
      </c>
      <c r="F28" s="446">
        <v>1000</v>
      </c>
      <c r="G28" s="446" t="s">
        <v>589</v>
      </c>
      <c r="H28" s="447">
        <f>B28/F28</f>
        <v>133685.008</v>
      </c>
      <c r="I28" s="445" t="s">
        <v>592</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1" t="s">
        <v>579</v>
      </c>
      <c r="C30" s="671"/>
      <c r="D30" s="671"/>
      <c r="E30" s="671"/>
      <c r="F30" s="671"/>
      <c r="G30" s="671"/>
      <c r="H30" s="671"/>
      <c r="I30" s="671"/>
      <c r="J30" s="671"/>
      <c r="K30" s="671"/>
      <c r="L30" s="433"/>
    </row>
    <row r="31" spans="1:12" ht="14.25">
      <c r="A31" s="433"/>
      <c r="B31" s="667" t="s">
        <v>593</v>
      </c>
      <c r="C31" s="667"/>
      <c r="D31" s="667"/>
      <c r="E31" s="667"/>
      <c r="F31" s="667"/>
      <c r="G31" s="667"/>
      <c r="H31" s="667"/>
      <c r="I31" s="667"/>
      <c r="J31" s="667"/>
      <c r="K31" s="667"/>
      <c r="L31" s="433"/>
    </row>
    <row r="32" spans="1:12" ht="14.25">
      <c r="A32" s="433"/>
      <c r="L32" s="433"/>
    </row>
    <row r="33" spans="1:12" ht="14.25">
      <c r="A33" s="433"/>
      <c r="B33" s="667" t="s">
        <v>594</v>
      </c>
      <c r="C33" s="667"/>
      <c r="D33" s="667"/>
      <c r="E33" s="667"/>
      <c r="F33" s="667"/>
      <c r="G33" s="667"/>
      <c r="H33" s="667"/>
      <c r="I33" s="667"/>
      <c r="J33" s="667"/>
      <c r="K33" s="667"/>
      <c r="L33" s="433"/>
    </row>
    <row r="34" spans="1:12" ht="14.25">
      <c r="A34" s="433"/>
      <c r="L34" s="433"/>
    </row>
    <row r="35" spans="1:12" ht="89.25" customHeight="1">
      <c r="A35" s="433"/>
      <c r="B35" s="668" t="s">
        <v>595</v>
      </c>
      <c r="C35" s="672"/>
      <c r="D35" s="672"/>
      <c r="E35" s="672"/>
      <c r="F35" s="672"/>
      <c r="G35" s="672"/>
      <c r="H35" s="672"/>
      <c r="I35" s="672"/>
      <c r="J35" s="672"/>
      <c r="K35" s="672"/>
      <c r="L35" s="433"/>
    </row>
    <row r="36" spans="1:12" ht="14.25">
      <c r="A36" s="433"/>
      <c r="L36" s="433"/>
    </row>
    <row r="37" spans="1:12" ht="14.25">
      <c r="A37" s="433"/>
      <c r="B37" s="438" t="s">
        <v>596</v>
      </c>
      <c r="L37" s="433"/>
    </row>
    <row r="38" spans="1:12" ht="14.25">
      <c r="A38" s="433"/>
      <c r="L38" s="433"/>
    </row>
    <row r="39" spans="1:12" ht="14.25">
      <c r="A39" s="433"/>
      <c r="B39" s="435" t="s">
        <v>597</v>
      </c>
      <c r="L39" s="433"/>
    </row>
    <row r="40" spans="1:12" ht="14.25">
      <c r="A40" s="433"/>
      <c r="L40" s="433"/>
    </row>
    <row r="41" spans="1:12" ht="14.25">
      <c r="A41" s="433"/>
      <c r="C41" s="673">
        <v>3120000</v>
      </c>
      <c r="D41" s="673"/>
      <c r="E41" s="435" t="s">
        <v>590</v>
      </c>
      <c r="F41" s="439">
        <v>1000</v>
      </c>
      <c r="G41" s="439" t="s">
        <v>589</v>
      </c>
      <c r="H41" s="452">
        <f>C41/F41</f>
        <v>3120</v>
      </c>
      <c r="L41" s="433"/>
    </row>
    <row r="42" spans="1:12" ht="14.25">
      <c r="A42" s="433"/>
      <c r="L42" s="433"/>
    </row>
    <row r="43" spans="1:12" ht="14.25">
      <c r="A43" s="433"/>
      <c r="B43" s="435" t="s">
        <v>598</v>
      </c>
      <c r="L43" s="433"/>
    </row>
    <row r="44" spans="1:12" ht="14.25">
      <c r="A44" s="433"/>
      <c r="L44" s="433"/>
    </row>
    <row r="45" spans="1:12" ht="14.25">
      <c r="A45" s="433"/>
      <c r="B45" s="435" t="s">
        <v>599</v>
      </c>
      <c r="L45" s="433"/>
    </row>
    <row r="46" spans="1:12" ht="15" thickBot="1">
      <c r="A46" s="433"/>
      <c r="L46" s="433"/>
    </row>
    <row r="47" spans="1:12" ht="14.25">
      <c r="A47" s="433"/>
      <c r="B47" s="453" t="s">
        <v>583</v>
      </c>
      <c r="C47" s="442"/>
      <c r="D47" s="442"/>
      <c r="E47" s="442"/>
      <c r="F47" s="442"/>
      <c r="G47" s="442"/>
      <c r="H47" s="442"/>
      <c r="I47" s="442"/>
      <c r="J47" s="442"/>
      <c r="K47" s="443"/>
      <c r="L47" s="433"/>
    </row>
    <row r="48" spans="1:12" ht="14.25">
      <c r="A48" s="433"/>
      <c r="B48" s="669">
        <v>133685008</v>
      </c>
      <c r="C48" s="669"/>
      <c r="D48" s="445" t="s">
        <v>600</v>
      </c>
      <c r="E48" s="445" t="s">
        <v>590</v>
      </c>
      <c r="F48" s="446">
        <v>1000</v>
      </c>
      <c r="G48" s="446" t="s">
        <v>589</v>
      </c>
      <c r="H48" s="447">
        <f>B48/F48</f>
        <v>133685.008</v>
      </c>
      <c r="I48" s="445" t="s">
        <v>601</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602</v>
      </c>
      <c r="D50" s="445"/>
      <c r="E50" s="445" t="s">
        <v>590</v>
      </c>
      <c r="F50" s="447">
        <f>H48</f>
        <v>133685.008</v>
      </c>
      <c r="G50" s="674" t="s">
        <v>603</v>
      </c>
      <c r="H50" s="675"/>
      <c r="I50" s="446" t="s">
        <v>589</v>
      </c>
      <c r="J50" s="456">
        <f>B50/F50</f>
        <v>52.8690023342034</v>
      </c>
      <c r="K50" s="448"/>
      <c r="L50" s="433"/>
    </row>
    <row r="51" spans="1:15" ht="15" thickBot="1">
      <c r="A51" s="433"/>
      <c r="B51" s="449"/>
      <c r="C51" s="450"/>
      <c r="D51" s="450"/>
      <c r="E51" s="450"/>
      <c r="F51" s="450"/>
      <c r="G51" s="450"/>
      <c r="H51" s="450"/>
      <c r="I51" s="676" t="s">
        <v>604</v>
      </c>
      <c r="J51" s="676"/>
      <c r="K51" s="677"/>
      <c r="L51" s="433"/>
      <c r="O51" s="457"/>
    </row>
    <row r="52" spans="1:12" ht="40.5" customHeight="1">
      <c r="A52" s="433"/>
      <c r="B52" s="671" t="s">
        <v>579</v>
      </c>
      <c r="C52" s="671"/>
      <c r="D52" s="671"/>
      <c r="E52" s="671"/>
      <c r="F52" s="671"/>
      <c r="G52" s="671"/>
      <c r="H52" s="671"/>
      <c r="I52" s="671"/>
      <c r="J52" s="671"/>
      <c r="K52" s="671"/>
      <c r="L52" s="433"/>
    </row>
    <row r="53" spans="1:12" ht="14.25">
      <c r="A53" s="433"/>
      <c r="B53" s="667" t="s">
        <v>605</v>
      </c>
      <c r="C53" s="667"/>
      <c r="D53" s="667"/>
      <c r="E53" s="667"/>
      <c r="F53" s="667"/>
      <c r="G53" s="667"/>
      <c r="H53" s="667"/>
      <c r="I53" s="667"/>
      <c r="J53" s="667"/>
      <c r="K53" s="667"/>
      <c r="L53" s="433"/>
    </row>
    <row r="54" spans="1:12" ht="14.25">
      <c r="A54" s="433"/>
      <c r="B54" s="437"/>
      <c r="C54" s="437"/>
      <c r="D54" s="437"/>
      <c r="E54" s="437"/>
      <c r="F54" s="437"/>
      <c r="G54" s="437"/>
      <c r="H54" s="437"/>
      <c r="I54" s="437"/>
      <c r="J54" s="437"/>
      <c r="K54" s="437"/>
      <c r="L54" s="433"/>
    </row>
    <row r="55" spans="1:12" ht="14.25">
      <c r="A55" s="433"/>
      <c r="B55" s="663" t="s">
        <v>606</v>
      </c>
      <c r="C55" s="663"/>
      <c r="D55" s="663"/>
      <c r="E55" s="663"/>
      <c r="F55" s="663"/>
      <c r="G55" s="663"/>
      <c r="H55" s="663"/>
      <c r="I55" s="663"/>
      <c r="J55" s="663"/>
      <c r="K55" s="663"/>
      <c r="L55" s="433"/>
    </row>
    <row r="56" spans="1:12" ht="15" customHeight="1">
      <c r="A56" s="433"/>
      <c r="L56" s="433"/>
    </row>
    <row r="57" spans="1:24" ht="74.25" customHeight="1">
      <c r="A57" s="433"/>
      <c r="B57" s="668" t="s">
        <v>607</v>
      </c>
      <c r="C57" s="672"/>
      <c r="D57" s="672"/>
      <c r="E57" s="672"/>
      <c r="F57" s="672"/>
      <c r="G57" s="672"/>
      <c r="H57" s="672"/>
      <c r="I57" s="672"/>
      <c r="J57" s="672"/>
      <c r="K57" s="672"/>
      <c r="L57" s="433"/>
      <c r="M57" s="458"/>
      <c r="N57" s="459"/>
      <c r="O57" s="459"/>
      <c r="P57" s="459"/>
      <c r="Q57" s="459"/>
      <c r="R57" s="459"/>
      <c r="S57" s="459"/>
      <c r="T57" s="459"/>
      <c r="U57" s="459"/>
      <c r="V57" s="459"/>
      <c r="W57" s="459"/>
      <c r="X57" s="459"/>
    </row>
    <row r="58" spans="1:24" ht="15" customHeight="1">
      <c r="A58" s="433"/>
      <c r="B58" s="668"/>
      <c r="C58" s="672"/>
      <c r="D58" s="672"/>
      <c r="E58" s="672"/>
      <c r="F58" s="672"/>
      <c r="G58" s="672"/>
      <c r="H58" s="672"/>
      <c r="I58" s="672"/>
      <c r="J58" s="672"/>
      <c r="K58" s="672"/>
      <c r="L58" s="433"/>
      <c r="M58" s="458"/>
      <c r="N58" s="459"/>
      <c r="O58" s="459"/>
      <c r="P58" s="459"/>
      <c r="Q58" s="459"/>
      <c r="R58" s="459"/>
      <c r="S58" s="459"/>
      <c r="T58" s="459"/>
      <c r="U58" s="459"/>
      <c r="V58" s="459"/>
      <c r="W58" s="459"/>
      <c r="X58" s="459"/>
    </row>
    <row r="59" spans="1:24" ht="14.25">
      <c r="A59" s="433"/>
      <c r="B59" s="438" t="s">
        <v>596</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608</v>
      </c>
      <c r="L61" s="433"/>
      <c r="M61" s="459"/>
      <c r="N61" s="459"/>
      <c r="O61" s="459"/>
      <c r="P61" s="459"/>
      <c r="Q61" s="459"/>
      <c r="R61" s="459"/>
      <c r="S61" s="459"/>
      <c r="T61" s="459"/>
      <c r="U61" s="459"/>
      <c r="V61" s="459"/>
      <c r="W61" s="459"/>
      <c r="X61" s="459"/>
    </row>
    <row r="62" spans="1:24" ht="14.25">
      <c r="A62" s="433"/>
      <c r="B62" s="435" t="s">
        <v>609</v>
      </c>
      <c r="L62" s="433"/>
      <c r="M62" s="459"/>
      <c r="N62" s="459"/>
      <c r="O62" s="459"/>
      <c r="P62" s="459"/>
      <c r="Q62" s="459"/>
      <c r="R62" s="459"/>
      <c r="S62" s="459"/>
      <c r="T62" s="459"/>
      <c r="U62" s="459"/>
      <c r="V62" s="459"/>
      <c r="W62" s="459"/>
      <c r="X62" s="459"/>
    </row>
    <row r="63" spans="1:24" ht="14.25">
      <c r="A63" s="433"/>
      <c r="B63" s="435" t="s">
        <v>610</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611</v>
      </c>
      <c r="L65" s="433"/>
      <c r="M65" s="459"/>
      <c r="N65" s="459"/>
      <c r="O65" s="459"/>
      <c r="P65" s="459"/>
      <c r="Q65" s="459"/>
      <c r="R65" s="459"/>
      <c r="S65" s="459"/>
      <c r="T65" s="459"/>
      <c r="U65" s="459"/>
      <c r="V65" s="459"/>
      <c r="W65" s="459"/>
      <c r="X65" s="459"/>
    </row>
    <row r="66" spans="1:24" ht="14.25">
      <c r="A66" s="433"/>
      <c r="B66" s="435" t="s">
        <v>612</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613</v>
      </c>
      <c r="L68" s="433"/>
      <c r="M68" s="460"/>
      <c r="N68" s="461"/>
      <c r="O68" s="461"/>
      <c r="P68" s="461"/>
      <c r="Q68" s="461"/>
      <c r="R68" s="461"/>
      <c r="S68" s="461"/>
      <c r="T68" s="461"/>
      <c r="U68" s="461"/>
      <c r="V68" s="461"/>
      <c r="W68" s="461"/>
      <c r="X68" s="459"/>
    </row>
    <row r="69" spans="1:24" ht="14.25">
      <c r="A69" s="433"/>
      <c r="B69" s="435" t="s">
        <v>614</v>
      </c>
      <c r="L69" s="433"/>
      <c r="M69" s="459"/>
      <c r="N69" s="459"/>
      <c r="O69" s="459"/>
      <c r="P69" s="459"/>
      <c r="Q69" s="459"/>
      <c r="R69" s="459"/>
      <c r="S69" s="459"/>
      <c r="T69" s="459"/>
      <c r="U69" s="459"/>
      <c r="V69" s="459"/>
      <c r="W69" s="459"/>
      <c r="X69" s="459"/>
    </row>
    <row r="70" spans="1:24" ht="14.25">
      <c r="A70" s="433"/>
      <c r="B70" s="435" t="s">
        <v>615</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583</v>
      </c>
      <c r="C72" s="442"/>
      <c r="D72" s="442"/>
      <c r="E72" s="442"/>
      <c r="F72" s="442"/>
      <c r="G72" s="442"/>
      <c r="H72" s="442"/>
      <c r="I72" s="442"/>
      <c r="J72" s="442"/>
      <c r="K72" s="443"/>
      <c r="L72" s="462"/>
    </row>
    <row r="73" spans="1:12" ht="14.25">
      <c r="A73" s="433"/>
      <c r="B73" s="454"/>
      <c r="C73" s="445" t="s">
        <v>591</v>
      </c>
      <c r="D73" s="445"/>
      <c r="E73" s="445"/>
      <c r="F73" s="445"/>
      <c r="G73" s="445"/>
      <c r="H73" s="445"/>
      <c r="I73" s="445"/>
      <c r="J73" s="445"/>
      <c r="K73" s="448"/>
      <c r="L73" s="462"/>
    </row>
    <row r="74" spans="1:12" ht="14.25">
      <c r="A74" s="433"/>
      <c r="B74" s="454" t="s">
        <v>616</v>
      </c>
      <c r="C74" s="669">
        <v>133685008</v>
      </c>
      <c r="D74" s="669"/>
      <c r="E74" s="446" t="s">
        <v>590</v>
      </c>
      <c r="F74" s="446">
        <v>1000</v>
      </c>
      <c r="G74" s="446" t="s">
        <v>589</v>
      </c>
      <c r="H74" s="463">
        <f>C74/F74</f>
        <v>133685.008</v>
      </c>
      <c r="I74" s="445" t="s">
        <v>617</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618</v>
      </c>
      <c r="D76" s="445"/>
      <c r="E76" s="446"/>
      <c r="F76" s="445" t="s">
        <v>617</v>
      </c>
      <c r="G76" s="445"/>
      <c r="H76" s="445"/>
      <c r="I76" s="445"/>
      <c r="J76" s="445"/>
      <c r="K76" s="448"/>
      <c r="L76" s="462"/>
    </row>
    <row r="77" spans="1:12" ht="14.25">
      <c r="A77" s="433"/>
      <c r="B77" s="454" t="s">
        <v>619</v>
      </c>
      <c r="C77" s="669">
        <v>5000</v>
      </c>
      <c r="D77" s="669"/>
      <c r="E77" s="446" t="s">
        <v>590</v>
      </c>
      <c r="F77" s="463">
        <f>H74</f>
        <v>133685.008</v>
      </c>
      <c r="G77" s="446" t="s">
        <v>589</v>
      </c>
      <c r="H77" s="456">
        <f>C77/F77</f>
        <v>0.03740135169083432</v>
      </c>
      <c r="I77" s="445" t="s">
        <v>620</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621</v>
      </c>
      <c r="D79" s="465"/>
      <c r="E79" s="466"/>
      <c r="F79" s="465"/>
      <c r="G79" s="465"/>
      <c r="H79" s="465"/>
      <c r="I79" s="465"/>
      <c r="J79" s="465"/>
      <c r="K79" s="467"/>
      <c r="L79" s="462"/>
    </row>
    <row r="80" spans="1:12" ht="14.25">
      <c r="A80" s="433"/>
      <c r="B80" s="454" t="s">
        <v>622</v>
      </c>
      <c r="C80" s="669">
        <v>100000</v>
      </c>
      <c r="D80" s="669"/>
      <c r="E80" s="446" t="s">
        <v>28</v>
      </c>
      <c r="F80" s="446">
        <v>0.115</v>
      </c>
      <c r="G80" s="446" t="s">
        <v>589</v>
      </c>
      <c r="H80" s="463">
        <f>C80*F80</f>
        <v>11500</v>
      </c>
      <c r="I80" s="445" t="s">
        <v>623</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624</v>
      </c>
      <c r="D82" s="465"/>
      <c r="E82" s="466"/>
      <c r="F82" s="465" t="s">
        <v>620</v>
      </c>
      <c r="G82" s="465"/>
      <c r="H82" s="465"/>
      <c r="I82" s="465"/>
      <c r="J82" s="465" t="s">
        <v>625</v>
      </c>
      <c r="K82" s="467"/>
      <c r="L82" s="462"/>
    </row>
    <row r="83" spans="1:12" ht="14.25">
      <c r="A83" s="433"/>
      <c r="B83" s="454" t="s">
        <v>626</v>
      </c>
      <c r="C83" s="678">
        <f>H80</f>
        <v>11500</v>
      </c>
      <c r="D83" s="678"/>
      <c r="E83" s="446" t="s">
        <v>28</v>
      </c>
      <c r="F83" s="456">
        <f>H77</f>
        <v>0.03740135169083432</v>
      </c>
      <c r="G83" s="446" t="s">
        <v>590</v>
      </c>
      <c r="H83" s="446">
        <v>1000</v>
      </c>
      <c r="I83" s="446" t="s">
        <v>589</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1" t="s">
        <v>579</v>
      </c>
      <c r="C85" s="671"/>
      <c r="D85" s="671"/>
      <c r="E85" s="671"/>
      <c r="F85" s="671"/>
      <c r="G85" s="671"/>
      <c r="H85" s="671"/>
      <c r="I85" s="671"/>
      <c r="J85" s="671"/>
      <c r="K85" s="671"/>
      <c r="L85" s="433"/>
    </row>
    <row r="86" spans="1:12" ht="14.25">
      <c r="A86" s="433"/>
      <c r="B86" s="663" t="s">
        <v>627</v>
      </c>
      <c r="C86" s="663"/>
      <c r="D86" s="663"/>
      <c r="E86" s="663"/>
      <c r="F86" s="663"/>
      <c r="G86" s="663"/>
      <c r="H86" s="663"/>
      <c r="I86" s="663"/>
      <c r="J86" s="663"/>
      <c r="K86" s="663"/>
      <c r="L86" s="433"/>
    </row>
    <row r="87" spans="1:12" ht="14.25">
      <c r="A87" s="433"/>
      <c r="B87" s="473"/>
      <c r="C87" s="473"/>
      <c r="D87" s="473"/>
      <c r="E87" s="473"/>
      <c r="F87" s="473"/>
      <c r="G87" s="473"/>
      <c r="H87" s="473"/>
      <c r="I87" s="473"/>
      <c r="J87" s="473"/>
      <c r="K87" s="473"/>
      <c r="L87" s="433"/>
    </row>
    <row r="88" spans="1:12" ht="14.25">
      <c r="A88" s="433"/>
      <c r="B88" s="663" t="s">
        <v>628</v>
      </c>
      <c r="C88" s="663"/>
      <c r="D88" s="663"/>
      <c r="E88" s="663"/>
      <c r="F88" s="663"/>
      <c r="G88" s="663"/>
      <c r="H88" s="663"/>
      <c r="I88" s="663"/>
      <c r="J88" s="663"/>
      <c r="K88" s="663"/>
      <c r="L88" s="433"/>
    </row>
    <row r="89" spans="1:12" ht="14.25">
      <c r="A89" s="433"/>
      <c r="B89" s="474"/>
      <c r="C89" s="474"/>
      <c r="D89" s="474"/>
      <c r="E89" s="474"/>
      <c r="F89" s="474"/>
      <c r="G89" s="474"/>
      <c r="H89" s="474"/>
      <c r="I89" s="474"/>
      <c r="J89" s="474"/>
      <c r="K89" s="474"/>
      <c r="L89" s="433"/>
    </row>
    <row r="90" spans="1:12" ht="45" customHeight="1">
      <c r="A90" s="433"/>
      <c r="B90" s="668" t="s">
        <v>629</v>
      </c>
      <c r="C90" s="668"/>
      <c r="D90" s="668"/>
      <c r="E90" s="668"/>
      <c r="F90" s="668"/>
      <c r="G90" s="668"/>
      <c r="H90" s="668"/>
      <c r="I90" s="668"/>
      <c r="J90" s="668"/>
      <c r="K90" s="668"/>
      <c r="L90" s="433"/>
    </row>
    <row r="91" spans="1:12" ht="15" customHeight="1" thickBot="1">
      <c r="A91" s="433"/>
      <c r="L91" s="433"/>
    </row>
    <row r="92" spans="1:12" ht="15" customHeight="1">
      <c r="A92" s="433"/>
      <c r="B92" s="475" t="s">
        <v>583</v>
      </c>
      <c r="C92" s="476"/>
      <c r="D92" s="476"/>
      <c r="E92" s="476"/>
      <c r="F92" s="476"/>
      <c r="G92" s="476"/>
      <c r="H92" s="476"/>
      <c r="I92" s="476"/>
      <c r="J92" s="476"/>
      <c r="K92" s="477"/>
      <c r="L92" s="433"/>
    </row>
    <row r="93" spans="1:12" ht="15" customHeight="1">
      <c r="A93" s="433"/>
      <c r="B93" s="478"/>
      <c r="C93" s="479" t="s">
        <v>591</v>
      </c>
      <c r="D93" s="479"/>
      <c r="E93" s="479"/>
      <c r="F93" s="479"/>
      <c r="G93" s="479"/>
      <c r="H93" s="479"/>
      <c r="I93" s="479"/>
      <c r="J93" s="479"/>
      <c r="K93" s="480"/>
      <c r="L93" s="433"/>
    </row>
    <row r="94" spans="1:12" ht="15" customHeight="1">
      <c r="A94" s="433"/>
      <c r="B94" s="478" t="s">
        <v>616</v>
      </c>
      <c r="C94" s="669">
        <v>133685008</v>
      </c>
      <c r="D94" s="669"/>
      <c r="E94" s="446" t="s">
        <v>590</v>
      </c>
      <c r="F94" s="446">
        <v>1000</v>
      </c>
      <c r="G94" s="446" t="s">
        <v>589</v>
      </c>
      <c r="H94" s="463">
        <f>C94/F94</f>
        <v>133685.008</v>
      </c>
      <c r="I94" s="479" t="s">
        <v>617</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618</v>
      </c>
      <c r="D96" s="479"/>
      <c r="E96" s="446"/>
      <c r="F96" s="479" t="s">
        <v>617</v>
      </c>
      <c r="G96" s="479"/>
      <c r="H96" s="479"/>
      <c r="I96" s="479"/>
      <c r="J96" s="479"/>
      <c r="K96" s="480"/>
      <c r="L96" s="433"/>
    </row>
    <row r="97" spans="1:12" ht="15" customHeight="1">
      <c r="A97" s="433"/>
      <c r="B97" s="478" t="s">
        <v>619</v>
      </c>
      <c r="C97" s="669">
        <v>50000</v>
      </c>
      <c r="D97" s="669"/>
      <c r="E97" s="446" t="s">
        <v>590</v>
      </c>
      <c r="F97" s="463">
        <f>H94</f>
        <v>133685.008</v>
      </c>
      <c r="G97" s="446" t="s">
        <v>589</v>
      </c>
      <c r="H97" s="456">
        <f>C97/F97</f>
        <v>0.3740135169083432</v>
      </c>
      <c r="I97" s="479" t="s">
        <v>620</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630</v>
      </c>
      <c r="D99" s="482"/>
      <c r="E99" s="466"/>
      <c r="F99" s="482"/>
      <c r="G99" s="482"/>
      <c r="H99" s="482"/>
      <c r="I99" s="482"/>
      <c r="J99" s="482"/>
      <c r="K99" s="483"/>
      <c r="L99" s="433"/>
    </row>
    <row r="100" spans="1:12" ht="15" customHeight="1">
      <c r="A100" s="433"/>
      <c r="B100" s="478" t="s">
        <v>622</v>
      </c>
      <c r="C100" s="669">
        <v>2500000</v>
      </c>
      <c r="D100" s="669"/>
      <c r="E100" s="446" t="s">
        <v>28</v>
      </c>
      <c r="F100" s="484">
        <v>0.3</v>
      </c>
      <c r="G100" s="446" t="s">
        <v>589</v>
      </c>
      <c r="H100" s="463">
        <f>C100*F100</f>
        <v>750000</v>
      </c>
      <c r="I100" s="479" t="s">
        <v>623</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624</v>
      </c>
      <c r="D102" s="482"/>
      <c r="E102" s="466"/>
      <c r="F102" s="482" t="s">
        <v>620</v>
      </c>
      <c r="G102" s="482"/>
      <c r="H102" s="482"/>
      <c r="I102" s="482"/>
      <c r="J102" s="482" t="s">
        <v>625</v>
      </c>
      <c r="K102" s="483"/>
      <c r="L102" s="433"/>
    </row>
    <row r="103" spans="1:12" ht="15" customHeight="1">
      <c r="A103" s="433"/>
      <c r="B103" s="478" t="s">
        <v>626</v>
      </c>
      <c r="C103" s="678">
        <f>H100</f>
        <v>750000</v>
      </c>
      <c r="D103" s="678"/>
      <c r="E103" s="446" t="s">
        <v>28</v>
      </c>
      <c r="F103" s="456">
        <f>H97</f>
        <v>0.3740135169083432</v>
      </c>
      <c r="G103" s="446" t="s">
        <v>590</v>
      </c>
      <c r="H103" s="446">
        <v>1000</v>
      </c>
      <c r="I103" s="446" t="s">
        <v>589</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1" t="s">
        <v>579</v>
      </c>
      <c r="C105" s="679"/>
      <c r="D105" s="679"/>
      <c r="E105" s="679"/>
      <c r="F105" s="679"/>
      <c r="G105" s="679"/>
      <c r="H105" s="679"/>
      <c r="I105" s="679"/>
      <c r="J105" s="679"/>
      <c r="K105" s="679"/>
      <c r="L105" s="433"/>
    </row>
    <row r="106" spans="1:12" ht="15" customHeight="1">
      <c r="A106" s="433"/>
      <c r="B106" s="680" t="s">
        <v>631</v>
      </c>
      <c r="C106" s="664"/>
      <c r="D106" s="664"/>
      <c r="E106" s="664"/>
      <c r="F106" s="664"/>
      <c r="G106" s="664"/>
      <c r="H106" s="664"/>
      <c r="I106" s="664"/>
      <c r="J106" s="664"/>
      <c r="K106" s="664"/>
      <c r="L106" s="433"/>
    </row>
    <row r="107" spans="1:12" ht="15" customHeight="1">
      <c r="A107" s="433"/>
      <c r="B107" s="479"/>
      <c r="C107" s="487"/>
      <c r="D107" s="487"/>
      <c r="E107" s="446"/>
      <c r="F107" s="456"/>
      <c r="G107" s="446"/>
      <c r="H107" s="446"/>
      <c r="I107" s="446"/>
      <c r="J107" s="468"/>
      <c r="K107" s="479"/>
      <c r="L107" s="433"/>
    </row>
    <row r="108" spans="1:12" ht="15" customHeight="1">
      <c r="A108" s="433"/>
      <c r="B108" s="680" t="s">
        <v>632</v>
      </c>
      <c r="C108" s="681"/>
      <c r="D108" s="681"/>
      <c r="E108" s="681"/>
      <c r="F108" s="681"/>
      <c r="G108" s="681"/>
      <c r="H108" s="681"/>
      <c r="I108" s="681"/>
      <c r="J108" s="681"/>
      <c r="K108" s="681"/>
      <c r="L108" s="433"/>
    </row>
    <row r="109" spans="1:12" ht="15" customHeight="1">
      <c r="A109" s="433"/>
      <c r="B109" s="479"/>
      <c r="C109" s="487"/>
      <c r="D109" s="487"/>
      <c r="E109" s="446"/>
      <c r="F109" s="456"/>
      <c r="G109" s="446"/>
      <c r="H109" s="446"/>
      <c r="I109" s="446"/>
      <c r="J109" s="468"/>
      <c r="K109" s="479"/>
      <c r="L109" s="433"/>
    </row>
    <row r="110" spans="1:12" ht="59.25" customHeight="1">
      <c r="A110" s="433"/>
      <c r="B110" s="682" t="s">
        <v>633</v>
      </c>
      <c r="C110" s="672"/>
      <c r="D110" s="672"/>
      <c r="E110" s="672"/>
      <c r="F110" s="672"/>
      <c r="G110" s="672"/>
      <c r="H110" s="672"/>
      <c r="I110" s="672"/>
      <c r="J110" s="672"/>
      <c r="K110" s="672"/>
      <c r="L110" s="433"/>
    </row>
    <row r="111" spans="1:12" ht="15" thickBot="1">
      <c r="A111" s="433"/>
      <c r="B111" s="437"/>
      <c r="C111" s="437"/>
      <c r="D111" s="437"/>
      <c r="E111" s="437"/>
      <c r="F111" s="437"/>
      <c r="G111" s="437"/>
      <c r="H111" s="437"/>
      <c r="I111" s="437"/>
      <c r="J111" s="437"/>
      <c r="K111" s="437"/>
      <c r="L111" s="488"/>
    </row>
    <row r="112" spans="1:12" ht="14.25">
      <c r="A112" s="433"/>
      <c r="B112" s="441" t="s">
        <v>583</v>
      </c>
      <c r="C112" s="442"/>
      <c r="D112" s="442"/>
      <c r="E112" s="442"/>
      <c r="F112" s="442"/>
      <c r="G112" s="442"/>
      <c r="H112" s="442"/>
      <c r="I112" s="442"/>
      <c r="J112" s="442"/>
      <c r="K112" s="443"/>
      <c r="L112" s="433"/>
    </row>
    <row r="113" spans="1:12" ht="14.25">
      <c r="A113" s="433"/>
      <c r="B113" s="454"/>
      <c r="C113" s="445" t="s">
        <v>591</v>
      </c>
      <c r="D113" s="445"/>
      <c r="E113" s="445"/>
      <c r="F113" s="445"/>
      <c r="G113" s="445"/>
      <c r="H113" s="445"/>
      <c r="I113" s="445"/>
      <c r="J113" s="445"/>
      <c r="K113" s="448"/>
      <c r="L113" s="433"/>
    </row>
    <row r="114" spans="1:12" ht="14.25">
      <c r="A114" s="433"/>
      <c r="B114" s="454" t="s">
        <v>616</v>
      </c>
      <c r="C114" s="669">
        <v>133685008</v>
      </c>
      <c r="D114" s="669"/>
      <c r="E114" s="446" t="s">
        <v>590</v>
      </c>
      <c r="F114" s="446">
        <v>1000</v>
      </c>
      <c r="G114" s="446" t="s">
        <v>589</v>
      </c>
      <c r="H114" s="463">
        <f>C114/F114</f>
        <v>133685.008</v>
      </c>
      <c r="I114" s="445" t="s">
        <v>617</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618</v>
      </c>
      <c r="D116" s="445"/>
      <c r="E116" s="446"/>
      <c r="F116" s="445" t="s">
        <v>617</v>
      </c>
      <c r="G116" s="445"/>
      <c r="H116" s="445"/>
      <c r="I116" s="445"/>
      <c r="J116" s="445"/>
      <c r="K116" s="448"/>
      <c r="L116" s="433"/>
    </row>
    <row r="117" spans="1:12" ht="14.25">
      <c r="A117" s="433"/>
      <c r="B117" s="454" t="s">
        <v>619</v>
      </c>
      <c r="C117" s="669">
        <v>50000</v>
      </c>
      <c r="D117" s="669"/>
      <c r="E117" s="446" t="s">
        <v>590</v>
      </c>
      <c r="F117" s="463">
        <f>H114</f>
        <v>133685.008</v>
      </c>
      <c r="G117" s="446" t="s">
        <v>589</v>
      </c>
      <c r="H117" s="456">
        <f>C117/F117</f>
        <v>0.3740135169083432</v>
      </c>
      <c r="I117" s="445" t="s">
        <v>620</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630</v>
      </c>
      <c r="D119" s="465"/>
      <c r="E119" s="466"/>
      <c r="F119" s="465"/>
      <c r="G119" s="465"/>
      <c r="H119" s="465"/>
      <c r="I119" s="465"/>
      <c r="J119" s="465"/>
      <c r="K119" s="467"/>
      <c r="L119" s="433"/>
    </row>
    <row r="120" spans="1:12" ht="14.25">
      <c r="A120" s="433"/>
      <c r="B120" s="454" t="s">
        <v>622</v>
      </c>
      <c r="C120" s="669">
        <v>2500000</v>
      </c>
      <c r="D120" s="669"/>
      <c r="E120" s="446" t="s">
        <v>28</v>
      </c>
      <c r="F120" s="484">
        <v>0.25</v>
      </c>
      <c r="G120" s="446" t="s">
        <v>589</v>
      </c>
      <c r="H120" s="463">
        <f>C120*F120</f>
        <v>625000</v>
      </c>
      <c r="I120" s="445" t="s">
        <v>623</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624</v>
      </c>
      <c r="D122" s="465"/>
      <c r="E122" s="466"/>
      <c r="F122" s="465" t="s">
        <v>620</v>
      </c>
      <c r="G122" s="465"/>
      <c r="H122" s="465"/>
      <c r="I122" s="465"/>
      <c r="J122" s="465" t="s">
        <v>625</v>
      </c>
      <c r="K122" s="467"/>
      <c r="L122" s="433"/>
    </row>
    <row r="123" spans="1:12" ht="14.25">
      <c r="A123" s="433"/>
      <c r="B123" s="454" t="s">
        <v>626</v>
      </c>
      <c r="C123" s="678">
        <f>H120</f>
        <v>625000</v>
      </c>
      <c r="D123" s="678"/>
      <c r="E123" s="446" t="s">
        <v>28</v>
      </c>
      <c r="F123" s="456">
        <f>H117</f>
        <v>0.3740135169083432</v>
      </c>
      <c r="G123" s="446" t="s">
        <v>590</v>
      </c>
      <c r="H123" s="446">
        <v>1000</v>
      </c>
      <c r="I123" s="446" t="s">
        <v>589</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1" t="s">
        <v>579</v>
      </c>
      <c r="C125" s="671"/>
      <c r="D125" s="671"/>
      <c r="E125" s="671"/>
      <c r="F125" s="671"/>
      <c r="G125" s="671"/>
      <c r="H125" s="671"/>
      <c r="I125" s="671"/>
      <c r="J125" s="671"/>
      <c r="K125" s="671"/>
      <c r="L125" s="488"/>
    </row>
    <row r="126" spans="1:12" ht="14.25">
      <c r="A126" s="433"/>
      <c r="B126" s="663" t="s">
        <v>634</v>
      </c>
      <c r="C126" s="663"/>
      <c r="D126" s="663"/>
      <c r="E126" s="663"/>
      <c r="F126" s="663"/>
      <c r="G126" s="663"/>
      <c r="H126" s="663"/>
      <c r="I126" s="663"/>
      <c r="J126" s="663"/>
      <c r="K126" s="663"/>
      <c r="L126" s="488"/>
    </row>
    <row r="127" spans="1:12" ht="14.25">
      <c r="A127" s="433"/>
      <c r="B127" s="437"/>
      <c r="C127" s="437"/>
      <c r="D127" s="437"/>
      <c r="E127" s="437"/>
      <c r="F127" s="437"/>
      <c r="G127" s="437"/>
      <c r="H127" s="437"/>
      <c r="I127" s="437"/>
      <c r="J127" s="437"/>
      <c r="K127" s="437"/>
      <c r="L127" s="488"/>
    </row>
    <row r="128" spans="1:12" ht="14.25">
      <c r="A128" s="433"/>
      <c r="B128" s="663" t="s">
        <v>635</v>
      </c>
      <c r="C128" s="663"/>
      <c r="D128" s="663"/>
      <c r="E128" s="663"/>
      <c r="F128" s="663"/>
      <c r="G128" s="663"/>
      <c r="H128" s="663"/>
      <c r="I128" s="663"/>
      <c r="J128" s="663"/>
      <c r="K128" s="663"/>
      <c r="L128" s="488"/>
    </row>
    <row r="129" spans="1:12" ht="14.25">
      <c r="A129" s="433"/>
      <c r="B129" s="474"/>
      <c r="C129" s="474"/>
      <c r="D129" s="474"/>
      <c r="E129" s="474"/>
      <c r="F129" s="474"/>
      <c r="G129" s="474"/>
      <c r="H129" s="474"/>
      <c r="I129" s="474"/>
      <c r="J129" s="474"/>
      <c r="K129" s="474"/>
      <c r="L129" s="488"/>
    </row>
    <row r="130" spans="1:12" ht="74.25" customHeight="1">
      <c r="A130" s="433"/>
      <c r="B130" s="668" t="s">
        <v>636</v>
      </c>
      <c r="C130" s="668"/>
      <c r="D130" s="668"/>
      <c r="E130" s="668"/>
      <c r="F130" s="668"/>
      <c r="G130" s="668"/>
      <c r="H130" s="668"/>
      <c r="I130" s="668"/>
      <c r="J130" s="668"/>
      <c r="K130" s="668"/>
      <c r="L130" s="488"/>
    </row>
    <row r="131" spans="1:12" ht="15" thickBot="1">
      <c r="A131" s="433"/>
      <c r="L131" s="433"/>
    </row>
    <row r="132" spans="1:12" ht="14.25">
      <c r="A132" s="433"/>
      <c r="B132" s="441" t="s">
        <v>583</v>
      </c>
      <c r="C132" s="442"/>
      <c r="D132" s="442"/>
      <c r="E132" s="442"/>
      <c r="F132" s="442"/>
      <c r="G132" s="442"/>
      <c r="H132" s="442"/>
      <c r="I132" s="442"/>
      <c r="J132" s="442"/>
      <c r="K132" s="443"/>
      <c r="L132" s="433"/>
    </row>
    <row r="133" spans="1:12" ht="14.25">
      <c r="A133" s="433"/>
      <c r="B133" s="454"/>
      <c r="C133" s="683" t="s">
        <v>637</v>
      </c>
      <c r="D133" s="683"/>
      <c r="E133" s="445"/>
      <c r="F133" s="446" t="s">
        <v>638</v>
      </c>
      <c r="G133" s="445"/>
      <c r="H133" s="683" t="s">
        <v>623</v>
      </c>
      <c r="I133" s="683"/>
      <c r="J133" s="445"/>
      <c r="K133" s="448"/>
      <c r="L133" s="433"/>
    </row>
    <row r="134" spans="1:12" ht="14.25">
      <c r="A134" s="433"/>
      <c r="B134" s="454" t="s">
        <v>616</v>
      </c>
      <c r="C134" s="669">
        <v>100000</v>
      </c>
      <c r="D134" s="669"/>
      <c r="E134" s="446" t="s">
        <v>28</v>
      </c>
      <c r="F134" s="446">
        <v>0.115</v>
      </c>
      <c r="G134" s="446" t="s">
        <v>589</v>
      </c>
      <c r="H134" s="684">
        <f>C134*F134</f>
        <v>11500</v>
      </c>
      <c r="I134" s="684"/>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85" t="s">
        <v>623</v>
      </c>
      <c r="D136" s="685"/>
      <c r="E136" s="465"/>
      <c r="F136" s="466" t="s">
        <v>639</v>
      </c>
      <c r="G136" s="466"/>
      <c r="H136" s="465"/>
      <c r="I136" s="465"/>
      <c r="J136" s="465" t="s">
        <v>640</v>
      </c>
      <c r="K136" s="467"/>
      <c r="L136" s="433"/>
    </row>
    <row r="137" spans="1:12" ht="14.25">
      <c r="A137" s="433"/>
      <c r="B137" s="454" t="s">
        <v>619</v>
      </c>
      <c r="C137" s="684">
        <f>H134</f>
        <v>11500</v>
      </c>
      <c r="D137" s="684"/>
      <c r="E137" s="446" t="s">
        <v>28</v>
      </c>
      <c r="F137" s="489">
        <v>52.869</v>
      </c>
      <c r="G137" s="446" t="s">
        <v>590</v>
      </c>
      <c r="H137" s="446">
        <v>1000</v>
      </c>
      <c r="I137" s="446" t="s">
        <v>589</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579</v>
      </c>
      <c r="C139" s="495"/>
      <c r="D139" s="495"/>
      <c r="E139" s="496"/>
      <c r="F139" s="497"/>
      <c r="G139" s="496"/>
      <c r="H139" s="496"/>
      <c r="I139" s="496"/>
      <c r="J139" s="498"/>
      <c r="K139" s="499"/>
      <c r="L139" s="433"/>
    </row>
    <row r="140" spans="1:12" ht="14.25">
      <c r="A140" s="433"/>
      <c r="B140" s="500" t="s">
        <v>641</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642</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86" t="s">
        <v>643</v>
      </c>
      <c r="C144" s="687"/>
      <c r="D144" s="687"/>
      <c r="E144" s="687"/>
      <c r="F144" s="687"/>
      <c r="G144" s="687"/>
      <c r="H144" s="687"/>
      <c r="I144" s="687"/>
      <c r="J144" s="687"/>
      <c r="K144" s="688"/>
      <c r="L144" s="433"/>
    </row>
    <row r="145" spans="1:12" ht="15" thickBot="1">
      <c r="A145" s="433"/>
      <c r="B145" s="454"/>
      <c r="C145" s="463"/>
      <c r="D145" s="463"/>
      <c r="E145" s="446"/>
      <c r="F145" s="506"/>
      <c r="G145" s="446"/>
      <c r="H145" s="446"/>
      <c r="I145" s="446"/>
      <c r="J145" s="490"/>
      <c r="K145" s="448"/>
      <c r="L145" s="433"/>
    </row>
    <row r="146" spans="1:12" ht="14.25">
      <c r="A146" s="433"/>
      <c r="B146" s="441" t="s">
        <v>583</v>
      </c>
      <c r="C146" s="507"/>
      <c r="D146" s="507"/>
      <c r="E146" s="508"/>
      <c r="F146" s="509"/>
      <c r="G146" s="508"/>
      <c r="H146" s="508"/>
      <c r="I146" s="508"/>
      <c r="J146" s="510"/>
      <c r="K146" s="443"/>
      <c r="L146" s="433"/>
    </row>
    <row r="147" spans="1:12" ht="14.25">
      <c r="A147" s="433"/>
      <c r="B147" s="454"/>
      <c r="C147" s="684" t="s">
        <v>644</v>
      </c>
      <c r="D147" s="684"/>
      <c r="E147" s="446"/>
      <c r="F147" s="506" t="s">
        <v>645</v>
      </c>
      <c r="G147" s="446"/>
      <c r="H147" s="446"/>
      <c r="I147" s="446"/>
      <c r="J147" s="689" t="s">
        <v>646</v>
      </c>
      <c r="K147" s="690"/>
      <c r="L147" s="433"/>
    </row>
    <row r="148" spans="1:12" ht="14.25">
      <c r="A148" s="433"/>
      <c r="B148" s="454"/>
      <c r="C148" s="691">
        <v>52.869</v>
      </c>
      <c r="D148" s="691"/>
      <c r="E148" s="446" t="s">
        <v>28</v>
      </c>
      <c r="F148" s="511">
        <v>133685008</v>
      </c>
      <c r="G148" s="512" t="s">
        <v>590</v>
      </c>
      <c r="H148" s="446">
        <v>1000</v>
      </c>
      <c r="I148" s="446" t="s">
        <v>589</v>
      </c>
      <c r="J148" s="684">
        <f>C148*(F148/1000)</f>
        <v>7067792.687952</v>
      </c>
      <c r="K148" s="692"/>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647</v>
      </c>
    </row>
    <row r="3" ht="31.5">
      <c r="A3" s="515" t="s">
        <v>648</v>
      </c>
    </row>
    <row r="4" ht="15.75">
      <c r="A4" s="516" t="s">
        <v>649</v>
      </c>
    </row>
    <row r="7" ht="31.5">
      <c r="A7" s="515" t="s">
        <v>650</v>
      </c>
    </row>
    <row r="8" ht="15.75">
      <c r="A8" s="516" t="s">
        <v>651</v>
      </c>
    </row>
    <row r="11" ht="15.75">
      <c r="A11" s="517" t="s">
        <v>652</v>
      </c>
    </row>
    <row r="12" ht="15.75">
      <c r="A12" s="516" t="s">
        <v>653</v>
      </c>
    </row>
    <row r="15" ht="15.75">
      <c r="A15" s="517" t="s">
        <v>654</v>
      </c>
    </row>
    <row r="16" ht="15.75">
      <c r="A16" s="516" t="s">
        <v>655</v>
      </c>
    </row>
    <row r="19" ht="15.75">
      <c r="A19" s="517" t="s">
        <v>656</v>
      </c>
    </row>
    <row r="20" ht="15.75">
      <c r="A20" s="516" t="s">
        <v>657</v>
      </c>
    </row>
    <row r="23" ht="15.75">
      <c r="A23" s="517" t="s">
        <v>658</v>
      </c>
    </row>
    <row r="24" ht="15.75">
      <c r="A24" s="516" t="s">
        <v>659</v>
      </c>
    </row>
    <row r="27" ht="15.75">
      <c r="A27" s="517" t="s">
        <v>660</v>
      </c>
    </row>
    <row r="28" ht="15.75">
      <c r="A28" s="516" t="s">
        <v>661</v>
      </c>
    </row>
    <row r="31" ht="15.75">
      <c r="A31" s="517" t="s">
        <v>662</v>
      </c>
    </row>
    <row r="32" ht="15.75">
      <c r="A32" s="516" t="s">
        <v>663</v>
      </c>
    </row>
    <row r="35" ht="15.75">
      <c r="A35" s="517" t="s">
        <v>664</v>
      </c>
    </row>
    <row r="36" ht="15.75">
      <c r="A36" s="516" t="s">
        <v>665</v>
      </c>
    </row>
    <row r="39" ht="15.75">
      <c r="A39" s="517" t="s">
        <v>666</v>
      </c>
    </row>
    <row r="40" ht="15.75">
      <c r="A40" s="516" t="s">
        <v>667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731</v>
      </c>
    </row>
    <row r="2" ht="15.75">
      <c r="A2" s="578" t="s">
        <v>732</v>
      </c>
    </row>
    <row r="3" ht="15.75">
      <c r="A3" s="578" t="s">
        <v>733</v>
      </c>
    </row>
    <row r="5" ht="15.75">
      <c r="A5" s="377" t="s">
        <v>685</v>
      </c>
    </row>
    <row r="6" ht="15.75">
      <c r="A6" s="578" t="s">
        <v>686</v>
      </c>
    </row>
    <row r="7" ht="15.75">
      <c r="A7" s="578" t="s">
        <v>687</v>
      </c>
    </row>
    <row r="8" ht="31.5">
      <c r="A8" s="579" t="s">
        <v>727</v>
      </c>
    </row>
    <row r="9" ht="15.75">
      <c r="A9" s="578" t="s">
        <v>688</v>
      </c>
    </row>
    <row r="10" ht="15.75">
      <c r="A10" s="578" t="s">
        <v>689</v>
      </c>
    </row>
    <row r="11" ht="15.75">
      <c r="A11" s="578" t="s">
        <v>690</v>
      </c>
    </row>
    <row r="12" ht="15.75">
      <c r="A12" s="578" t="s">
        <v>691</v>
      </c>
    </row>
    <row r="13" ht="15.75">
      <c r="A13" s="578" t="s">
        <v>692</v>
      </c>
    </row>
    <row r="14" ht="15.75">
      <c r="A14" s="578" t="s">
        <v>693</v>
      </c>
    </row>
    <row r="15" ht="15.75">
      <c r="A15" s="578" t="s">
        <v>694</v>
      </c>
    </row>
    <row r="16" ht="15.75">
      <c r="A16" s="578" t="s">
        <v>695</v>
      </c>
    </row>
    <row r="17" ht="15.75">
      <c r="A17" s="578" t="s">
        <v>696</v>
      </c>
    </row>
    <row r="18" ht="15.75">
      <c r="A18" s="578" t="s">
        <v>697</v>
      </c>
    </row>
    <row r="19" ht="15.75">
      <c r="A19" s="578" t="s">
        <v>698</v>
      </c>
    </row>
    <row r="20" ht="15.75">
      <c r="A20" s="578" t="s">
        <v>699</v>
      </c>
    </row>
    <row r="21" ht="15.75">
      <c r="A21" s="578" t="s">
        <v>700</v>
      </c>
    </row>
    <row r="22" ht="15.75">
      <c r="A22" s="578" t="s">
        <v>701</v>
      </c>
    </row>
    <row r="23" ht="15.75">
      <c r="A23" s="578" t="s">
        <v>702</v>
      </c>
    </row>
    <row r="24" ht="15.75">
      <c r="A24" s="578" t="s">
        <v>703</v>
      </c>
    </row>
    <row r="25" ht="15.75">
      <c r="A25" s="578" t="s">
        <v>704</v>
      </c>
    </row>
    <row r="26" ht="15.75">
      <c r="A26" s="578" t="s">
        <v>705</v>
      </c>
    </row>
    <row r="27" ht="15.75">
      <c r="A27" s="578" t="s">
        <v>706</v>
      </c>
    </row>
    <row r="28" ht="15.75">
      <c r="A28" s="578" t="s">
        <v>728</v>
      </c>
    </row>
    <row r="30" ht="15.75">
      <c r="A30" s="377" t="s">
        <v>568</v>
      </c>
    </row>
    <row r="31" ht="15.75">
      <c r="A31" s="98" t="s">
        <v>571</v>
      </c>
    </row>
    <row r="32" ht="15.75">
      <c r="A32" s="98" t="s">
        <v>569</v>
      </c>
    </row>
    <row r="33" ht="15.75">
      <c r="A33" s="98" t="s">
        <v>570</v>
      </c>
    </row>
    <row r="35" ht="15.75">
      <c r="A35" s="390" t="s">
        <v>560</v>
      </c>
    </row>
    <row r="36" ht="15.75">
      <c r="A36" s="98" t="s">
        <v>567</v>
      </c>
    </row>
    <row r="38" ht="15.75">
      <c r="A38" s="377" t="s">
        <v>333</v>
      </c>
    </row>
    <row r="39" ht="15.75">
      <c r="A39" s="378" t="s">
        <v>334</v>
      </c>
    </row>
    <row r="40" ht="15.75">
      <c r="A40" s="378" t="s">
        <v>335</v>
      </c>
    </row>
    <row r="41" ht="15.75">
      <c r="A41" s="378" t="s">
        <v>336</v>
      </c>
    </row>
    <row r="42" ht="15.75">
      <c r="A42" s="98" t="s">
        <v>337</v>
      </c>
    </row>
    <row r="44" ht="15.75">
      <c r="A44" s="336" t="s">
        <v>289</v>
      </c>
    </row>
    <row r="45" ht="15.75">
      <c r="A45" s="98" t="s">
        <v>280</v>
      </c>
    </row>
    <row r="46" ht="15.75">
      <c r="A46" s="98" t="s">
        <v>281</v>
      </c>
    </row>
    <row r="47" ht="15.75">
      <c r="A47" s="98" t="s">
        <v>282</v>
      </c>
    </row>
    <row r="48" ht="15.75">
      <c r="A48" s="98" t="s">
        <v>283</v>
      </c>
    </row>
    <row r="49" ht="15.75">
      <c r="A49" s="98" t="s">
        <v>284</v>
      </c>
    </row>
    <row r="50" ht="15.75">
      <c r="A50" s="98" t="s">
        <v>285</v>
      </c>
    </row>
    <row r="51" ht="15.75">
      <c r="A51" s="98" t="s">
        <v>302</v>
      </c>
    </row>
    <row r="52" ht="15.75">
      <c r="A52" s="98" t="s">
        <v>303</v>
      </c>
    </row>
    <row r="53" ht="15.75">
      <c r="A53" s="98" t="s">
        <v>304</v>
      </c>
    </row>
    <row r="54" ht="15.75">
      <c r="A54" s="98" t="s">
        <v>305</v>
      </c>
    </row>
    <row r="55" ht="15.75">
      <c r="A55" s="98" t="s">
        <v>306</v>
      </c>
    </row>
    <row r="56" ht="15.75">
      <c r="A56" s="98" t="s">
        <v>307</v>
      </c>
    </row>
    <row r="58" ht="15.75">
      <c r="A58" s="336" t="s">
        <v>275</v>
      </c>
    </row>
    <row r="59" ht="15.75">
      <c r="A59" s="98" t="s">
        <v>286</v>
      </c>
    </row>
    <row r="60" ht="15.75">
      <c r="A60" s="98" t="s">
        <v>276</v>
      </c>
    </row>
    <row r="61" ht="15.75">
      <c r="A61" s="98" t="s">
        <v>277</v>
      </c>
    </row>
    <row r="63" ht="15.75">
      <c r="A63" s="336" t="s">
        <v>271</v>
      </c>
    </row>
    <row r="64" ht="15.75">
      <c r="A64" s="98" t="s">
        <v>272</v>
      </c>
    </row>
    <row r="65" ht="15.75">
      <c r="A65" s="98" t="s">
        <v>273</v>
      </c>
    </row>
    <row r="67" ht="15.75">
      <c r="A67" s="336" t="s">
        <v>252</v>
      </c>
    </row>
    <row r="68" ht="15.75">
      <c r="A68" s="98" t="s">
        <v>253</v>
      </c>
    </row>
    <row r="69" ht="36" customHeight="1">
      <c r="A69" s="337" t="s">
        <v>254</v>
      </c>
    </row>
    <row r="70" ht="15.75">
      <c r="A70" s="98" t="s">
        <v>255</v>
      </c>
    </row>
    <row r="71" ht="18.75" customHeight="1">
      <c r="A71" s="98" t="s">
        <v>256</v>
      </c>
    </row>
    <row r="72" ht="15.75">
      <c r="A72" s="98" t="s">
        <v>257</v>
      </c>
    </row>
    <row r="73" ht="24.75" customHeight="1">
      <c r="A73" s="98" t="s">
        <v>258</v>
      </c>
    </row>
    <row r="74" ht="39" customHeight="1">
      <c r="A74" s="337" t="s">
        <v>259</v>
      </c>
    </row>
    <row r="75" ht="38.25" customHeight="1">
      <c r="A75" s="337" t="s">
        <v>260</v>
      </c>
    </row>
    <row r="76" ht="37.5" customHeight="1">
      <c r="A76" s="337" t="s">
        <v>261</v>
      </c>
    </row>
    <row r="77" ht="21" customHeight="1">
      <c r="A77" s="337" t="s">
        <v>262</v>
      </c>
    </row>
    <row r="78" ht="35.25" customHeight="1">
      <c r="A78" s="337" t="s">
        <v>263</v>
      </c>
    </row>
    <row r="79" ht="15.75">
      <c r="A79" s="98" t="s">
        <v>264</v>
      </c>
    </row>
    <row r="80" ht="15.75">
      <c r="A80" s="98" t="s">
        <v>265</v>
      </c>
    </row>
    <row r="81" ht="15.75">
      <c r="A81" s="98" t="s">
        <v>266</v>
      </c>
    </row>
    <row r="82" ht="15.75">
      <c r="A82" s="98" t="s">
        <v>267</v>
      </c>
    </row>
    <row r="83" ht="15.75">
      <c r="A83" s="98" t="s">
        <v>268</v>
      </c>
    </row>
    <row r="86" ht="15.75">
      <c r="A86" s="336" t="s">
        <v>175</v>
      </c>
    </row>
    <row r="87" ht="15.75">
      <c r="A87" s="98" t="s">
        <v>184</v>
      </c>
    </row>
    <row r="88" ht="15.75">
      <c r="A88" s="98" t="s">
        <v>185</v>
      </c>
    </row>
    <row r="89" ht="15.75">
      <c r="A89" s="98" t="s">
        <v>186</v>
      </c>
    </row>
    <row r="90" ht="15.75">
      <c r="A90" s="98" t="s">
        <v>198</v>
      </c>
    </row>
    <row r="91" ht="15.75">
      <c r="A91" s="98" t="s">
        <v>187</v>
      </c>
    </row>
    <row r="92" ht="15.75">
      <c r="A92" s="98" t="s">
        <v>188</v>
      </c>
    </row>
    <row r="93" ht="15.75">
      <c r="A93" s="98" t="s">
        <v>189</v>
      </c>
    </row>
    <row r="94" ht="15.75">
      <c r="A94" s="98" t="s">
        <v>190</v>
      </c>
    </row>
    <row r="95" ht="15.75">
      <c r="A95" s="98" t="s">
        <v>199</v>
      </c>
    </row>
    <row r="96" ht="15.75">
      <c r="A96" s="98" t="s">
        <v>191</v>
      </c>
    </row>
    <row r="97" ht="15.75">
      <c r="A97" s="98" t="s">
        <v>192</v>
      </c>
    </row>
    <row r="98" ht="15.75">
      <c r="A98" s="98" t="s">
        <v>193</v>
      </c>
    </row>
    <row r="99" ht="15.75">
      <c r="A99" s="98" t="s">
        <v>200</v>
      </c>
    </row>
    <row r="100" ht="15.75">
      <c r="A100" s="98" t="s">
        <v>201</v>
      </c>
    </row>
    <row r="101" ht="15.75">
      <c r="A101" s="98" t="s">
        <v>208</v>
      </c>
    </row>
    <row r="102" ht="15.75">
      <c r="A102" s="98" t="s">
        <v>287</v>
      </c>
    </row>
    <row r="103" ht="15.75">
      <c r="A103" s="98" t="s">
        <v>0</v>
      </c>
    </row>
    <row r="104" ht="15.75">
      <c r="A104" s="98" t="s">
        <v>1</v>
      </c>
    </row>
    <row r="105" ht="15.75">
      <c r="A105" s="98" t="s">
        <v>2</v>
      </c>
    </row>
    <row r="106" ht="15.75">
      <c r="A106" s="98" t="s">
        <v>288</v>
      </c>
    </row>
    <row r="107" ht="15.75">
      <c r="A107" s="98" t="s">
        <v>217</v>
      </c>
    </row>
    <row r="108" ht="15.75">
      <c r="A108" s="98" t="s">
        <v>218</v>
      </c>
    </row>
    <row r="109" ht="15.75">
      <c r="A109" s="98" t="s">
        <v>3</v>
      </c>
    </row>
    <row r="110" ht="15.75">
      <c r="A110" s="98" t="s">
        <v>4</v>
      </c>
    </row>
    <row r="111" ht="15.75">
      <c r="A111" s="98" t="s">
        <v>226</v>
      </c>
    </row>
    <row r="112" ht="15.75">
      <c r="A112" s="98" t="s">
        <v>227</v>
      </c>
    </row>
    <row r="113" ht="15.75">
      <c r="A113" s="98" t="s">
        <v>232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4" sqref="E3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Watershed # 1 Walnut Creek</v>
      </c>
      <c r="B1" s="62"/>
      <c r="C1" s="62"/>
      <c r="D1" s="62"/>
      <c r="E1" s="62">
        <f>inputPrYr!D6</f>
        <v>2012</v>
      </c>
    </row>
    <row r="2" spans="1:5" ht="15.75">
      <c r="A2" s="62" t="str">
        <f>inputPrYr!D4</f>
        <v>Brown County</v>
      </c>
      <c r="B2" s="62"/>
      <c r="C2" s="62"/>
      <c r="D2" s="62"/>
      <c r="E2" s="62"/>
    </row>
    <row r="3" spans="1:5" ht="15">
      <c r="A3" s="64"/>
      <c r="B3" s="64"/>
      <c r="C3" s="64"/>
      <c r="D3" s="64"/>
      <c r="E3" s="64"/>
    </row>
    <row r="4" spans="1:5" ht="15.75">
      <c r="A4" s="583" t="s">
        <v>194</v>
      </c>
      <c r="B4" s="584"/>
      <c r="C4" s="584"/>
      <c r="D4" s="584"/>
      <c r="E4" s="584"/>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19733109</v>
      </c>
    </row>
    <row r="8" spans="1:5" ht="15.75">
      <c r="A8" s="68" t="str">
        <f>CONCATENATE("New Improvements for ",inputPrYr!D6-1,"")</f>
        <v>New Improvements for 2011</v>
      </c>
      <c r="B8" s="69"/>
      <c r="C8" s="69"/>
      <c r="D8" s="69"/>
      <c r="E8" s="70">
        <v>68370</v>
      </c>
    </row>
    <row r="9" spans="1:5" ht="15.75">
      <c r="A9" s="68" t="str">
        <f>CONCATENATE("Personal Property excluding oil, gas, and mobile homes- ",inputPrYr!D6-1,"")</f>
        <v>Personal Property excluding oil, gas, and mobile homes- 2011</v>
      </c>
      <c r="B9" s="69"/>
      <c r="C9" s="69"/>
      <c r="D9" s="69"/>
      <c r="E9" s="70">
        <v>267295</v>
      </c>
    </row>
    <row r="10" spans="1:5" ht="15.75">
      <c r="A10" s="68" t="str">
        <f>CONCATENATE("Property that has changed in use for ",inputPrYr!D6-1,"")</f>
        <v>Property that has changed in use for 2011</v>
      </c>
      <c r="B10" s="69"/>
      <c r="C10" s="69"/>
      <c r="D10" s="69"/>
      <c r="E10" s="70">
        <v>81037</v>
      </c>
    </row>
    <row r="11" spans="1:5" ht="15.75">
      <c r="A11" s="67" t="str">
        <f>CONCATENATE("Personal Property excluding oil, gas, and mobile homes- ",inputPrYr!D6-2,"")</f>
        <v>Personal Property excluding oil, gas, and mobile homes- 2010</v>
      </c>
      <c r="B11" s="42"/>
      <c r="C11" s="42"/>
      <c r="D11" s="42"/>
      <c r="E11" s="70">
        <v>264265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3" t="s">
        <v>26</v>
      </c>
      <c r="B15" s="588"/>
      <c r="C15" s="64"/>
      <c r="D15" s="75" t="s">
        <v>59</v>
      </c>
      <c r="E15" s="74"/>
    </row>
    <row r="16" spans="1:5" ht="15.75">
      <c r="A16" s="67" t="s">
        <v>10</v>
      </c>
      <c r="B16" s="42"/>
      <c r="C16" s="71"/>
      <c r="D16" s="76">
        <v>1.823</v>
      </c>
      <c r="E16" s="74"/>
    </row>
    <row r="17" spans="1:5" ht="15.75">
      <c r="A17" s="68" t="s">
        <v>274</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203</v>
      </c>
      <c r="C22" s="80"/>
      <c r="D22" s="81">
        <f>SUM(D16:D21)</f>
        <v>1.823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19377624</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2047</v>
      </c>
    </row>
    <row r="28" spans="1:5" ht="15.75">
      <c r="A28" s="68" t="s">
        <v>15</v>
      </c>
      <c r="B28" s="69"/>
      <c r="C28" s="69"/>
      <c r="D28" s="86"/>
      <c r="E28" s="37">
        <v>44</v>
      </c>
    </row>
    <row r="29" spans="1:5" ht="15.75">
      <c r="A29" s="68" t="s">
        <v>169</v>
      </c>
      <c r="B29" s="69"/>
      <c r="C29" s="69"/>
      <c r="D29" s="86"/>
      <c r="E29" s="37">
        <v>341</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204</v>
      </c>
      <c r="B36" s="88"/>
      <c r="C36" s="71"/>
      <c r="D36" s="71"/>
      <c r="E36" s="409"/>
    </row>
    <row r="37" spans="1:5" ht="15.75">
      <c r="A37" s="90" t="s">
        <v>171</v>
      </c>
      <c r="B37" s="90"/>
      <c r="C37" s="91"/>
      <c r="D37" s="91"/>
      <c r="E37" s="92"/>
    </row>
    <row r="38" spans="1:5" ht="15">
      <c r="A38" s="64"/>
      <c r="B38" s="64"/>
      <c r="C38" s="64"/>
      <c r="D38" s="64"/>
      <c r="E38" s="64"/>
    </row>
    <row r="39" spans="1:5" ht="15.75">
      <c r="A39" s="594" t="str">
        <f>CONCATENATE("From the ",E1-2," Budget Certificate Page")</f>
        <v>From the 2010 Budget Certificate Page</v>
      </c>
      <c r="B39" s="595"/>
      <c r="C39" s="64"/>
      <c r="D39" s="64"/>
      <c r="E39" s="64"/>
    </row>
    <row r="40" spans="1:5" ht="15.75">
      <c r="A40" s="93"/>
      <c r="B40" s="93" t="str">
        <f>CONCATENATE("",E1-2," Expenditure Amounts")</f>
        <v>2010 Expenditure Amounts</v>
      </c>
      <c r="C40" s="596" t="str">
        <f>CONCATENATE("Note: If the ",E1-2," budget was amended, then the")</f>
        <v>Note: If the 2010 budget was amended, then the</v>
      </c>
      <c r="D40" s="597"/>
      <c r="E40" s="597"/>
    </row>
    <row r="41" spans="1:5" ht="15.75">
      <c r="A41" s="94" t="s">
        <v>213</v>
      </c>
      <c r="B41" s="94" t="s">
        <v>214</v>
      </c>
      <c r="C41" s="95" t="s">
        <v>215</v>
      </c>
      <c r="D41" s="96"/>
      <c r="E41" s="96"/>
    </row>
    <row r="42" spans="1:5" ht="15.75">
      <c r="A42" s="97" t="str">
        <f>inputPrYr!B19</f>
        <v>General</v>
      </c>
      <c r="B42" s="58">
        <v>44700</v>
      </c>
      <c r="C42" s="95" t="s">
        <v>216</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98" t="s">
        <v>322</v>
      </c>
      <c r="B2" s="599"/>
      <c r="C2" s="599"/>
      <c r="D2" s="599"/>
      <c r="E2" s="599"/>
      <c r="F2" s="599"/>
    </row>
    <row r="4" spans="1:6" ht="15.75">
      <c r="A4" s="362"/>
      <c r="B4" s="362"/>
      <c r="C4" s="362"/>
      <c r="D4" s="363"/>
      <c r="E4" s="362"/>
      <c r="F4" s="362"/>
    </row>
    <row r="5" spans="1:6" ht="15.75">
      <c r="A5" s="364" t="s">
        <v>323</v>
      </c>
      <c r="B5" s="365" t="s">
        <v>752</v>
      </c>
      <c r="C5" s="366"/>
      <c r="D5" s="364" t="s">
        <v>730</v>
      </c>
      <c r="E5" s="362"/>
      <c r="F5" s="362"/>
    </row>
    <row r="6" spans="1:6" ht="15.75">
      <c r="A6" s="364"/>
      <c r="B6" s="367"/>
      <c r="C6" s="368"/>
      <c r="D6" s="364" t="s">
        <v>729</v>
      </c>
      <c r="E6" s="362"/>
      <c r="F6" s="362"/>
    </row>
    <row r="7" spans="1:6" ht="15.75">
      <c r="A7" s="364" t="s">
        <v>324</v>
      </c>
      <c r="B7" s="365" t="s">
        <v>753</v>
      </c>
      <c r="C7" s="369"/>
      <c r="D7" s="364"/>
      <c r="E7" s="362"/>
      <c r="F7" s="362"/>
    </row>
    <row r="8" spans="1:6" ht="15.75">
      <c r="A8" s="364"/>
      <c r="B8" s="364"/>
      <c r="C8" s="364"/>
      <c r="D8" s="364"/>
      <c r="E8" s="362"/>
      <c r="F8" s="362"/>
    </row>
    <row r="9" spans="1:6" ht="15.75">
      <c r="A9" s="364" t="s">
        <v>325</v>
      </c>
      <c r="B9" s="370" t="s">
        <v>742</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326</v>
      </c>
      <c r="B12" s="370" t="s">
        <v>738</v>
      </c>
      <c r="C12" s="370"/>
      <c r="D12" s="370"/>
      <c r="E12" s="371"/>
      <c r="F12" s="362"/>
    </row>
    <row r="15" spans="1:6" ht="15.75">
      <c r="A15" s="600" t="s">
        <v>327</v>
      </c>
      <c r="B15" s="600"/>
      <c r="C15" s="364"/>
      <c r="D15" s="364"/>
      <c r="E15" s="364"/>
      <c r="F15" s="362"/>
    </row>
    <row r="16" spans="1:6" ht="15.75">
      <c r="A16" s="364"/>
      <c r="B16" s="364"/>
      <c r="C16" s="364"/>
      <c r="D16" s="364"/>
      <c r="E16" s="364"/>
      <c r="F16" s="362"/>
    </row>
    <row r="17" spans="1:5" ht="15.75">
      <c r="A17" s="364" t="s">
        <v>323</v>
      </c>
      <c r="B17" s="367" t="s">
        <v>328</v>
      </c>
      <c r="C17" s="364"/>
      <c r="D17" s="364"/>
      <c r="E17" s="364"/>
    </row>
    <row r="18" spans="1:5" ht="15.75">
      <c r="A18" s="364"/>
      <c r="B18" s="364"/>
      <c r="C18" s="364"/>
      <c r="D18" s="364"/>
      <c r="E18" s="364"/>
    </row>
    <row r="19" spans="1:5" ht="15.75">
      <c r="A19" s="364" t="s">
        <v>324</v>
      </c>
      <c r="B19" s="364" t="s">
        <v>329</v>
      </c>
      <c r="C19" s="364"/>
      <c r="D19" s="364"/>
      <c r="E19" s="364"/>
    </row>
    <row r="20" spans="1:5" ht="15.75">
      <c r="A20" s="364"/>
      <c r="B20" s="364"/>
      <c r="C20" s="364"/>
      <c r="D20" s="364"/>
      <c r="E20" s="364"/>
    </row>
    <row r="21" spans="1:5" ht="15.75">
      <c r="A21" s="364" t="s">
        <v>325</v>
      </c>
      <c r="B21" s="364" t="s">
        <v>331</v>
      </c>
      <c r="C21" s="364"/>
      <c r="D21" s="364"/>
      <c r="E21" s="364"/>
    </row>
    <row r="22" spans="1:5" ht="15.75">
      <c r="A22" s="364"/>
      <c r="B22" s="364"/>
      <c r="C22" s="364"/>
      <c r="D22" s="364"/>
      <c r="E22" s="364"/>
    </row>
    <row r="23" spans="1:5" ht="15.75">
      <c r="A23" s="364" t="s">
        <v>326</v>
      </c>
      <c r="B23" s="364" t="s">
        <v>330</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26">
      <selection activeCell="A50" sqref="A5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2" t="s">
        <v>77</v>
      </c>
      <c r="B2" s="602"/>
      <c r="C2" s="602"/>
      <c r="D2" s="602"/>
      <c r="E2" s="602"/>
      <c r="F2" s="602"/>
      <c r="G2" s="602"/>
    </row>
    <row r="3" spans="1:7" ht="15.75">
      <c r="A3" s="18"/>
      <c r="B3" s="18"/>
      <c r="C3" s="18"/>
      <c r="D3" s="18"/>
      <c r="E3" s="18"/>
      <c r="F3" s="18"/>
      <c r="G3" s="62">
        <f>inputPrYr!D6</f>
        <v>2012</v>
      </c>
    </row>
    <row r="4" spans="1:7" ht="15.75">
      <c r="A4" s="603" t="str">
        <f>CONCATENATE("To the Clerk of ",inputPrYr!D4,", State of Kansas")</f>
        <v>To the Clerk of Brown County, State of Kansas</v>
      </c>
      <c r="B4" s="603"/>
      <c r="C4" s="603"/>
      <c r="D4" s="603"/>
      <c r="E4" s="603"/>
      <c r="F4" s="603"/>
      <c r="G4" s="603"/>
    </row>
    <row r="5" spans="1:7" ht="15.75">
      <c r="A5" s="100" t="s">
        <v>153</v>
      </c>
      <c r="B5" s="26"/>
      <c r="C5" s="26"/>
      <c r="D5" s="26"/>
      <c r="E5" s="26"/>
      <c r="F5" s="26"/>
      <c r="G5" s="26"/>
    </row>
    <row r="6" spans="1:7" ht="15.75">
      <c r="A6" s="585" t="str">
        <f>inputPrYr!D3</f>
        <v>Watershed # 1 Walnut Creek</v>
      </c>
      <c r="B6" s="585"/>
      <c r="C6" s="585"/>
      <c r="D6" s="585"/>
      <c r="E6" s="585"/>
      <c r="F6" s="585"/>
      <c r="G6" s="585"/>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4" t="str">
        <f>CONCATENATE("",G3," Adopted Budget")</f>
        <v>2012 Adopted Budget</v>
      </c>
      <c r="F13" s="605"/>
      <c r="G13" s="606"/>
    </row>
    <row r="14" spans="1:8" ht="15.75">
      <c r="A14" s="17"/>
      <c r="B14" s="18"/>
      <c r="C14" s="18"/>
      <c r="D14" s="42"/>
      <c r="E14" s="103" t="s">
        <v>18</v>
      </c>
      <c r="F14" s="104"/>
      <c r="G14" s="105" t="s">
        <v>19</v>
      </c>
      <c r="H14" s="106"/>
    </row>
    <row r="15" spans="1:7" ht="15.75">
      <c r="A15" s="18"/>
      <c r="B15" s="18"/>
      <c r="C15" s="18"/>
      <c r="D15" s="104" t="s">
        <v>20</v>
      </c>
      <c r="E15" s="107" t="s">
        <v>214</v>
      </c>
      <c r="F15" s="607" t="str">
        <f>CONCATENATE("Amount of ",G3-1," Ad Valorem Tax")</f>
        <v>Amount of 2011 Ad Valorem Tax</v>
      </c>
      <c r="G15" s="105" t="s">
        <v>21</v>
      </c>
    </row>
    <row r="16" spans="1:7" ht="15.75">
      <c r="A16" s="17" t="s">
        <v>22</v>
      </c>
      <c r="B16" s="18"/>
      <c r="C16" s="18"/>
      <c r="D16" s="107" t="s">
        <v>23</v>
      </c>
      <c r="E16" s="107" t="s">
        <v>572</v>
      </c>
      <c r="F16" s="607"/>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210</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24-1219</v>
      </c>
      <c r="D23" s="122">
        <v>6</v>
      </c>
      <c r="E23" s="123">
        <f>IF(gen!$E$38&lt;&gt;0,gen!$E$38,"  ")</f>
        <v>66925</v>
      </c>
      <c r="F23" s="123">
        <f>IF(gen!$E$45&lt;&gt;0,gen!$E$45,"  ")</f>
        <v>35594</v>
      </c>
      <c r="G23" s="124">
        <f>IF(AND(gen!E45=0,$G$32&gt;=0)," ",IF(AND(F23&gt;0,$G$32=0)," ",IF(AND(F23&gt;0,$G$32&gt;0),ROUND(F23/$G$32*1000,3))))</f>
        <v>1.803</v>
      </c>
    </row>
    <row r="24" spans="1:7" ht="15.75">
      <c r="A24" s="121" t="s">
        <v>274</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66925</v>
      </c>
      <c r="F30" s="411">
        <f>SUM(F23:F28)</f>
        <v>35594</v>
      </c>
      <c r="G30" s="415">
        <f>IF(SUM(G23:G28)=0,"",SUM(G23:G28))</f>
        <v>1.803</v>
      </c>
    </row>
    <row r="31" spans="1:7" ht="15.75">
      <c r="A31" s="121" t="s">
        <v>202</v>
      </c>
      <c r="B31" s="69"/>
      <c r="C31" s="118"/>
      <c r="D31" s="137">
        <f>summ!E27</f>
        <v>7</v>
      </c>
      <c r="E31" s="141" t="s">
        <v>197</v>
      </c>
      <c r="F31" s="414" t="str">
        <f>IF(F30&gt;computation!J34,"Yes","No")</f>
        <v>No</v>
      </c>
      <c r="G31" s="416" t="s">
        <v>133</v>
      </c>
    </row>
    <row r="32" spans="1:7" ht="15.75">
      <c r="A32" s="121" t="s">
        <v>221</v>
      </c>
      <c r="B32" s="139"/>
      <c r="C32" s="140"/>
      <c r="D32" s="137">
        <f>IF(Nhood!C35=0,"",Nhood!C35)</f>
        <v>7</v>
      </c>
      <c r="E32" s="412"/>
      <c r="F32" s="71"/>
      <c r="G32" s="146">
        <v>19742806</v>
      </c>
    </row>
    <row r="33" spans="1:7" ht="15.75">
      <c r="A33" s="142" t="s">
        <v>196</v>
      </c>
      <c r="B33" s="69"/>
      <c r="C33" s="118"/>
      <c r="D33" s="137">
        <f>IF(Resolution!E45=0,"",Resolution!E45)</f>
      </c>
      <c r="E33" s="62"/>
      <c r="F33" s="71"/>
      <c r="G33" s="608" t="str">
        <f>CONCATENATE("Nov. 1, ",G3," Total Assessed Valuation")</f>
        <v>Nov. 1, 2012 Total Assessed Valuation</v>
      </c>
    </row>
    <row r="34" spans="1:7" ht="15.75">
      <c r="A34" s="21"/>
      <c r="B34" s="71"/>
      <c r="C34" s="18"/>
      <c r="D34" s="143"/>
      <c r="E34" s="62"/>
      <c r="F34" s="71"/>
      <c r="G34" s="609"/>
    </row>
    <row r="35" spans="1:7" ht="15.75">
      <c r="A35" s="144" t="s">
        <v>575</v>
      </c>
      <c r="B35" s="71"/>
      <c r="C35" s="71"/>
      <c r="D35" s="71"/>
      <c r="E35" s="138"/>
      <c r="F35" s="71"/>
      <c r="G35" s="18"/>
    </row>
    <row r="36" spans="1:7" ht="15.75">
      <c r="A36" s="425" t="s">
        <v>734</v>
      </c>
      <c r="B36" s="425"/>
      <c r="C36" s="71"/>
      <c r="D36" s="71"/>
      <c r="E36" s="145"/>
      <c r="F36" s="71"/>
      <c r="G36" s="18"/>
    </row>
    <row r="37" spans="1:7" ht="15.75">
      <c r="A37" s="426"/>
      <c r="B37" s="427"/>
      <c r="C37" s="71"/>
      <c r="D37" s="71"/>
      <c r="E37" s="430"/>
      <c r="F37" s="71"/>
      <c r="G37" s="18"/>
    </row>
    <row r="38" spans="1:7" ht="15.75">
      <c r="A38" s="147" t="s">
        <v>576</v>
      </c>
      <c r="B38" s="71"/>
      <c r="C38" s="71"/>
      <c r="D38" s="129"/>
      <c r="E38" s="431"/>
      <c r="F38" s="129"/>
      <c r="G38" s="129"/>
    </row>
    <row r="39" spans="1:7" ht="15.75">
      <c r="A39" s="425" t="s">
        <v>735</v>
      </c>
      <c r="B39" s="425"/>
      <c r="C39" s="71"/>
      <c r="D39" s="42"/>
      <c r="E39" s="418"/>
      <c r="F39" s="418"/>
      <c r="G39" s="42"/>
    </row>
    <row r="40" spans="1:7" ht="15.75">
      <c r="A40" s="427" t="s">
        <v>736</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754</v>
      </c>
      <c r="B47" s="18"/>
      <c r="C47" s="17">
        <f>G3-1</f>
        <v>2011</v>
      </c>
      <c r="D47" s="42"/>
      <c r="E47" s="42"/>
      <c r="F47" s="150"/>
      <c r="G47" s="150"/>
    </row>
    <row r="48" spans="1:7" ht="15.75">
      <c r="A48" s="149"/>
      <c r="B48" s="71"/>
      <c r="C48" s="17"/>
      <c r="D48" s="18"/>
      <c r="E48" s="18"/>
      <c r="F48" s="26"/>
      <c r="G48" s="26"/>
    </row>
    <row r="49" spans="1:7" ht="15.75">
      <c r="A49" s="610" t="s">
        <v>755</v>
      </c>
      <c r="B49" s="611"/>
      <c r="C49" s="18"/>
      <c r="D49" s="42"/>
      <c r="E49" s="42"/>
      <c r="F49" s="42"/>
      <c r="G49" s="42"/>
    </row>
    <row r="50" spans="1:7" ht="15.75">
      <c r="A50" s="26" t="s">
        <v>30</v>
      </c>
      <c r="B50" s="26"/>
      <c r="C50" s="18"/>
      <c r="D50" s="612" t="s">
        <v>29</v>
      </c>
      <c r="E50" s="613"/>
      <c r="F50" s="613"/>
      <c r="G50" s="613"/>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01"/>
    </row>
    <row r="54" spans="1:7" ht="15.75">
      <c r="A54" s="16"/>
      <c r="B54" s="16"/>
      <c r="C54" s="16"/>
      <c r="D54" s="16"/>
      <c r="E54" s="16"/>
      <c r="F54" s="16"/>
      <c r="G54" s="601"/>
    </row>
    <row r="55" spans="1:7" ht="15.75">
      <c r="A55" s="16"/>
      <c r="B55" s="16"/>
      <c r="C55" s="16"/>
      <c r="D55" s="16"/>
      <c r="E55" s="16"/>
      <c r="F55" s="16"/>
      <c r="G55" s="601"/>
    </row>
    <row r="56" spans="1:7" ht="15.75">
      <c r="A56" s="16"/>
      <c r="B56" s="16"/>
      <c r="C56" s="16"/>
      <c r="D56" s="16"/>
      <c r="E56" s="16"/>
      <c r="F56" s="16"/>
      <c r="G56" s="601"/>
    </row>
    <row r="57" spans="1:7" ht="15.75">
      <c r="A57" s="16"/>
      <c r="B57" s="16"/>
      <c r="C57" s="16"/>
      <c r="D57" s="151"/>
      <c r="E57" s="16"/>
      <c r="F57" s="16"/>
      <c r="G57" s="601"/>
    </row>
    <row r="58" ht="15.75">
      <c r="G58" s="601"/>
    </row>
    <row r="59" ht="15.75">
      <c r="G59" s="601"/>
    </row>
    <row r="60" ht="15.75">
      <c r="G60" s="601"/>
    </row>
    <row r="61" ht="15.75">
      <c r="G61" s="601"/>
    </row>
    <row r="62" ht="15.75">
      <c r="G62" s="601"/>
    </row>
    <row r="63" ht="15.75">
      <c r="G63" s="601"/>
    </row>
    <row r="64" ht="15.75">
      <c r="G64" s="601"/>
    </row>
    <row r="65" ht="15.75">
      <c r="G65" s="601"/>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Watershed # 1 Walnut Creek</v>
      </c>
      <c r="D1" s="18"/>
      <c r="E1" s="18"/>
      <c r="F1" s="18"/>
      <c r="G1" s="18"/>
      <c r="H1" s="18"/>
      <c r="I1" s="18"/>
      <c r="J1" s="18">
        <f>inputPrYr!D6</f>
        <v>2012</v>
      </c>
    </row>
    <row r="2" spans="1:10" ht="15.75" customHeight="1">
      <c r="A2" s="18"/>
      <c r="B2" s="18"/>
      <c r="C2" s="18" t="str">
        <f>inputPrYr!D4</f>
        <v>Brown County</v>
      </c>
      <c r="D2" s="18"/>
      <c r="E2" s="18"/>
      <c r="F2" s="18"/>
      <c r="G2" s="18"/>
      <c r="H2" s="18"/>
      <c r="I2" s="18"/>
      <c r="J2" s="18"/>
    </row>
    <row r="3" spans="1:10" ht="15.75">
      <c r="A3" s="587" t="str">
        <f>CONCATENATE("Computation to Determine Limit for ",J1,"")</f>
        <v>Computation to Determine Limit for 2012</v>
      </c>
      <c r="B3" s="602"/>
      <c r="C3" s="602"/>
      <c r="D3" s="602"/>
      <c r="E3" s="602"/>
      <c r="F3" s="602"/>
      <c r="G3" s="602"/>
      <c r="H3" s="602"/>
      <c r="I3" s="602"/>
      <c r="J3" s="602"/>
    </row>
    <row r="4" spans="1:10" ht="15.75">
      <c r="A4" s="18"/>
      <c r="B4" s="18"/>
      <c r="C4" s="18"/>
      <c r="D4" s="18"/>
      <c r="E4" s="602"/>
      <c r="F4" s="602"/>
      <c r="G4" s="602"/>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35319</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35319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68370</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267295</v>
      </c>
      <c r="F14" s="155"/>
      <c r="G14" s="39"/>
      <c r="H14" s="39"/>
      <c r="I14" s="158"/>
      <c r="J14" s="39"/>
    </row>
    <row r="15" spans="1:10" ht="15.75">
      <c r="A15" s="154"/>
      <c r="B15" s="18" t="s">
        <v>97</v>
      </c>
      <c r="C15" s="18" t="str">
        <f>CONCATENATE("Personal Property ",J1-2,"")</f>
        <v>Personal Property 2010</v>
      </c>
      <c r="D15" s="154" t="s">
        <v>93</v>
      </c>
      <c r="E15" s="43">
        <f>inputOth!E11</f>
        <v>264265</v>
      </c>
      <c r="F15" s="155"/>
      <c r="G15" s="158"/>
      <c r="H15" s="158"/>
      <c r="I15" s="39"/>
      <c r="J15" s="39"/>
    </row>
    <row r="16" spans="1:10" ht="15.75">
      <c r="A16" s="154"/>
      <c r="B16" s="18" t="s">
        <v>98</v>
      </c>
      <c r="C16" s="18" t="s">
        <v>112</v>
      </c>
      <c r="D16" s="18"/>
      <c r="E16" s="39"/>
      <c r="F16" s="39" t="s">
        <v>90</v>
      </c>
      <c r="G16" s="157">
        <f>IF(E14&gt;E15,E14-E15,0)</f>
        <v>3030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81037</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152437</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19733109</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19580672</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0.007785074996404618</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275</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35594</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35594</v>
      </c>
    </row>
    <row r="35" spans="1:10" ht="16.5" thickTop="1">
      <c r="A35" s="18"/>
      <c r="B35" s="18"/>
      <c r="C35" s="18"/>
      <c r="D35" s="18"/>
      <c r="E35" s="18"/>
      <c r="F35" s="18"/>
      <c r="G35" s="18"/>
      <c r="H35" s="18"/>
      <c r="I35" s="18"/>
      <c r="J35" s="18"/>
    </row>
    <row r="36" spans="1:10" ht="15.75">
      <c r="A36" s="616" t="str">
        <f>CONCATENATE("If the ",J1," budget includes tax levies exceeding the total on line 14, you must")</f>
        <v>If the 2012 budget includes tax levies exceeding the total on line 14, you must</v>
      </c>
      <c r="B36" s="616"/>
      <c r="C36" s="616"/>
      <c r="D36" s="616"/>
      <c r="E36" s="616"/>
      <c r="F36" s="616"/>
      <c r="G36" s="616"/>
      <c r="H36" s="616"/>
      <c r="I36" s="616"/>
      <c r="J36" s="616"/>
    </row>
    <row r="37" spans="1:10" ht="15.75">
      <c r="A37" s="616" t="s">
        <v>118</v>
      </c>
      <c r="B37" s="616"/>
      <c r="C37" s="616"/>
      <c r="D37" s="616"/>
      <c r="E37" s="616"/>
      <c r="F37" s="616"/>
      <c r="G37" s="616"/>
      <c r="H37" s="616"/>
      <c r="I37" s="616"/>
      <c r="J37" s="61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 1 Walnut Creek</v>
      </c>
      <c r="C1" s="18"/>
      <c r="D1" s="18"/>
      <c r="E1" s="18"/>
      <c r="F1" s="18"/>
      <c r="G1" s="18"/>
      <c r="H1" s="18"/>
      <c r="I1" s="164"/>
      <c r="J1" s="18"/>
    </row>
    <row r="2" spans="1:10" ht="15.75">
      <c r="A2" s="18"/>
      <c r="B2" s="18" t="str">
        <f>inputPrYr!D4</f>
        <v>Brown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7" t="s">
        <v>231</v>
      </c>
      <c r="C6" s="617"/>
      <c r="D6" s="617"/>
      <c r="E6" s="617"/>
      <c r="F6" s="617"/>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0" t="str">
        <f>CONCATENATE("",J2-1,"                    Budgeted Funds")</f>
        <v>2011                    Budgeted Funds</v>
      </c>
      <c r="C9" s="618" t="str">
        <f>CONCATENATE("Tax Levy Amount in ",J2-2," Budget")</f>
        <v>Tax Levy Amount in 2010 Budget</v>
      </c>
      <c r="D9" s="604" t="str">
        <f>CONCATENATE("Allocation for Year ",J2,"")</f>
        <v>Allocation for Year 2012</v>
      </c>
      <c r="E9" s="621"/>
      <c r="F9" s="621"/>
      <c r="G9" s="606"/>
      <c r="H9" s="18"/>
      <c r="I9" s="18"/>
      <c r="J9" s="18"/>
    </row>
    <row r="10" spans="1:10" ht="15.75">
      <c r="A10" s="18"/>
      <c r="B10" s="619"/>
      <c r="C10" s="619"/>
      <c r="D10" s="116" t="s">
        <v>44</v>
      </c>
      <c r="E10" s="116" t="s">
        <v>45</v>
      </c>
      <c r="F10" s="116" t="s">
        <v>85</v>
      </c>
      <c r="G10" s="113" t="s">
        <v>158</v>
      </c>
      <c r="H10" s="18"/>
      <c r="I10" s="18"/>
      <c r="J10" s="18"/>
    </row>
    <row r="11" spans="1:10" ht="15.75">
      <c r="A11" s="18"/>
      <c r="B11" s="38" t="str">
        <f>inputPrYr!B19</f>
        <v>General</v>
      </c>
      <c r="C11" s="127">
        <f>inputPrYr!E19</f>
        <v>35319</v>
      </c>
      <c r="D11" s="127">
        <f>IF(E17=0,0,E17-D12-D13-D14)</f>
        <v>2047</v>
      </c>
      <c r="E11" s="127">
        <f>IF(E19=0,0,E19-E12-E13-E14)</f>
        <v>44</v>
      </c>
      <c r="F11" s="127">
        <f>IF(E21=0,0,E21-F12-F13-F14)</f>
        <v>341</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35319</v>
      </c>
      <c r="D15" s="136">
        <f>SUM(D11:D14)</f>
        <v>2047</v>
      </c>
      <c r="E15" s="136">
        <f>SUM(E11:E14)</f>
        <v>44</v>
      </c>
      <c r="F15" s="136">
        <f>SUM(F11:F14)</f>
        <v>341</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2047</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44</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341</v>
      </c>
      <c r="F21" s="18"/>
      <c r="G21" s="18"/>
      <c r="H21" s="18"/>
      <c r="I21" s="18"/>
      <c r="J21" s="18"/>
    </row>
    <row r="22" spans="1:10" ht="15.75">
      <c r="A22" s="18"/>
      <c r="B22" s="18"/>
      <c r="C22" s="18"/>
      <c r="D22" s="18"/>
      <c r="E22" s="18"/>
      <c r="F22" s="18"/>
      <c r="G22" s="18"/>
      <c r="H22" s="18"/>
      <c r="I22" s="18"/>
      <c r="J22" s="18"/>
    </row>
    <row r="23" spans="1:10" ht="15.75">
      <c r="A23" s="18"/>
      <c r="B23" s="18" t="s">
        <v>211</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0.057957473314646506</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0.001245788385854639</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0.009654859990373453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212</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Watershed # 1 Walnut Creek</v>
      </c>
      <c r="B2" s="174"/>
      <c r="C2" s="18"/>
      <c r="D2" s="18"/>
      <c r="E2" s="164"/>
      <c r="F2" s="18"/>
    </row>
    <row r="3" spans="1:6" ht="15.75">
      <c r="A3" s="174" t="str">
        <f>inputPrYr!D4</f>
        <v>Brown County</v>
      </c>
      <c r="B3" s="174"/>
      <c r="C3" s="18"/>
      <c r="D3" s="18"/>
      <c r="E3" s="164"/>
      <c r="F3" s="18"/>
    </row>
    <row r="4" spans="1:6" ht="15.75">
      <c r="A4" s="165"/>
      <c r="B4" s="18"/>
      <c r="C4" s="18"/>
      <c r="D4" s="18"/>
      <c r="E4" s="164"/>
      <c r="F4" s="18"/>
    </row>
    <row r="5" spans="1:6" ht="15" customHeight="1">
      <c r="A5" s="602" t="s">
        <v>142</v>
      </c>
      <c r="B5" s="602"/>
      <c r="C5" s="602"/>
      <c r="D5" s="602"/>
      <c r="E5" s="602"/>
      <c r="F5" s="602"/>
    </row>
    <row r="6" spans="1:6" ht="14.25" customHeight="1">
      <c r="A6" s="99"/>
      <c r="B6" s="175"/>
      <c r="C6" s="175"/>
      <c r="D6" s="175"/>
      <c r="E6" s="175"/>
      <c r="F6" s="175"/>
    </row>
    <row r="7" spans="1:6" ht="17.25" customHeight="1">
      <c r="A7" s="176" t="s">
        <v>24</v>
      </c>
      <c r="B7" s="176" t="s">
        <v>563</v>
      </c>
      <c r="C7" s="176" t="s">
        <v>50</v>
      </c>
      <c r="D7" s="176" t="s">
        <v>143</v>
      </c>
      <c r="E7" s="176" t="s">
        <v>144</v>
      </c>
      <c r="F7" s="176" t="s">
        <v>159</v>
      </c>
    </row>
    <row r="8" spans="1:6" ht="17.25" customHeight="1">
      <c r="A8" s="177" t="s">
        <v>564</v>
      </c>
      <c r="B8" s="177" t="s">
        <v>565</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t="s">
        <v>739</v>
      </c>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562</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566</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308</v>
      </c>
    </row>
    <row r="2" ht="15.75">
      <c r="A2" s="98"/>
    </row>
    <row r="3" ht="47.25">
      <c r="A3" s="339" t="s">
        <v>309</v>
      </c>
    </row>
    <row r="4" ht="15.75">
      <c r="A4" s="340"/>
    </row>
    <row r="5" ht="15.75">
      <c r="A5" s="98"/>
    </row>
    <row r="6" ht="63">
      <c r="A6" s="339" t="s">
        <v>310</v>
      </c>
    </row>
    <row r="7" ht="15.75">
      <c r="A7" s="340"/>
    </row>
    <row r="8" ht="15.75">
      <c r="A8" s="98"/>
    </row>
    <row r="9" ht="47.25">
      <c r="A9" s="339" t="s">
        <v>311</v>
      </c>
    </row>
    <row r="10" ht="15.75">
      <c r="A10" s="340"/>
    </row>
    <row r="11" ht="15.75">
      <c r="A11" s="340"/>
    </row>
    <row r="12" ht="31.5">
      <c r="A12" s="339" t="s">
        <v>312</v>
      </c>
    </row>
    <row r="13" ht="15.75">
      <c r="A13" s="98"/>
    </row>
    <row r="14" ht="15.75">
      <c r="A14" s="98"/>
    </row>
    <row r="15" ht="47.25">
      <c r="A15" s="339" t="s">
        <v>313</v>
      </c>
    </row>
    <row r="16" ht="15.75">
      <c r="A16" s="98"/>
    </row>
    <row r="17" ht="15.75">
      <c r="A17" s="98"/>
    </row>
    <row r="18" ht="63">
      <c r="A18" s="518" t="s">
        <v>672</v>
      </c>
    </row>
    <row r="19" ht="15.75">
      <c r="A19" s="98"/>
    </row>
    <row r="20" ht="15.75">
      <c r="A20" s="98"/>
    </row>
    <row r="21" ht="63">
      <c r="A21" s="361" t="s">
        <v>314</v>
      </c>
    </row>
    <row r="22" ht="15.75">
      <c r="A22" s="340"/>
    </row>
    <row r="23" ht="15.75">
      <c r="A23" s="98"/>
    </row>
    <row r="24" ht="63">
      <c r="A24" s="339" t="s">
        <v>315</v>
      </c>
    </row>
    <row r="25" ht="47.25">
      <c r="A25" s="341" t="s">
        <v>316</v>
      </c>
    </row>
    <row r="26" ht="15.75">
      <c r="A26" s="340"/>
    </row>
    <row r="27" ht="15.75">
      <c r="A27" s="98"/>
    </row>
    <row r="28" ht="63">
      <c r="A28" s="518" t="s">
        <v>673</v>
      </c>
    </row>
    <row r="29" ht="15.75">
      <c r="A29" s="98"/>
    </row>
    <row r="30" ht="15.75">
      <c r="A30" s="98"/>
    </row>
    <row r="31" ht="78.75">
      <c r="A31" s="518" t="s">
        <v>674</v>
      </c>
    </row>
    <row r="32" ht="15.75">
      <c r="A32" s="98"/>
    </row>
    <row r="33" ht="15.75">
      <c r="A33" s="98"/>
    </row>
    <row r="34" ht="47.25">
      <c r="A34" s="519" t="s">
        <v>675</v>
      </c>
    </row>
    <row r="35" ht="15.75">
      <c r="A35" s="98"/>
    </row>
    <row r="36" ht="15.75">
      <c r="A36" s="98"/>
    </row>
    <row r="37" ht="78.75">
      <c r="A37" s="339" t="s">
        <v>317</v>
      </c>
    </row>
    <row r="38" ht="15.75">
      <c r="A38" s="340"/>
    </row>
    <row r="39" ht="15.75">
      <c r="A39" s="340"/>
    </row>
    <row r="40" ht="47.25">
      <c r="A40" s="361" t="s">
        <v>318</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2011-07-06T19:42:40Z</cp:lastPrinted>
  <dcterms:created xsi:type="dcterms:W3CDTF">1999-08-06T13:59:57Z</dcterms:created>
  <dcterms:modified xsi:type="dcterms:W3CDTF">2011-12-14T22:16:47Z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