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<sst xmlns="http://schemas.openxmlformats.org/spreadsheetml/2006/main" count="1115" uniqueCount="754">
  <si>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</si>
  <si>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</si>
  <si>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</si>
  <si>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</si>
  <si>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</si>
  <si>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</si>
  <si>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</si>
  <si>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</si>
  <si>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</si>
  <si>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</si>
  <si>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</si>
  <si>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</si>
  <si>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</si>
  <si>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</si>
  <si>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</si>
  <si>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</si>
  <si>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</si>
  <si>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</si>
  <si>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</si>
  <si>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</si>
  <si>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</si>
  <si>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</si>
  <si>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</si>
  <si>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</si>
  <si>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</si>
  <si>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</si>
  <si>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</si>
  <si>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</si>
  <si>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</si>
  <si>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</si>
  <si>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</si>
  <si>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</si>
  <si>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</si>
  <si>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</si>
  <si>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</si>
  <si>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</si>
  <si>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</si>
  <si>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</si>
  <si>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</si>
  <si>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</si>
  <si>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</si>
  <si>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</si>
  <si>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</si>
  <si>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</si>
  <si>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</si>
  <si>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</si>
  <si>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</si>
  <si>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</si>
  <si>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</si>
  <si>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</si>
  <si>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</si>
  <si>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</si>
  <si>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</si>
  <si>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</si>
  <si>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</si>
  <si>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</si>
  <si>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</si>
  <si>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</si>
  <si>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</si>
  <si>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</si>
  <si>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</si>
  <si>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</si>
  <si>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</si>
  <si>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</si>
  <si>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</si>
  <si>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</si>
  <si>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</si>
  <si>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</si>
  <si>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</si>
  <si>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</si>
  <si>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</si>
  <si>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</si>
  <si>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</si>
  <si>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</si>
  <si>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</si>
  <si>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</si>
  <si>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</si>
  <si>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</si>
  <si>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</si>
  <si>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</si>
  <si>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</si>
  <si>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</si>
  <si>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</si>
  <si>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</si>
  <si>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</si>
  <si>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</si>
  <si>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</si>
  <si>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</si>
  <si>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</si>
  <si>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</si>
  <si>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</si>
  <si>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</si>
  <si>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</si>
  <si>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</si>
  <si>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</si>
  <si>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</si>
  <si>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</si>
  <si>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</si>
  <si>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</si>
  <si>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</si>
  <si>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</si>
  <si>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</si>
  <si>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</si>
  <si>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</si>
  <si>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</si>
  <si>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</si>
  <si>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</si>
  <si>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</si>
  <si>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</si>
  <si>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</si>
  <si>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</si>
  <si>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</si>
  <si>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</si>
  <si>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</si>
  <si>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</si>
  <si>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</si>
  <si>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</si>
  <si>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</si>
  <si>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</si>
  <si>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</si>
  <si>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</si>
  <si>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</si>
  <si>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</si>
  <si>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</si>
  <si>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</si>
  <si>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</si>
  <si>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</si>
  <si>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</si>
  <si>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</si>
  <si>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</si>
  <si>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</si>
  <si>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</si>
  <si>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</si>
  <si>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</si>
  <si>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</si>
  <si>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</si>
  <si>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</si>
  <si>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</si>
  <si>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</si>
  <si>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</si>
  <si>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</si>
  <si>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</si>
  <si>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</si>
  <si>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</si>
  <si>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</si>
  <si>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</si>
  <si>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</si>
  <si>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</si>
  <si>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</si>
  <si>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</si>
  <si>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</si>
  <si>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</si>
  <si>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</si>
  <si>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</si>
  <si>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</si>
  <si>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</si>
  <si>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</si>
  <si>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</si>
  <si>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</si>
  <si>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</si>
  <si>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</si>
  <si>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</si>
  <si>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</si>
  <si>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</si>
  <si>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</si>
  <si>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</si>
  <si>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</si>
  <si>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</si>
  <si>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</si>
  <si>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</si>
  <si>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</si>
  <si>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</si>
  <si>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</si>
  <si>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</si>
  <si>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</si>
  <si>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</si>
  <si>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</si>
  <si>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</si>
  <si>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</si>
  <si>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</si>
  <si>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</si>
  <si>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</si>
  <si>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</si>
  <si>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</si>
  <si>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</si>
  <si>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</si>
  <si>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</si>
  <si>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</si>
  <si>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</si>
  <si>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</si>
  <si>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</si>
  <si>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</si>
  <si>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</si>
  <si>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</si>
  <si>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</si>
  <si>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</si>
  <si>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</si>
  <si>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</si>
  <si>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</si>
  <si>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</si>
  <si>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</si>
  <si>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</si>
  <si>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</si>
  <si>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</si>
  <si>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</si>
  <si>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</si>
  <si>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</si>
  <si>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</si>
  <si>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</si>
  <si>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</si>
  <si>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</si>
  <si>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</si>
  <si>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</si>
  <si>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</si>
  <si>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</si>
  <si>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</si>
  <si>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</si>
  <si>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</si>
  <si>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</si>
  <si>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</si>
  <si>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</si>
  <si>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</si>
  <si>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</si>
  <si>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</si>
  <si>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</si>
  <si>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</si>
  <si>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</si>
  <si>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</si>
  <si>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</si>
  <si>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</si>
  <si>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</si>
  <si>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</si>
  <si>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</si>
  <si>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</si>
  <si>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</si>
  <si>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</si>
  <si>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</si>
  <si>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</si>
  <si>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</si>
  <si>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</si>
  <si>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</si>
  <si>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</si>
  <si>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</si>
  <si>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</si>
  <si>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</si>
  <si>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</si>
  <si>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</si>
  <si>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</si>
  <si>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</si>
  <si>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</si>
  <si>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</si>
  <si>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</si>
  <si>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</si>
  <si>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</si>
  <si>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</si>
  <si>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</si>
  <si>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</si>
  <si>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</si>
  <si>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</si>
  <si>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</si>
  <si>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</si>
  <si>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</si>
  <si>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</si>
  <si>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</si>
  <si>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</si>
  <si>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</si>
  <si>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</si>
  <si>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</si>
  <si>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</si>
  <si>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</si>
  <si>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</si>
  <si>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</si>
  <si>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</si>
  <si>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</si>
  <si>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</si>
  <si>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</si>
  <si>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</si>
  <si>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</si>
  <si>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</si>
  <si>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</si>
  <si>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</si>
  <si>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</si>
  <si>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</si>
  <si>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</si>
  <si>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</si>
  <si>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</si>
  <si>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</si>
  <si>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</si>
  <si>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</si>
  <si>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</si>
  <si>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</si>
  <si>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</si>
  <si>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</si>
  <si>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</si>
  <si>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</si>
  <si>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</si>
  <si>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</si>
  <si>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</si>
  <si>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</si>
  <si>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</si>
  <si>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</si>
  <si>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</si>
  <si>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</si>
  <si>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</si>
  <si>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</si>
  <si>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</si>
  <si>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</si>
  <si>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</si>
  <si>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</si>
  <si>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</si>
  <si>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</si>
  <si>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</si>
  <si>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</si>
  <si>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</si>
  <si>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</si>
  <si>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</si>
  <si>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</si>
  <si>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</si>
  <si>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</si>
  <si>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</si>
  <si>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</si>
  <si>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</si>
  <si>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</si>
  <si>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</si>
  <si>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</si>
  <si>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</si>
  <si>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</si>
  <si>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</si>
  <si>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</si>
  <si>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</si>
  <si>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</si>
  <si>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</si>
  <si>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</si>
  <si>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</si>
  <si>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</si>
  <si>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</si>
  <si>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</si>
  <si>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</si>
  <si>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</si>
  <si>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</si>
  <si>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</si>
  <si>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</si>
  <si>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</si>
  <si>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</si>
  <si>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</si>
  <si>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</si>
  <si>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</si>
  <si>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</si>
  <si>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</si>
  <si>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</si>
  <si>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</si>
  <si>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</si>
  <si>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</si>
  <si>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</si>
  <si>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</si>
  <si>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</si>
  <si>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</si>
  <si>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</si>
  <si>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</si>
  <si>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</si>
  <si>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</si>
  <si>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</si>
  <si>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</si>
  <si>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</si>
  <si>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</si>
  <si>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</si>
  <si>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</si>
  <si>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</si>
  <si>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</si>
  <si>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</si>
  <si>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</si>
  <si>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</si>
  <si>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</si>
  <si>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</si>
  <si>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</si>
  <si>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</si>
  <si>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</si>
  <si>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</si>
  <si>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</si>
  <si>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</si>
  <si>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</si>
  <si>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</si>
  <si>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</si>
  <si>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</si>
  <si>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</si>
  <si>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</si>
  <si>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</si>
  <si>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</si>
  <si>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</si>
  <si>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</si>
  <si>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</si>
  <si>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</si>
  <si>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</si>
  <si>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</si>
  <si>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</si>
  <si>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</si>
  <si>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</si>
  <si>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</si>
  <si>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</si>
  <si>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</si>
  <si>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</si>
  <si>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</si>
  <si>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</si>
  <si>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</si>
  <si>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</si>
  <si>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</si>
  <si>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</si>
  <si>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</si>
  <si>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</si>
  <si>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</si>
  <si>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</si>
  <si>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</si>
  <si>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</si>
  <si>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</si>
  <si>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</si>
  <si>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</si>
  <si>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</si>
  <si>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</si>
  <si>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</si>
  <si>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</si>
  <si>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</si>
  <si>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</si>
  <si>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</si>
  <si>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</si>
  <si>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</si>
  <si>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</si>
  <si>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</si>
  <si>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</si>
  <si>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</si>
  <si>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</si>
  <si>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</si>
  <si>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</si>
  <si>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</si>
  <si>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</si>
  <si>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</si>
  <si>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</si>
  <si>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</si>
  <si>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</si>
  <si>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</si>
  <si>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</si>
  <si>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</si>
  <si>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</si>
  <si>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</si>
  <si>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</si>
  <si>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</si>
  <si>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</si>
  <si>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</si>
  <si>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</si>
  <si>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</si>
  <si>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</si>
  <si>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</si>
  <si>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</si>
  <si>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</si>
  <si>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</si>
  <si>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</si>
  <si>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</si>
  <si>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</si>
  <si>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</si>
  <si>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</si>
  <si>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</si>
  <si>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</si>
  <si>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</si>
  <si>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</si>
  <si>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</si>
  <si>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</si>
  <si>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</si>
  <si>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</si>
  <si>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</si>
  <si>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</si>
  <si>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</si>
  <si>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</si>
  <si>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</si>
  <si>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</si>
  <si>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</si>
  <si>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</si>
  <si>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</si>
  <si>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</si>
  <si>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</si>
  <si>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</si>
  <si>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</si>
  <si>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</si>
  <si>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</si>
  <si>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</si>
  <si>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</si>
  <si>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</si>
  <si>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</si>
  <si>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</si>
  <si>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</si>
  <si>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</si>
  <si>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</si>
  <si>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</si>
  <si>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</si>
  <si>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</si>
  <si>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</si>
  <si>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</si>
  <si>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</si>
  <si>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</si>
  <si>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</si>
  <si>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</si>
  <si>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</si>
  <si>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</si>
  <si>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</si>
  <si>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</si>
  <si>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</si>
  <si>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</si>
  <si>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</si>
  <si>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</si>
  <si>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</si>
  <si>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</si>
  <si>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</si>
  <si>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</si>
  <si>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</si>
  <si>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</si>
  <si>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</si>
  <si>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</si>
  <si>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</si>
  <si>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</si>
  <si>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</si>
  <si>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</si>
  <si>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</si>
  <si>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</si>
  <si>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</si>
  <si>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</si>
  <si>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</si>
  <si>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</si>
  <si>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</si>
  <si>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</si>
  <si>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</si>
  <si>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</si>
  <si>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</si>
  <si>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</si>
  <si>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</si>
  <si>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</si>
  <si>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</si>
  <si>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</si>
  <si>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</si>
  <si>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</si>
  <si>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</si>
  <si>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</si>
  <si>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</si>
  <si>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</si>
  <si>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</si>
  <si>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</si>
  <si>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</si>
  <si>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</si>
  <si>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</si>
  <si>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</si>
  <si>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</si>
  <si>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</si>
  <si>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</si>
  <si>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</si>
  <si>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</si>
  <si>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</si>
  <si>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</si>
  <si>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</si>
  <si>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</si>
  <si>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</si>
  <si>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</si>
  <si>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</si>
  <si>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</si>
  <si>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</si>
  <si>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</si>
  <si>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</si>
  <si>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</si>
  <si>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</si>
  <si>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</si>
  <si>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</si>
  <si>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</si>
  <si>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</si>
  <si>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</si>
  <si>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</si>
  <si>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</si>
  <si>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</si>
  <si>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</si>
  <si>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</si>
  <si>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</si>
  <si>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</si>
  <si>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</si>
  <si>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</si>
  <si>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</si>
  <si>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</si>
  <si>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</si>
  <si>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</si>
  <si>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</si>
  <si>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</si>
  <si>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</si>
  <si>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</si>
  <si>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</si>
  <si>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</si>
  <si>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</si>
  <si>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</si>
  <si>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</si>
  <si>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</si>
  <si>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</si>
  <si>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</si>
  <si>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</si>
  <si>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</si>
  <si>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</si>
  <si>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</si>
  <si>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</si>
  <si>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</si>
  <si>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</si>
  <si>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</si>
  <si>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</si>
  <si>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</si>
  <si>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</si>
  <si>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</si>
  <si>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</si>
  <si>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</si>
  <si>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</si>
  <si>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</si>
  <si>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</si>
  <si>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</si>
  <si>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</si>
  <si>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</si>
  <si>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</si>
  <si>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</si>
  <si>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</si>
  <si>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</si>
  <si>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</si>
  <si>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</si>
  <si>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</si>
  <si>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</si>
  <si>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</si>
  <si>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</si>
  <si>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</si>
  <si>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</si>
  <si>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</si>
  <si>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</si>
  <si>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</si>
  <si>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</si>
  <si>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</si>
  <si>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</si>
  <si>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</si>
  <si>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</si>
  <si>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</si>
  <si>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</si>
  <si>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</si>
  <si>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</si>
  <si>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</si>
  <si>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</si>
  <si>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</si>
  <si>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</si>
  <si>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</si>
  <si>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</si>
  <si>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</si>
  <si>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</si>
  <si>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</si>
  <si>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</si>
  <si>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</si>
  <si>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</si>
  <si>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</si>
  <si>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</si>
  <si>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</si>
  <si>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</si>
  <si>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</si>
  <si>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</si>
  <si>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</si>
  <si>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</si>
  <si>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</si>
  <si>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</si>
  <si>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</si>
  <si>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</si>
  <si>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</si>
  <si>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</si>
  <si>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</si>
  <si>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</si>
  <si>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</si>
  <si>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</si>
  <si>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</si>
  <si>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</si>
  <si>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</si>
  <si>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</si>
  <si>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</si>
  <si>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</si>
  <si>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</si>
  <si>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</si>
  <si>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</si>
  <si>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</si>
  <si>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</si>
  <si>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</si>
  <si>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</si>
  <si>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</si>
  <si>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</si>
  <si>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</si>
  <si>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</si>
  <si>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</si>
  <si>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</si>
  <si>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</si>
  <si>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</si>
  <si>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</si>
  <si>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</si>
  <si>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</si>
  <si>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</si>
  <si>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</si>
  <si>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</si>
  <si>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</si>
  <si>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</si>
  <si>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</si>
  <si>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</si>
  <si>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</si>
  <si>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</si>
  <si>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</si>
  <si>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</si>
  <si>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</si>
  <si>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</si>
  <si>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</si>
  <si>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</si>
  <si>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</si>
  <si>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</si>
  <si>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</si>
  <si>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</si>
  <si>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</si>
  <si>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</si>
  <si>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</si>
  <si>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</si>
  <si>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</si>
  <si>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</si>
  <si>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</si>
  <si>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</si>
  <si>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</si>
  <si>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</si>
  <si>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</si>
  <si>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</si>
  <si>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</si>
  <si>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</si>
  <si>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</si>
  <si>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</si>
  <si>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</si>
  <si>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</si>
  <si>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</si>
  <si>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</si>
  <si>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</si>
  <si>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</si>
  <si>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</si>
  <si>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</si>
  <si>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</si>
  <si>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</si>
  <si>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</si>
  <si>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</si>
  <si>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Watershed # 75 Roy's Creek</t>
  </si>
  <si>
    <t>24-1219</t>
  </si>
  <si>
    <t>2831 Prairie Road</t>
  </si>
  <si>
    <t xml:space="preserve">Engineering </t>
  </si>
  <si>
    <t>Construction &amp; Maintenance</t>
  </si>
  <si>
    <t>Attorney Fees</t>
  </si>
  <si>
    <t>Insurance</t>
  </si>
  <si>
    <t>Budget &amp; Publication</t>
  </si>
  <si>
    <t>Supplies</t>
  </si>
  <si>
    <t>Cost Share</t>
  </si>
  <si>
    <t>July 27, 2011</t>
  </si>
  <si>
    <t>1:00 PM</t>
  </si>
  <si>
    <t>Attest:   August 25, 2011,</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</si>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</sst>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80" t="s">
        <v>709</v>
      </c>
    </row>
    <row r="60" ht="53.25" customHeight="1">
      <c r="A60" s="580" t="s">
        <v>710</v>
      </c>
    </row>
    <row r="61" ht="53.25" customHeight="1">
      <c r="A61" s="581" t="s">
        <v>711</v>
      </c>
    </row>
    <row r="62" ht="68.25" customHeight="1">
      <c r="A62" s="580"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80" t="s">
        <v>720</v>
      </c>
    </row>
    <row r="79" s="337" customFormat="1" ht="88.5" customHeight="1">
      <c r="A79" s="580"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80" t="s">
        <v>724</v>
      </c>
    </row>
    <row r="88" ht="81.75" customHeight="1">
      <c r="A88" s="580" t="s">
        <v>725</v>
      </c>
    </row>
    <row r="89" ht="97.5" customHeight="1">
      <c r="A89" s="580"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Watershed # 75 Roy's Creek</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739</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30">
      <selection activeCell="E45" sqref="E4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 75 Roy's Creek</v>
      </c>
      <c r="C1" s="240"/>
      <c r="D1" s="18"/>
      <c r="E1" s="191"/>
    </row>
    <row r="2" spans="2:5" ht="15.75">
      <c r="B2" s="18" t="str">
        <f>inputPrYr!D4</f>
        <v>Brown County</v>
      </c>
      <c r="C2" s="240"/>
      <c r="D2" s="18"/>
      <c r="E2" s="144"/>
    </row>
    <row r="3" spans="2:6" ht="15.75">
      <c r="B3" s="551"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118132</v>
      </c>
      <c r="D7" s="400">
        <f>C38</f>
        <v>129860</v>
      </c>
      <c r="E7" s="47">
        <f>D38</f>
        <v>118445</v>
      </c>
    </row>
    <row r="8" spans="2:5" ht="15.75">
      <c r="B8" s="245" t="s">
        <v>125</v>
      </c>
      <c r="C8" s="246"/>
      <c r="D8" s="246"/>
      <c r="E8" s="127"/>
    </row>
    <row r="9" spans="2:5" ht="15.75">
      <c r="B9" s="121" t="s">
        <v>33</v>
      </c>
      <c r="C9" s="393">
        <v>16560</v>
      </c>
      <c r="D9" s="400">
        <f>inputPrYr!E19</f>
        <v>16029</v>
      </c>
      <c r="E9" s="134" t="s">
        <v>28</v>
      </c>
    </row>
    <row r="10" spans="2:5" ht="15.75">
      <c r="B10" s="121" t="s">
        <v>34</v>
      </c>
      <c r="C10" s="393"/>
      <c r="D10" s="393"/>
      <c r="E10" s="208"/>
    </row>
    <row r="11" spans="2:5" ht="15.75">
      <c r="B11" s="121" t="s">
        <v>35</v>
      </c>
      <c r="C11" s="393"/>
      <c r="D11" s="393">
        <v>923</v>
      </c>
      <c r="E11" s="47">
        <f>mvalloc!D11</f>
        <v>907</v>
      </c>
    </row>
    <row r="12" spans="2:5" ht="15.75">
      <c r="B12" s="121" t="s">
        <v>36</v>
      </c>
      <c r="C12" s="393"/>
      <c r="D12" s="393">
        <v>20</v>
      </c>
      <c r="E12" s="47">
        <f>mvalloc!E11</f>
        <v>24</v>
      </c>
    </row>
    <row r="13" spans="2:5" ht="15.75">
      <c r="B13" s="246" t="s">
        <v>107</v>
      </c>
      <c r="C13" s="393"/>
      <c r="D13" s="393">
        <v>238</v>
      </c>
      <c r="E13" s="47">
        <f>mvalloc!F11</f>
        <v>228</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8"/>
      <c r="C17" s="393"/>
      <c r="D17" s="393"/>
      <c r="E17" s="208"/>
    </row>
    <row r="18" spans="2:5" ht="15.75">
      <c r="B18" s="248" t="s">
        <v>37</v>
      </c>
      <c r="C18" s="393">
        <v>2350</v>
      </c>
      <c r="D18" s="393">
        <v>2000</v>
      </c>
      <c r="E18" s="208"/>
    </row>
    <row r="19" spans="2:5" ht="15.75">
      <c r="B19" s="249" t="s">
        <v>220</v>
      </c>
      <c r="C19" s="247"/>
      <c r="D19" s="247"/>
      <c r="E19" s="208"/>
    </row>
    <row r="20" spans="2:5" ht="15.75">
      <c r="B20" s="249" t="s">
        <v>574</v>
      </c>
      <c r="C20" s="394">
        <f>IF(C21*0.1&lt;C19,"Exceed 10% Rule","")</f>
      </c>
      <c r="D20" s="394">
        <f>IF(D21*0.1&lt;D19,"Exceed 10% Rule","")</f>
      </c>
      <c r="E20" s="420">
        <f>IF(E21*0.1+E44&lt;E19,"Exceed 10% Rule","")</f>
      </c>
    </row>
    <row r="21" spans="2:5" ht="15.75">
      <c r="B21" s="252" t="s">
        <v>38</v>
      </c>
      <c r="C21" s="395">
        <f>SUM(C9:C19)</f>
        <v>18910</v>
      </c>
      <c r="D21" s="395">
        <f>SUM(D9:D19)</f>
        <v>19210</v>
      </c>
      <c r="E21" s="253">
        <f>SUM(E9:E19)</f>
        <v>1159</v>
      </c>
    </row>
    <row r="22" spans="2:5" ht="15.75">
      <c r="B22" s="252" t="s">
        <v>39</v>
      </c>
      <c r="C22" s="395">
        <f>C7+C21</f>
        <v>137042</v>
      </c>
      <c r="D22" s="395">
        <f>D7+D21</f>
        <v>149070</v>
      </c>
      <c r="E22" s="253">
        <f>E7+E21</f>
        <v>119604</v>
      </c>
    </row>
    <row r="23" spans="2:5" ht="15.75">
      <c r="B23" s="121" t="s">
        <v>40</v>
      </c>
      <c r="C23" s="125"/>
      <c r="D23" s="125"/>
      <c r="E23" s="38"/>
    </row>
    <row r="24" spans="2:5" ht="15.75">
      <c r="B24" s="247" t="s">
        <v>749</v>
      </c>
      <c r="C24" s="393">
        <v>3000</v>
      </c>
      <c r="D24" s="393">
        <v>15000</v>
      </c>
      <c r="E24" s="208">
        <v>15000</v>
      </c>
    </row>
    <row r="25" spans="2:5" ht="15.75">
      <c r="B25" s="247" t="s">
        <v>743</v>
      </c>
      <c r="C25" s="393"/>
      <c r="D25" s="393">
        <v>2000</v>
      </c>
      <c r="E25" s="208">
        <v>2000</v>
      </c>
    </row>
    <row r="26" spans="2:5" ht="15.75">
      <c r="B26" s="247" t="s">
        <v>744</v>
      </c>
      <c r="C26" s="393">
        <v>3515</v>
      </c>
      <c r="D26" s="393">
        <v>10000</v>
      </c>
      <c r="E26" s="208">
        <f>119604+16621-20625</f>
        <v>115600</v>
      </c>
    </row>
    <row r="27" spans="2:5" ht="15.75">
      <c r="B27" s="247" t="s">
        <v>745</v>
      </c>
      <c r="C27" s="393"/>
      <c r="D27" s="393">
        <v>1000</v>
      </c>
      <c r="E27" s="208">
        <v>1000</v>
      </c>
    </row>
    <row r="28" spans="2:5" ht="15.75">
      <c r="B28" s="247" t="s">
        <v>746</v>
      </c>
      <c r="C28" s="393"/>
      <c r="D28" s="393">
        <v>1000</v>
      </c>
      <c r="E28" s="208">
        <v>1000</v>
      </c>
    </row>
    <row r="29" spans="2:5" ht="15.75">
      <c r="B29" s="247" t="s">
        <v>747</v>
      </c>
      <c r="C29" s="393"/>
      <c r="D29" s="393">
        <v>125</v>
      </c>
      <c r="E29" s="208">
        <v>125</v>
      </c>
    </row>
    <row r="30" spans="2:5" ht="15.75">
      <c r="B30" s="247" t="s">
        <v>748</v>
      </c>
      <c r="C30" s="393">
        <v>667</v>
      </c>
      <c r="D30" s="393">
        <v>1500</v>
      </c>
      <c r="E30" s="208">
        <v>1500</v>
      </c>
    </row>
    <row r="31" spans="2:5" ht="15.75">
      <c r="B31" s="247"/>
      <c r="C31" s="393"/>
      <c r="D31" s="393"/>
      <c r="E31" s="208"/>
    </row>
    <row r="32" spans="2:10" ht="15.75">
      <c r="B32" s="247"/>
      <c r="C32" s="393"/>
      <c r="D32" s="393"/>
      <c r="E32" s="208"/>
      <c r="G32" s="550">
        <f>D38</f>
        <v>118445</v>
      </c>
      <c r="H32" s="549" t="str">
        <f>CONCATENATE("",F3-1," Ending Cash Balance (est.)")</f>
        <v>2011 Ending Cash Balance (est.)</v>
      </c>
      <c r="I32" s="539"/>
      <c r="J32" s="540"/>
    </row>
    <row r="33" spans="2:10" ht="15.75">
      <c r="B33" s="247"/>
      <c r="C33" s="393"/>
      <c r="D33" s="393"/>
      <c r="E33" s="208"/>
      <c r="G33" s="550">
        <f>E21</f>
        <v>1159</v>
      </c>
      <c r="H33" s="539" t="str">
        <f>CONCATENATE("",F3," Non-AV Receipts (est.)")</f>
        <v>2012 Non-AV Receipts (est.)</v>
      </c>
      <c r="I33" s="539"/>
      <c r="J33" s="540"/>
    </row>
    <row r="34" spans="2:10" ht="15.75">
      <c r="B34" s="125" t="s">
        <v>221</v>
      </c>
      <c r="C34" s="393"/>
      <c r="D34" s="393"/>
      <c r="E34" s="213">
        <f>Nhood!E7</f>
      </c>
      <c r="G34" s="538">
        <f>E44</f>
        <v>16621</v>
      </c>
      <c r="H34" s="539" t="str">
        <f>CONCATENATE("",F3," Ad Valorem Tax (est.)")</f>
        <v>2012 Ad Valorem Tax (est.)</v>
      </c>
      <c r="I34" s="539"/>
      <c r="J34" s="540"/>
    </row>
    <row r="35" spans="2:10" ht="15.75">
      <c r="B35" s="125" t="s">
        <v>220</v>
      </c>
      <c r="C35" s="393"/>
      <c r="D35" s="393"/>
      <c r="E35" s="37"/>
      <c r="G35" s="550">
        <f>SUM(G32:G34)</f>
        <v>136225</v>
      </c>
      <c r="H35" s="539" t="str">
        <f>CONCATENATE("Total ",E4," Resources Available")</f>
        <v>Total  Resources Available</v>
      </c>
      <c r="I35" s="539"/>
      <c r="J35" s="540"/>
    </row>
    <row r="36" spans="2:10" ht="15.75">
      <c r="B36" s="125" t="s">
        <v>573</v>
      </c>
      <c r="C36" s="394">
        <f>IF(C37*0.1&lt;C35,"Exceed 10% Rule","")</f>
      </c>
      <c r="D36" s="394">
        <f>IF(D37*0.1&lt;D35,"Exceed 10% Rule","")</f>
      </c>
      <c r="E36" s="420">
        <f>IF(E37*0.1&lt;E35,"Exceed 10% Rule","")</f>
      </c>
      <c r="G36" s="537"/>
      <c r="H36" s="539"/>
      <c r="I36" s="539"/>
      <c r="J36" s="540"/>
    </row>
    <row r="37" spans="2:10" ht="15.75">
      <c r="B37" s="252" t="s">
        <v>41</v>
      </c>
      <c r="C37" s="395">
        <f>SUM(C24:C35)</f>
        <v>7182</v>
      </c>
      <c r="D37" s="395">
        <f>SUM(D24:D35)</f>
        <v>30625</v>
      </c>
      <c r="E37" s="253">
        <f>SUM(E24:E35)</f>
        <v>136225</v>
      </c>
      <c r="G37" s="538">
        <f>C37*0.05+C37</f>
        <v>7541.1</v>
      </c>
      <c r="H37" s="539" t="str">
        <f>CONCATENATE("Less ",F3-2," Expenditures + 5%")</f>
        <v>Less 2010 Expenditures + 5%</v>
      </c>
      <c r="I37" s="539"/>
      <c r="J37" s="540"/>
    </row>
    <row r="38" spans="2:10" ht="15.75">
      <c r="B38" s="121" t="s">
        <v>124</v>
      </c>
      <c r="C38" s="396">
        <f>C22-C37</f>
        <v>129860</v>
      </c>
      <c r="D38" s="396">
        <f>D22-D37</f>
        <v>118445</v>
      </c>
      <c r="E38" s="134" t="s">
        <v>28</v>
      </c>
      <c r="G38" s="536">
        <f>G35-G37</f>
        <v>128683.9</v>
      </c>
      <c r="H38" s="535" t="str">
        <f>CONCATENATE("Projected ",F3+1," Carryover (est.)")</f>
        <v>Projected 2013 Carryover (est.)</v>
      </c>
      <c r="I38" s="521"/>
      <c r="J38" s="534"/>
    </row>
    <row r="39" spans="2:10" ht="15.75">
      <c r="B39" s="144" t="str">
        <f>CONCATENATE("",F3-2,"/",F3-1," Budget Authority Amount:")</f>
        <v>2010/2011 Budget Authority Amount:</v>
      </c>
      <c r="C39" s="122">
        <f>inputOth!B42</f>
        <v>15625</v>
      </c>
      <c r="D39" s="421">
        <f>inputPrYr!D19</f>
        <v>140275</v>
      </c>
      <c r="E39" s="134" t="s">
        <v>28</v>
      </c>
      <c r="F39" s="254"/>
      <c r="G39" s="16"/>
      <c r="H39" s="16"/>
      <c r="I39" s="16"/>
      <c r="J39" s="16"/>
    </row>
    <row r="40" spans="2:10" ht="15.75">
      <c r="B40" s="144"/>
      <c r="C40" s="625" t="s">
        <v>676</v>
      </c>
      <c r="D40" s="626"/>
      <c r="E40" s="37"/>
      <c r="F40" s="254">
        <f>IF(E37/0.95-E37&lt;E40,"Exceeds 5%","")</f>
      </c>
      <c r="G40" s="533">
        <f>IF(inputOth!E7=0,"",ROUND(gen!E44/inputOth!E7*1000,3))</f>
        <v>3.839</v>
      </c>
      <c r="H40" s="532" t="str">
        <f>CONCATENATE("Projected ",F3-1," Mill Rate (est.)")</f>
        <v>Projected 2011 Mill Rate (est.)</v>
      </c>
      <c r="I40" s="531"/>
      <c r="J40" s="530"/>
    </row>
    <row r="41" spans="2:10" ht="15.75">
      <c r="B41" s="419" t="str">
        <f>CONCATENATE(C57,"     ",D57)</f>
        <v>     </v>
      </c>
      <c r="C41" s="627" t="s">
        <v>677</v>
      </c>
      <c r="D41" s="628"/>
      <c r="E41" s="47">
        <f>E37+E40</f>
        <v>136225</v>
      </c>
      <c r="G41" s="529"/>
      <c r="H41" s="529"/>
      <c r="I41" s="529"/>
      <c r="J41" s="529"/>
    </row>
    <row r="42" spans="2:10" ht="15.75">
      <c r="B42" s="419" t="str">
        <f>CONCATENATE(C58,"     ",D58)</f>
        <v>     </v>
      </c>
      <c r="C42" s="555"/>
      <c r="D42" s="554" t="s">
        <v>678</v>
      </c>
      <c r="E42" s="44">
        <f>IF(E41-E22&gt;0,E41-E22,0)</f>
        <v>16621</v>
      </c>
      <c r="G42" s="629" t="str">
        <f>CONCATENATE("Desired Carryover Into ",F3+1,"")</f>
        <v>Desired Carryover Into 2013</v>
      </c>
      <c r="H42" s="630"/>
      <c r="I42" s="630"/>
      <c r="J42" s="631"/>
    </row>
    <row r="43" spans="2:10" ht="15.75">
      <c r="B43" s="164"/>
      <c r="C43" s="552" t="s">
        <v>679</v>
      </c>
      <c r="D43" s="553">
        <f>inputOth!$E$36</f>
        <v>0</v>
      </c>
      <c r="E43" s="47">
        <f>ROUND(IF(D43&gt;0,(E42*D43),0),0)</f>
        <v>0</v>
      </c>
      <c r="G43" s="528"/>
      <c r="H43" s="541"/>
      <c r="I43" s="539"/>
      <c r="J43" s="527"/>
    </row>
    <row r="44" spans="2:10" ht="15.75">
      <c r="B44" s="18"/>
      <c r="C44" s="623" t="str">
        <f>CONCATENATE("Amount of  ",$F$3-1," Ad Valorem Tax")</f>
        <v>Amount of  2011 Ad Valorem Tax</v>
      </c>
      <c r="D44" s="624"/>
      <c r="E44" s="44">
        <f>E42+E43</f>
        <v>16621</v>
      </c>
      <c r="G44" s="526" t="s">
        <v>681</v>
      </c>
      <c r="H44" s="539"/>
      <c r="I44" s="539"/>
      <c r="J44" s="525"/>
    </row>
    <row r="45" spans="2:10" ht="15.75">
      <c r="B45" s="18"/>
      <c r="C45" s="18"/>
      <c r="D45" s="18"/>
      <c r="E45" s="18"/>
      <c r="G45" s="528" t="s">
        <v>682</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229</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19">
    <cfRule type="cellIs" priority="34" dxfId="62" operator="greaterThan" stopIfTrue="1">
      <formula>$E$21*0.1+$E$44</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Watershed # 75 Roy's Creek</v>
      </c>
      <c r="C1" s="18"/>
      <c r="D1" s="18"/>
      <c r="E1" s="256">
        <f>inputPrYr!$D$6</f>
        <v>2012</v>
      </c>
    </row>
    <row r="2" spans="2:5" ht="15.75">
      <c r="B2" s="18"/>
      <c r="C2" s="18"/>
      <c r="D2" s="18"/>
      <c r="E2" s="164"/>
    </row>
    <row r="3" spans="2:5" ht="15.75">
      <c r="B3" s="551"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2" t="str">
        <f>CONCATENATE("Projected Carryover Into ",E1+1,"")</f>
        <v>Projected Carryover Into 2013</v>
      </c>
      <c r="H52" s="633"/>
      <c r="I52" s="634"/>
    </row>
    <row r="53" spans="2:9" ht="15.75">
      <c r="B53" s="125" t="s">
        <v>573</v>
      </c>
      <c r="C53" s="394">
        <f>IF(C54*0.1&lt;C52,"Exceed 10% Rule","")</f>
      </c>
      <c r="D53" s="394">
        <f>IF(D54*0.1&lt;D52,"Exceed 10% Rule","")</f>
      </c>
      <c r="E53" s="420">
        <f>IF(E54*0.1&lt;E52,"Exceed 10% Rule","")</f>
      </c>
      <c r="G53" s="556"/>
      <c r="H53" s="541"/>
      <c r="I53" s="540"/>
    </row>
    <row r="54" spans="2:9" ht="15.75">
      <c r="B54" s="252" t="s">
        <v>41</v>
      </c>
      <c r="C54" s="403">
        <f>SUM(C33:C52)</f>
        <v>0</v>
      </c>
      <c r="D54" s="403">
        <f>SUM(D33:D52)</f>
        <v>0</v>
      </c>
      <c r="E54" s="269">
        <f>SUM(E33:E52)</f>
        <v>0</v>
      </c>
      <c r="G54" s="550">
        <f>D54</f>
        <v>0</v>
      </c>
      <c r="H54" s="560" t="str">
        <f>CONCATENATE("",E1-1," Ending Cash Balance (est.)")</f>
        <v>2011 Ending Cash Balance (est.)</v>
      </c>
      <c r="I54" s="540"/>
    </row>
    <row r="55" spans="2:9" ht="15.75">
      <c r="B55" s="115" t="s">
        <v>124</v>
      </c>
      <c r="C55" s="401">
        <f>C31-C54</f>
        <v>0</v>
      </c>
      <c r="D55" s="401">
        <f>D31-D54</f>
        <v>0</v>
      </c>
      <c r="E55" s="262" t="s">
        <v>28</v>
      </c>
      <c r="G55" s="550">
        <f>E30</f>
        <v>0</v>
      </c>
      <c r="H55" s="561"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1" t="str">
        <f>CONCATENATE("",E1," Ad Valorem Tax (est.)")</f>
        <v>2012 Ad Valorem Tax (est.)</v>
      </c>
      <c r="I56" s="540"/>
    </row>
    <row r="57" spans="2:9" ht="15.75">
      <c r="B57" s="144"/>
      <c r="C57" s="625" t="s">
        <v>676</v>
      </c>
      <c r="D57" s="626"/>
      <c r="E57" s="37"/>
      <c r="F57" s="272">
        <f>IF(E54/0.95-E54&lt;E57,"Exceeds 5%","")</f>
      </c>
      <c r="G57" s="550">
        <f>SUM(G54:G56)</f>
        <v>0</v>
      </c>
      <c r="H57" s="561" t="str">
        <f>CONCATENATE("Total ",E1," Resources Available")</f>
        <v>Total 2012 Resources Available</v>
      </c>
      <c r="I57" s="540"/>
    </row>
    <row r="58" spans="2:9" ht="15.75">
      <c r="B58" s="419" t="str">
        <f>CONCATENATE(C69,"     ",D69)</f>
        <v>     </v>
      </c>
      <c r="C58" s="627" t="s">
        <v>677</v>
      </c>
      <c r="D58" s="628"/>
      <c r="E58" s="47">
        <f>E54+E57</f>
        <v>0</v>
      </c>
      <c r="G58" s="537"/>
      <c r="H58" s="561"/>
      <c r="I58" s="540"/>
    </row>
    <row r="59" spans="2:9" ht="15.75">
      <c r="B59" s="419" t="str">
        <f>CONCATENATE(C70,"     ",D70)</f>
        <v>     </v>
      </c>
      <c r="C59" s="557"/>
      <c r="D59" s="554" t="s">
        <v>678</v>
      </c>
      <c r="E59" s="44">
        <f>IF(E58-E31&gt;0,E58-E31,0)</f>
        <v>0</v>
      </c>
      <c r="G59" s="538">
        <f>C54</f>
        <v>0</v>
      </c>
      <c r="H59" s="561" t="str">
        <f>CONCATENATE("Less ",E1-2," Expenditures")</f>
        <v>Less 2010 Expenditures</v>
      </c>
      <c r="I59" s="540"/>
    </row>
    <row r="60" spans="2:9" ht="15.75">
      <c r="B60" s="164"/>
      <c r="C60" s="552" t="s">
        <v>679</v>
      </c>
      <c r="D60" s="553">
        <f>inputOth!$E$36</f>
        <v>0</v>
      </c>
      <c r="E60" s="47">
        <f>ROUND(IF(D60&gt;0,(E59*D60),0),0)</f>
        <v>0</v>
      </c>
      <c r="G60" s="575">
        <f>G57-G59</f>
        <v>0</v>
      </c>
      <c r="H60" s="562" t="str">
        <f>CONCATENATE("Projected ",E1+1," carryover (est.)")</f>
        <v>Projected 2013 carryover (est.)</v>
      </c>
      <c r="I60" s="534"/>
    </row>
    <row r="61" spans="2:5" ht="15.75">
      <c r="B61" s="18"/>
      <c r="C61" s="623" t="str">
        <f>CONCATENATE("Amount of  ",$E$1-1," Ad Valorem Tax")</f>
        <v>Amount of  2011 Ad Valorem Tax</v>
      </c>
      <c r="D61" s="624"/>
      <c r="E61" s="44">
        <f>E59+E60</f>
        <v>0</v>
      </c>
    </row>
    <row r="62" spans="2:9" ht="15.75">
      <c r="B62" s="164"/>
      <c r="C62" s="18"/>
      <c r="D62" s="18"/>
      <c r="E62" s="18"/>
      <c r="G62" s="576">
        <f>IF(inputOth!E7&gt;0,ROUND(DebtService!E61/inputOth!E7*1000,3),0)</f>
        <v>0</v>
      </c>
      <c r="H62" s="577" t="str">
        <f>CONCATENATE("",E1," Mill Rate")</f>
        <v>2012 Mill Rate</v>
      </c>
      <c r="I62" s="578"/>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 75 Roy's Creek</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5" t="s">
        <v>676</v>
      </c>
      <c r="D36" s="626"/>
      <c r="E36" s="37"/>
      <c r="F36" s="254">
        <f>IF(E33/0.95-E33&lt;E36,"Exceeds 5%","")</f>
      </c>
    </row>
    <row r="37" spans="2:5" ht="15.75">
      <c r="B37" s="419" t="str">
        <f>CONCATENATE(C87,"     ",D87)</f>
        <v>     </v>
      </c>
      <c r="C37" s="627" t="s">
        <v>677</v>
      </c>
      <c r="D37" s="628"/>
      <c r="E37" s="47">
        <f>E33+E36</f>
        <v>0</v>
      </c>
    </row>
    <row r="38" spans="2:5" ht="15.75">
      <c r="B38" s="419" t="str">
        <f>CONCATENATE(C88,"     ",D88)</f>
        <v>     </v>
      </c>
      <c r="C38" s="559"/>
      <c r="D38" s="554" t="s">
        <v>678</v>
      </c>
      <c r="E38" s="44">
        <f>IF(E37-E22&gt;0,E37-E22,0)</f>
        <v>0</v>
      </c>
    </row>
    <row r="39" spans="2:5" ht="15.75">
      <c r="B39" s="164"/>
      <c r="C39" s="552" t="s">
        <v>679</v>
      </c>
      <c r="D39" s="553">
        <f>inputOth!$E$36</f>
        <v>0</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5" t="s">
        <v>676</v>
      </c>
      <c r="D74" s="626"/>
      <c r="E74" s="37"/>
      <c r="F74" s="254">
        <f>IF(E71/0.95-E71&lt;E74,"Exceeds 5%","")</f>
      </c>
    </row>
    <row r="75" spans="2:5" ht="15.75">
      <c r="B75" s="419" t="str">
        <f>CONCATENATE(C89,"     ",D89)</f>
        <v>     </v>
      </c>
      <c r="C75" s="627" t="s">
        <v>677</v>
      </c>
      <c r="D75" s="628"/>
      <c r="E75" s="47">
        <f>E71+E74</f>
        <v>0</v>
      </c>
    </row>
    <row r="76" spans="2:5" ht="15.75">
      <c r="B76" s="419" t="str">
        <f>CONCATENATE(C90,"     ",D90)</f>
        <v>     </v>
      </c>
      <c r="C76" s="558"/>
      <c r="D76" s="554" t="s">
        <v>678</v>
      </c>
      <c r="E76" s="44">
        <f>IF(E75-E60&gt;0,E75-E60,0)</f>
        <v>0</v>
      </c>
    </row>
    <row r="77" spans="2:5" ht="15.75">
      <c r="B77" s="164"/>
      <c r="C77" s="552" t="s">
        <v>679</v>
      </c>
      <c r="D77" s="553">
        <f>inputOth!$E$36</f>
        <v>0</v>
      </c>
      <c r="E77" s="47">
        <f>ROUND(IF(D77&gt;0,(E76*D77),0),0)</f>
        <v>0</v>
      </c>
    </row>
    <row r="78" spans="2:5" ht="15.75">
      <c r="B78" s="18"/>
      <c r="C78" s="623" t="str">
        <f>CONCATENATE("Amount of  ",$F$3-1," Ad Valorem Tax")</f>
        <v>Amount of  2011 Ad Valorem Tax</v>
      </c>
      <c r="D78" s="624"/>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Watershed # 75 Roy's Creek</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Watershed # 75 Roy's Creek</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5">
        <f>inputPrYr!B30</f>
        <v>0</v>
      </c>
      <c r="B5" s="636"/>
      <c r="C5" s="635">
        <f>inputPrYr!B31</f>
        <v>0</v>
      </c>
      <c r="D5" s="636"/>
      <c r="E5" s="635">
        <f>inputPrYr!B32</f>
        <v>0</v>
      </c>
      <c r="F5" s="636"/>
      <c r="G5" s="635">
        <f>inputPrYr!B33</f>
        <v>0</v>
      </c>
      <c r="H5" s="636"/>
      <c r="I5" s="635">
        <f>inputPrYr!B34</f>
        <v>0</v>
      </c>
      <c r="J5" s="636"/>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39"/>
  <sheetViews>
    <sheetView zoomScale="89" zoomScaleNormal="89" zoomScalePageLayoutView="0" workbookViewId="0" topLeftCell="A1">
      <selection activeCell="A1" sqref="A1:H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81</v>
      </c>
      <c r="B1" s="588"/>
      <c r="C1" s="588"/>
      <c r="D1" s="588"/>
      <c r="E1" s="588"/>
      <c r="F1" s="588"/>
      <c r="G1" s="588"/>
      <c r="H1" s="645"/>
    </row>
    <row r="2" spans="1:8" ht="15.75">
      <c r="A2" s="18"/>
      <c r="B2" s="18"/>
      <c r="C2" s="18"/>
      <c r="D2" s="18"/>
      <c r="E2" s="18"/>
      <c r="F2" s="18"/>
      <c r="G2" s="18"/>
      <c r="H2" s="18"/>
    </row>
    <row r="3" spans="1:9" ht="15.75">
      <c r="A3" s="617" t="s">
        <v>108</v>
      </c>
      <c r="B3" s="617"/>
      <c r="C3" s="617"/>
      <c r="D3" s="617"/>
      <c r="E3" s="617"/>
      <c r="F3" s="617"/>
      <c r="G3" s="617"/>
      <c r="H3" s="617"/>
      <c r="I3" s="54">
        <f>inputPrYr!D6</f>
        <v>2012</v>
      </c>
    </row>
    <row r="4" spans="1:8" ht="15.75">
      <c r="A4" s="586" t="str">
        <f>inputPrYr!D3</f>
        <v>Watershed # 75 Roy's Creek</v>
      </c>
      <c r="B4" s="586"/>
      <c r="C4" s="586"/>
      <c r="D4" s="586"/>
      <c r="E4" s="586"/>
      <c r="F4" s="586"/>
      <c r="G4" s="586"/>
      <c r="H4" s="586"/>
    </row>
    <row r="5" spans="1:8" ht="15.75">
      <c r="A5" s="648" t="str">
        <f>inputPrYr!D4</f>
        <v>Brown County</v>
      </c>
      <c r="B5" s="648"/>
      <c r="C5" s="648"/>
      <c r="D5" s="648"/>
      <c r="E5" s="648"/>
      <c r="F5" s="648"/>
      <c r="G5" s="648"/>
      <c r="H5" s="648"/>
    </row>
    <row r="6" spans="1:8" ht="15.75">
      <c r="A6" s="637" t="str">
        <f>CONCATENATE("will meet on ",inputBudSum!B5," at ",inputBudSum!B7," at ",inputBudSum!B9," for the purpose of hearing and")</f>
        <v>will meet on July 27, 2011 at 1:00 PM at 2831 Prairie Road for the purpose of hearing and</v>
      </c>
      <c r="B6" s="637"/>
      <c r="C6" s="637"/>
      <c r="D6" s="637"/>
      <c r="E6" s="637"/>
      <c r="F6" s="637"/>
      <c r="G6" s="637"/>
      <c r="H6" s="637"/>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8" t="str">
        <f>CONCATENATE("Estimated Value Of One Mill For ",I3,"")</f>
        <v>Estimated Value Of One Mill For 2012</v>
      </c>
      <c r="K12" s="639"/>
      <c r="L12" s="639"/>
      <c r="M12" s="640"/>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3"/>
      <c r="K13" s="564"/>
      <c r="L13" s="564"/>
      <c r="M13" s="565"/>
    </row>
    <row r="14" spans="1:13" ht="15.75">
      <c r="A14" s="229"/>
      <c r="B14" s="107"/>
      <c r="C14" s="315" t="s">
        <v>50</v>
      </c>
      <c r="D14" s="107"/>
      <c r="E14" s="315" t="s">
        <v>50</v>
      </c>
      <c r="F14" s="229" t="s">
        <v>214</v>
      </c>
      <c r="G14" s="646" t="str">
        <f>CONCATENATE("Amount of ",I3-1," Ad Valorem Tax")</f>
        <v>Amount of 2011 Ad Valorem Tax</v>
      </c>
      <c r="H14" s="315" t="s">
        <v>577</v>
      </c>
      <c r="J14" s="566" t="s">
        <v>683</v>
      </c>
      <c r="K14" s="567"/>
      <c r="L14" s="567"/>
      <c r="M14" s="568">
        <f>ROUND(F22/1000,0)</f>
        <v>4330</v>
      </c>
    </row>
    <row r="15" spans="1:13" ht="15.75">
      <c r="A15" s="178" t="s">
        <v>51</v>
      </c>
      <c r="B15" s="116" t="s">
        <v>52</v>
      </c>
      <c r="C15" s="316" t="s">
        <v>195</v>
      </c>
      <c r="D15" s="116" t="s">
        <v>52</v>
      </c>
      <c r="E15" s="316" t="s">
        <v>195</v>
      </c>
      <c r="F15" s="116" t="s">
        <v>572</v>
      </c>
      <c r="G15" s="647"/>
      <c r="H15" s="316" t="s">
        <v>195</v>
      </c>
      <c r="J15" s="16"/>
      <c r="K15" s="16"/>
      <c r="L15" s="16"/>
      <c r="M15" s="16"/>
    </row>
    <row r="16" spans="1:13" ht="15.75">
      <c r="A16" s="38" t="str">
        <f>inputPrYr!B19</f>
        <v>General</v>
      </c>
      <c r="B16" s="127">
        <f>IF(gen!$C$37&lt;&gt;0,gen!$C$37,"  ")</f>
        <v>7182</v>
      </c>
      <c r="C16" s="124">
        <f>IF(inputPrYr!D38&gt;0,inputPrYr!D38,"  ")</f>
        <v>4.075</v>
      </c>
      <c r="D16" s="127">
        <f>IF(gen!$D$37&lt;&gt;0,gen!$D$37,"  ")</f>
        <v>30625</v>
      </c>
      <c r="E16" s="124">
        <f>IF(inputOth!D16&gt;0,inputOth!D16,"  ")</f>
        <v>4.097</v>
      </c>
      <c r="F16" s="127">
        <f>IF(gen!$E$37&lt;&gt;0,gen!$E$37,"  ")</f>
        <v>136225</v>
      </c>
      <c r="G16" s="127">
        <f>IF(gen!$E$44&lt;&gt;0,gen!$E$44,"  ")</f>
        <v>16621</v>
      </c>
      <c r="H16" s="124">
        <f>IF(gen!E44&gt;0,ROUND(G16/$F$22*1000,3)," ")</f>
        <v>3.839</v>
      </c>
      <c r="J16" s="638" t="str">
        <f>CONCATENATE("Want The Mill Rate The Same As For ",I3-1,"?")</f>
        <v>Want The Mill Rate The Same As For 2011?</v>
      </c>
      <c r="K16" s="641"/>
      <c r="L16" s="641"/>
      <c r="M16" s="642"/>
    </row>
    <row r="17" spans="1:13" ht="16.5" thickBot="1">
      <c r="A17" s="128">
        <f>IF((inputPrYr!$B$30&gt;" "),(NonBud!$A$3),"")</f>
      </c>
      <c r="B17" s="544">
        <f>IF(NonBud!K28&gt;0,NonBud!K28,"")</f>
      </c>
      <c r="C17" s="543"/>
      <c r="D17" s="544"/>
      <c r="E17" s="543"/>
      <c r="F17" s="544"/>
      <c r="G17" s="544"/>
      <c r="H17" s="543"/>
      <c r="J17" s="571"/>
      <c r="K17" s="571"/>
      <c r="L17" s="571"/>
      <c r="M17" s="571"/>
    </row>
    <row r="18" spans="1:13" ht="15.75">
      <c r="A18" s="35" t="s">
        <v>132</v>
      </c>
      <c r="B18" s="320">
        <f>SUM(B16:B17)</f>
        <v>7182</v>
      </c>
      <c r="C18" s="545">
        <f aca="true" t="shared" si="0" ref="C18:H18">SUM(C16:C16)</f>
        <v>4.075</v>
      </c>
      <c r="D18" s="320">
        <f t="shared" si="0"/>
        <v>30625</v>
      </c>
      <c r="E18" s="545">
        <f t="shared" si="0"/>
        <v>4.097</v>
      </c>
      <c r="F18" s="320">
        <f t="shared" si="0"/>
        <v>136225</v>
      </c>
      <c r="G18" s="320">
        <f t="shared" si="0"/>
        <v>16621</v>
      </c>
      <c r="H18" s="545">
        <f t="shared" si="0"/>
        <v>3.839</v>
      </c>
      <c r="J18" s="638" t="str">
        <f>CONCATENATE("Impact On Keeping The Same Mill Rate As For ",I3-1,"")</f>
        <v>Impact On Keeping The Same Mill Rate As For 2011</v>
      </c>
      <c r="K18" s="643"/>
      <c r="L18" s="643"/>
      <c r="M18" s="644"/>
    </row>
    <row r="19" spans="1:13" ht="15.75">
      <c r="A19" s="35" t="s">
        <v>166</v>
      </c>
      <c r="B19" s="213">
        <f>transfers!C26</f>
        <v>0</v>
      </c>
      <c r="C19" s="132"/>
      <c r="D19" s="213">
        <f>transfers!D26</f>
        <v>0</v>
      </c>
      <c r="E19" s="132"/>
      <c r="F19" s="317">
        <f>transfers!E26</f>
        <v>0</v>
      </c>
      <c r="G19" s="259"/>
      <c r="H19" s="318"/>
      <c r="J19" s="569"/>
      <c r="K19" s="564"/>
      <c r="L19" s="564"/>
      <c r="M19" s="570"/>
    </row>
    <row r="20" spans="1:13" ht="16.5" thickBot="1">
      <c r="A20" s="35" t="s">
        <v>167</v>
      </c>
      <c r="B20" s="135">
        <f>SUM(B18-B19)</f>
        <v>7182</v>
      </c>
      <c r="C20" s="319"/>
      <c r="D20" s="135">
        <f>SUM(D18-D19)</f>
        <v>30625</v>
      </c>
      <c r="E20" s="319"/>
      <c r="F20" s="542">
        <f>SUM(F18-F19)</f>
        <v>136225</v>
      </c>
      <c r="G20" s="259"/>
      <c r="H20" s="318"/>
      <c r="J20" s="569" t="str">
        <f>CONCATENATE("",I3," Ad Valorem Tax Revenue:")</f>
        <v>2012 Ad Valorem Tax Revenue:</v>
      </c>
      <c r="K20" s="564"/>
      <c r="L20" s="564"/>
      <c r="M20" s="565">
        <f>G18</f>
        <v>16621</v>
      </c>
    </row>
    <row r="21" spans="1:13" ht="16.5" thickTop="1">
      <c r="A21" s="35" t="s">
        <v>53</v>
      </c>
      <c r="B21" s="320">
        <f>inputPrYr!E44</f>
        <v>15432</v>
      </c>
      <c r="C21" s="229"/>
      <c r="D21" s="320">
        <f>inputPrYr!E24</f>
        <v>16029</v>
      </c>
      <c r="E21" s="229"/>
      <c r="F21" s="321" t="s">
        <v>172</v>
      </c>
      <c r="G21" s="18"/>
      <c r="H21" s="18"/>
      <c r="J21" s="569" t="str">
        <f>CONCATENATE("",I3-1," Ad Valorem Tax Revenue:")</f>
        <v>2011 Ad Valorem Tax Revenue:</v>
      </c>
      <c r="K21" s="564"/>
      <c r="L21" s="564"/>
      <c r="M21" s="572" t="e">
        <f>ROUND(F22*#REF!/1000,0)</f>
        <v>#REF!</v>
      </c>
    </row>
    <row r="22" spans="1:13" ht="15.75">
      <c r="A22" s="35" t="s">
        <v>168</v>
      </c>
      <c r="B22" s="213">
        <f>inputPrYr!E45</f>
        <v>3786883</v>
      </c>
      <c r="C22" s="229"/>
      <c r="D22" s="213">
        <f>inputOth!E24</f>
        <v>3912570</v>
      </c>
      <c r="E22" s="229"/>
      <c r="F22" s="213">
        <f>inputOth!E7</f>
        <v>4329942</v>
      </c>
      <c r="G22" s="18"/>
      <c r="H22" s="18"/>
      <c r="J22" s="573" t="s">
        <v>684</v>
      </c>
      <c r="K22" s="574"/>
      <c r="L22" s="574"/>
      <c r="M22" s="568" t="e">
        <f>M20-M21</f>
        <v>#REF!</v>
      </c>
    </row>
    <row r="23" spans="1:8" ht="15.75">
      <c r="A23" s="274" t="s">
        <v>54</v>
      </c>
      <c r="B23" s="18"/>
      <c r="C23" s="18"/>
      <c r="D23" s="18"/>
      <c r="E23" s="240"/>
      <c r="F23" s="240"/>
      <c r="G23" s="18"/>
      <c r="H23" s="54"/>
    </row>
    <row r="24" spans="1:8" ht="15.75">
      <c r="A24" s="54"/>
      <c r="B24" s="18"/>
      <c r="C24" s="18"/>
      <c r="D24" s="18"/>
      <c r="E24" s="18"/>
      <c r="F24" s="18"/>
      <c r="G24" s="18"/>
      <c r="H24" s="54"/>
    </row>
    <row r="25" spans="1:8" ht="15.75">
      <c r="A25" s="62"/>
      <c r="B25" s="18"/>
      <c r="C25" s="18"/>
      <c r="D25" s="18"/>
      <c r="E25" s="18"/>
      <c r="F25" s="18"/>
      <c r="G25" s="18"/>
      <c r="H25" s="62"/>
    </row>
    <row r="26" spans="1:8" ht="15.75">
      <c r="A26" s="611"/>
      <c r="B26" s="612"/>
      <c r="C26" s="101"/>
      <c r="D26" s="18"/>
      <c r="E26" s="18"/>
      <c r="F26" s="18"/>
      <c r="G26" s="18"/>
      <c r="H26" s="54"/>
    </row>
    <row r="27" spans="1:8" ht="15.75">
      <c r="A27" s="310" t="s">
        <v>55</v>
      </c>
      <c r="B27" s="26"/>
      <c r="C27" s="18"/>
      <c r="D27" s="144" t="s">
        <v>43</v>
      </c>
      <c r="E27" s="546">
        <v>7</v>
      </c>
      <c r="F27" s="18"/>
      <c r="G27" s="18"/>
      <c r="H27" s="54"/>
    </row>
    <row r="29" spans="1:8" ht="15.75">
      <c r="A29" s="16"/>
      <c r="B29" s="16"/>
      <c r="C29" s="16"/>
      <c r="D29" s="16"/>
      <c r="E29" s="16"/>
      <c r="F29" s="16"/>
      <c r="G29" s="16"/>
      <c r="H29"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sheetData>
  <sheetProtection/>
  <mergeCells count="10">
    <mergeCell ref="A6:H6"/>
    <mergeCell ref="J12:M12"/>
    <mergeCell ref="J16:M16"/>
    <mergeCell ref="J18:M18"/>
    <mergeCell ref="A26:B26"/>
    <mergeCell ref="A1:H1"/>
    <mergeCell ref="G14:G15"/>
    <mergeCell ref="A3:H3"/>
    <mergeCell ref="A4:H4"/>
    <mergeCell ref="A5:H5"/>
  </mergeCells>
  <printOptions/>
  <pageMargins left="1" right="1" top="0.5" bottom="0.5" header="0.5" footer="0.5"/>
  <pageSetup blackAndWhite="1" horizontalDpi="120" verticalDpi="120" orientation="portrait" scale="6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Watershed # 75 Roy's Creek</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3" t="str">
        <f>CONCATENATE("",F1," Neighborhood Revitalization Rebate")</f>
        <v>2012 Neighborhood Revitalization Rebate</v>
      </c>
      <c r="C4" s="651"/>
      <c r="D4" s="651"/>
      <c r="E4" s="645"/>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0">
        <f>inputOth!E7</f>
        <v>4329942</v>
      </c>
      <c r="E16" s="18"/>
      <c r="F16" s="54"/>
    </row>
    <row r="17" spans="1:6" ht="15.75">
      <c r="A17" s="18"/>
      <c r="B17" s="18"/>
      <c r="C17" s="18"/>
      <c r="D17" s="18"/>
      <c r="E17" s="18"/>
      <c r="F17" s="54"/>
    </row>
    <row r="18" spans="1:6" ht="15.75">
      <c r="A18" s="18"/>
      <c r="B18" s="652" t="s">
        <v>321</v>
      </c>
      <c r="C18" s="652"/>
      <c r="D18" s="331">
        <f>IF(D16&gt;0,(D16*0.001),"")</f>
        <v>4329.942</v>
      </c>
      <c r="E18" s="18"/>
      <c r="F18" s="54"/>
    </row>
    <row r="19" spans="1:6" ht="15.75">
      <c r="A19" s="18"/>
      <c r="B19" s="144"/>
      <c r="C19" s="144"/>
      <c r="D19" s="332"/>
      <c r="E19" s="18"/>
      <c r="F19" s="54"/>
    </row>
    <row r="20" spans="1:6" ht="15.75">
      <c r="A20" s="649" t="s">
        <v>319</v>
      </c>
      <c r="B20" s="645"/>
      <c r="C20" s="645"/>
      <c r="D20" s="333">
        <f>inputOth!E12</f>
        <v>0</v>
      </c>
      <c r="E20" s="64"/>
      <c r="F20" s="64"/>
    </row>
    <row r="21" spans="1:6" ht="15">
      <c r="A21" s="64"/>
      <c r="B21" s="64"/>
      <c r="C21" s="64"/>
      <c r="D21" s="334"/>
      <c r="E21" s="64"/>
      <c r="F21" s="64"/>
    </row>
    <row r="22" spans="1:6" ht="15.75">
      <c r="A22" s="64"/>
      <c r="B22" s="649" t="s">
        <v>320</v>
      </c>
      <c r="C22" s="65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1" t="s">
        <v>137</v>
      </c>
      <c r="C1" s="661"/>
      <c r="D1" s="661"/>
      <c r="E1" s="661"/>
      <c r="F1" s="661"/>
      <c r="G1" s="661"/>
      <c r="H1" s="661"/>
    </row>
    <row r="2" spans="2:8" ht="15.75">
      <c r="B2" s="6"/>
      <c r="C2"/>
      <c r="D2"/>
      <c r="E2"/>
      <c r="F2"/>
      <c r="G2"/>
      <c r="H2"/>
    </row>
    <row r="3" spans="2:8" ht="15.75">
      <c r="B3" s="662" t="s">
        <v>134</v>
      </c>
      <c r="C3" s="662"/>
      <c r="D3" s="662"/>
      <c r="E3" s="662"/>
      <c r="F3" s="662"/>
      <c r="G3" s="662"/>
      <c r="H3" s="662"/>
    </row>
    <row r="4" spans="2:8" ht="15.75">
      <c r="B4" s="7"/>
      <c r="C4"/>
      <c r="D4"/>
      <c r="E4"/>
      <c r="F4"/>
      <c r="G4"/>
      <c r="H4"/>
    </row>
    <row r="5" spans="2:8" ht="15.75">
      <c r="B5" s="654"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75 Roy's Creek District with respect to financing the 2012 annual budget for Watershed # 75 Roy's Creek , Brown County , Kansas.</v>
      </c>
      <c r="C5" s="655"/>
      <c r="D5" s="655"/>
      <c r="E5" s="655"/>
      <c r="F5" s="655"/>
      <c r="G5" s="655"/>
      <c r="H5" s="655"/>
    </row>
    <row r="6" spans="2:10" ht="15.75">
      <c r="B6" s="655"/>
      <c r="C6" s="655"/>
      <c r="D6" s="655"/>
      <c r="E6" s="655"/>
      <c r="F6" s="655"/>
      <c r="G6" s="655"/>
      <c r="H6" s="655"/>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Watershed # 75 Roy's Creek district budget exceed the amount levied to finance the</v>
      </c>
      <c r="C9"/>
      <c r="D9"/>
      <c r="E9"/>
      <c r="F9"/>
      <c r="G9"/>
      <c r="H9"/>
    </row>
    <row r="10" spans="2:8" ht="15.75">
      <c r="B10" s="12" t="str">
        <f>CONCATENATE("",inputPrYr!D6-1," ",inputPrYr!D3," except with regard to revenue produced and attributable to the")</f>
        <v>2011 Watershed # 75 Roy's Creek except with regard to revenue produced and attributable to the</v>
      </c>
      <c r="C10"/>
      <c r="D10"/>
      <c r="E10"/>
      <c r="F10"/>
      <c r="G10"/>
      <c r="H10"/>
    </row>
    <row r="11" spans="2:8" ht="15.75">
      <c r="B11" s="658" t="s">
        <v>174</v>
      </c>
      <c r="C11" s="663"/>
      <c r="D11" s="663"/>
      <c r="E11" s="663"/>
      <c r="F11" s="663"/>
      <c r="G11" s="663"/>
      <c r="H11" s="663"/>
    </row>
    <row r="12" spans="2:8" ht="15.75">
      <c r="B12" s="663"/>
      <c r="C12" s="663"/>
      <c r="D12" s="663"/>
      <c r="E12" s="663"/>
      <c r="F12" s="663"/>
      <c r="G12" s="663"/>
      <c r="H12" s="663"/>
    </row>
    <row r="13" spans="2:8" ht="15.75">
      <c r="B13" s="663"/>
      <c r="C13" s="663"/>
      <c r="D13" s="663"/>
      <c r="E13" s="663"/>
      <c r="F13" s="663"/>
      <c r="G13" s="663"/>
      <c r="H13" s="663"/>
    </row>
    <row r="14" spans="2:8" ht="15.75">
      <c r="B14" s="663"/>
      <c r="C14" s="663"/>
      <c r="D14" s="663"/>
      <c r="E14" s="663"/>
      <c r="F14" s="663"/>
      <c r="G14" s="663"/>
      <c r="H14" s="663"/>
    </row>
    <row r="15" spans="2:8" ht="15.75">
      <c r="B15" s="1"/>
      <c r="C15" s="1"/>
      <c r="D15" s="1"/>
      <c r="E15" s="1"/>
      <c r="F15" s="1"/>
      <c r="G15" s="1"/>
      <c r="H15" s="1"/>
    </row>
    <row r="16" spans="2:8" ht="15.75">
      <c r="B16" s="656" t="s">
        <v>146</v>
      </c>
      <c r="C16" s="657"/>
      <c r="D16" s="657"/>
      <c r="E16" s="657"/>
      <c r="F16" s="657"/>
      <c r="G16" s="657"/>
      <c r="H16" s="657"/>
    </row>
    <row r="17" spans="2:8" ht="15.75">
      <c r="B17" s="657"/>
      <c r="C17" s="657"/>
      <c r="D17" s="657"/>
      <c r="E17" s="657"/>
      <c r="F17" s="657"/>
      <c r="G17" s="657"/>
      <c r="H17" s="657"/>
    </row>
    <row r="18" spans="2:8" ht="15.75">
      <c r="B18" s="12"/>
      <c r="C18"/>
      <c r="D18"/>
      <c r="E18"/>
      <c r="F18"/>
      <c r="G18"/>
      <c r="H18"/>
    </row>
    <row r="19" spans="2:8" ht="15.75">
      <c r="B19" s="12" t="str">
        <f>CONCATENATE("Whereas, ",(inputPrYr!D3)," provides essential services to district residents; and")</f>
        <v>Whereas, Watershed # 75 Roy's Creek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75 Roy's Creek that is our desire to notify the public of the possibility of increased property taxes to finance the 2012 Watershed # 75 Roy's Creek  budget as defined above.</v>
      </c>
      <c r="C23" s="659"/>
      <c r="D23" s="659"/>
      <c r="E23" s="659"/>
      <c r="F23" s="659"/>
      <c r="G23" s="659"/>
      <c r="H23" s="659"/>
    </row>
    <row r="24" spans="2:8" ht="15.75">
      <c r="B24" s="659"/>
      <c r="C24" s="659"/>
      <c r="D24" s="659"/>
      <c r="E24" s="659"/>
      <c r="F24" s="659"/>
      <c r="G24" s="659"/>
      <c r="H24" s="659"/>
    </row>
    <row r="25" spans="2:8" ht="15.75">
      <c r="B25" s="659"/>
      <c r="C25" s="659"/>
      <c r="D25" s="659"/>
      <c r="E25" s="659"/>
      <c r="F25" s="659"/>
      <c r="G25" s="659"/>
      <c r="H25" s="659"/>
    </row>
    <row r="26" spans="2:8" ht="15.75">
      <c r="B26" s="12"/>
      <c r="C26"/>
      <c r="D26"/>
      <c r="E26"/>
      <c r="F26"/>
      <c r="G26"/>
      <c r="H26"/>
    </row>
    <row r="27" spans="2:8" ht="15.75">
      <c r="B27" s="656" t="str">
        <f>CONCATENATE("Adopted this _________ day of ___________, ",inputPrYr!D6-1," by the ",(inputPrYr!D3)," District Board, ",(inputPrYr!D4),", Kansas.")</f>
        <v>Adopted this _________ day of ___________, 2011 by the Watershed # 75 Roy's Creek District Board, Brown County, Kansas.</v>
      </c>
      <c r="C27" s="655"/>
      <c r="D27" s="655"/>
      <c r="E27" s="655"/>
      <c r="F27" s="655"/>
      <c r="G27" s="655"/>
      <c r="H27" s="655"/>
    </row>
    <row r="28" spans="2:8" ht="15.75">
      <c r="B28" s="655"/>
      <c r="C28" s="655"/>
      <c r="D28" s="655"/>
      <c r="E28" s="655"/>
      <c r="F28" s="655"/>
      <c r="G28" s="655"/>
      <c r="H28" s="655"/>
    </row>
    <row r="29" spans="2:8" ht="15.75">
      <c r="B29" s="8"/>
      <c r="C29"/>
      <c r="D29"/>
      <c r="E29"/>
      <c r="F29"/>
      <c r="G29"/>
      <c r="H29"/>
    </row>
    <row r="30" spans="2:8" ht="15.75">
      <c r="B30" s="8"/>
      <c r="C30"/>
      <c r="D30"/>
      <c r="E30"/>
      <c r="F30"/>
      <c r="G30"/>
      <c r="H30"/>
    </row>
    <row r="31" spans="2:8" ht="15.75">
      <c r="B31" s="9" t="str">
        <f>CONCATENATE(" ",(inputPrYr!D3)," District Board")</f>
        <v> Watershed # 75 Roy's Creek District Board</v>
      </c>
      <c r="C31"/>
      <c r="D31"/>
      <c r="E31"/>
      <c r="F31"/>
      <c r="G31"/>
      <c r="H31"/>
    </row>
    <row r="32" spans="2:8" ht="15.75">
      <c r="B32" s="8"/>
      <c r="C32"/>
      <c r="D32"/>
      <c r="E32"/>
      <c r="F32"/>
      <c r="G32"/>
      <c r="H32"/>
    </row>
    <row r="33" spans="2:8" ht="15.75">
      <c r="B33"/>
      <c r="C33"/>
      <c r="D33"/>
      <c r="E33" s="660" t="s">
        <v>135</v>
      </c>
      <c r="F33" s="660"/>
      <c r="G33" s="660"/>
      <c r="H33" s="660"/>
    </row>
    <row r="34" spans="2:8" ht="15.75">
      <c r="B34"/>
      <c r="C34"/>
      <c r="D34"/>
      <c r="E34" s="660" t="s">
        <v>138</v>
      </c>
      <c r="F34" s="660"/>
      <c r="G34" s="660"/>
      <c r="H34" s="660"/>
    </row>
    <row r="35" spans="2:8" ht="15.75">
      <c r="B35" s="8"/>
      <c r="C35"/>
      <c r="D35"/>
      <c r="E35" s="660"/>
      <c r="F35" s="660"/>
      <c r="G35" s="660"/>
      <c r="H35" s="660"/>
    </row>
    <row r="36" spans="2:8" ht="15.75">
      <c r="B36"/>
      <c r="C36"/>
      <c r="D36"/>
      <c r="E36" s="660" t="s">
        <v>135</v>
      </c>
      <c r="F36" s="660"/>
      <c r="G36" s="660"/>
      <c r="H36" s="660"/>
    </row>
    <row r="37" spans="2:8" ht="15.75">
      <c r="B37"/>
      <c r="C37"/>
      <c r="D37"/>
      <c r="E37" s="660" t="s">
        <v>139</v>
      </c>
      <c r="F37" s="660"/>
      <c r="G37" s="660"/>
      <c r="H37" s="660"/>
    </row>
    <row r="38" spans="2:8" ht="15.75">
      <c r="B38" s="8"/>
      <c r="C38"/>
      <c r="D38"/>
      <c r="E38" s="660"/>
      <c r="F38" s="660"/>
      <c r="G38" s="660"/>
      <c r="H38" s="660"/>
    </row>
    <row r="39" spans="2:8" ht="15.75">
      <c r="B39"/>
      <c r="C39"/>
      <c r="D39"/>
      <c r="E39" s="660" t="s">
        <v>135</v>
      </c>
      <c r="F39" s="660"/>
      <c r="G39" s="660"/>
      <c r="H39" s="660"/>
    </row>
    <row r="40" spans="2:8" ht="15.75">
      <c r="B40"/>
      <c r="C40"/>
      <c r="D40"/>
      <c r="E40" s="660" t="s">
        <v>140</v>
      </c>
      <c r="F40" s="660"/>
      <c r="G40" s="660"/>
      <c r="H40" s="66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3"/>
      <c r="F46" s="653"/>
      <c r="G46" s="653"/>
      <c r="H46" s="653"/>
    </row>
    <row r="47" spans="2:8" ht="15.75">
      <c r="B47" s="3"/>
      <c r="E47" s="653"/>
      <c r="F47" s="653"/>
      <c r="G47" s="653"/>
      <c r="H47" s="653"/>
    </row>
    <row r="48" spans="5:8" ht="15.75">
      <c r="E48" s="653"/>
      <c r="F48" s="653"/>
      <c r="G48" s="653"/>
      <c r="H48" s="653"/>
    </row>
    <row r="49" spans="5:8" ht="15.75">
      <c r="E49" s="653"/>
      <c r="F49" s="653"/>
      <c r="G49" s="653"/>
      <c r="H49" s="653"/>
    </row>
    <row r="50" spans="2:8" ht="15.75">
      <c r="B50" s="3"/>
      <c r="E50" s="653"/>
      <c r="F50" s="653"/>
      <c r="G50" s="653"/>
      <c r="H50" s="65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7</v>
      </c>
      <c r="B1" s="587"/>
      <c r="C1" s="587"/>
      <c r="D1" s="587"/>
      <c r="E1" s="587"/>
    </row>
    <row r="2" spans="1:5" ht="15.75">
      <c r="A2" s="17"/>
      <c r="B2" s="18"/>
      <c r="C2" s="18"/>
      <c r="D2" s="18"/>
      <c r="E2" s="18"/>
    </row>
    <row r="3" spans="1:5" ht="15.75">
      <c r="A3" s="19" t="s">
        <v>129</v>
      </c>
      <c r="B3" s="18"/>
      <c r="C3" s="18"/>
      <c r="D3" s="20" t="s">
        <v>740</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8" t="s">
        <v>206</v>
      </c>
      <c r="B8" s="589"/>
      <c r="C8" s="589"/>
      <c r="D8" s="589"/>
      <c r="E8" s="589"/>
    </row>
    <row r="9" spans="1:5" ht="15.75">
      <c r="A9" s="25" t="s">
        <v>76</v>
      </c>
      <c r="B9" s="26"/>
      <c r="C9" s="26"/>
      <c r="D9" s="26"/>
      <c r="E9" s="26"/>
    </row>
    <row r="10" spans="1:5" ht="15.75">
      <c r="A10" s="590" t="s">
        <v>205</v>
      </c>
      <c r="B10" s="591"/>
      <c r="C10" s="591"/>
      <c r="D10" s="591"/>
      <c r="E10" s="591"/>
    </row>
    <row r="11" spans="1:5" ht="15.75">
      <c r="A11" s="27"/>
      <c r="B11" s="18"/>
      <c r="C11" s="18"/>
      <c r="D11" s="18"/>
      <c r="E11" s="18"/>
    </row>
    <row r="12" spans="1:5" ht="15.75">
      <c r="A12" s="584" t="s">
        <v>194</v>
      </c>
      <c r="B12" s="585"/>
      <c r="C12" s="585"/>
      <c r="D12" s="585"/>
      <c r="E12" s="585"/>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2" t="str">
        <f>CONCATENATE("Amount of ",D6-2,"     Ad Valorem Tax")</f>
        <v>Amount of 2010     Ad Valorem Tax</v>
      </c>
    </row>
    <row r="18" spans="1:5" ht="15.75">
      <c r="A18" s="17" t="s">
        <v>8</v>
      </c>
      <c r="B18" s="18"/>
      <c r="C18" s="32" t="s">
        <v>9</v>
      </c>
      <c r="D18" s="34" t="s">
        <v>279</v>
      </c>
      <c r="E18" s="593"/>
    </row>
    <row r="19" spans="1:5" ht="15.75">
      <c r="A19" s="18"/>
      <c r="B19" s="35" t="s">
        <v>10</v>
      </c>
      <c r="C19" s="432" t="s">
        <v>741</v>
      </c>
      <c r="D19" s="37">
        <v>140275</v>
      </c>
      <c r="E19" s="37">
        <v>16029</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16029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140275</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4.075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4.075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15432</v>
      </c>
    </row>
    <row r="45" spans="1:5" ht="15.75">
      <c r="A45" s="51" t="str">
        <f>CONCATENATE("Assessed Valuation (",D6-2," budget column)")</f>
        <v>Assessed Valuation (2010 budget column)</v>
      </c>
      <c r="B45" s="29"/>
      <c r="C45" s="18"/>
      <c r="D45" s="18"/>
      <c r="E45" s="53">
        <v>3786883</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4" t="s">
        <v>578</v>
      </c>
      <c r="C6" s="665"/>
      <c r="D6" s="665"/>
      <c r="E6" s="665"/>
      <c r="F6" s="665"/>
      <c r="G6" s="665"/>
      <c r="H6" s="665"/>
      <c r="I6" s="665"/>
      <c r="J6" s="665"/>
      <c r="K6" s="665"/>
      <c r="L6" s="436"/>
    </row>
    <row r="7" spans="1:12" ht="40.5" customHeight="1">
      <c r="A7" s="433"/>
      <c r="B7" s="666" t="s">
        <v>579</v>
      </c>
      <c r="C7" s="667"/>
      <c r="D7" s="667"/>
      <c r="E7" s="667"/>
      <c r="F7" s="667"/>
      <c r="G7" s="667"/>
      <c r="H7" s="667"/>
      <c r="I7" s="667"/>
      <c r="J7" s="667"/>
      <c r="K7" s="667"/>
      <c r="L7" s="433"/>
    </row>
    <row r="8" spans="1:12" ht="14.25">
      <c r="A8" s="433"/>
      <c r="B8" s="668" t="s">
        <v>580</v>
      </c>
      <c r="C8" s="668"/>
      <c r="D8" s="668"/>
      <c r="E8" s="668"/>
      <c r="F8" s="668"/>
      <c r="G8" s="668"/>
      <c r="H8" s="668"/>
      <c r="I8" s="668"/>
      <c r="J8" s="668"/>
      <c r="K8" s="668"/>
      <c r="L8" s="433"/>
    </row>
    <row r="9" spans="1:12" ht="14.25">
      <c r="A9" s="433"/>
      <c r="L9" s="433"/>
    </row>
    <row r="10" spans="1:12" ht="14.25">
      <c r="A10" s="433"/>
      <c r="B10" s="668" t="s">
        <v>581</v>
      </c>
      <c r="C10" s="668"/>
      <c r="D10" s="668"/>
      <c r="E10" s="668"/>
      <c r="F10" s="668"/>
      <c r="G10" s="668"/>
      <c r="H10" s="668"/>
      <c r="I10" s="668"/>
      <c r="J10" s="668"/>
      <c r="K10" s="668"/>
      <c r="L10" s="433"/>
    </row>
    <row r="11" spans="1:12" ht="14.25">
      <c r="A11" s="433"/>
      <c r="B11" s="437"/>
      <c r="C11" s="437"/>
      <c r="D11" s="437"/>
      <c r="E11" s="437"/>
      <c r="F11" s="437"/>
      <c r="G11" s="437"/>
      <c r="H11" s="437"/>
      <c r="I11" s="437"/>
      <c r="J11" s="437"/>
      <c r="K11" s="437"/>
      <c r="L11" s="433"/>
    </row>
    <row r="12" spans="1:12" ht="32.25" customHeight="1">
      <c r="A12" s="433"/>
      <c r="B12" s="669" t="s">
        <v>582</v>
      </c>
      <c r="C12" s="669"/>
      <c r="D12" s="669"/>
      <c r="E12" s="669"/>
      <c r="F12" s="669"/>
      <c r="G12" s="669"/>
      <c r="H12" s="669"/>
      <c r="I12" s="669"/>
      <c r="J12" s="669"/>
      <c r="K12" s="669"/>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70">
        <v>133685008</v>
      </c>
      <c r="G23" s="670"/>
      <c r="L23" s="433"/>
    </row>
    <row r="24" spans="1:12" ht="14.25">
      <c r="A24" s="433"/>
      <c r="L24" s="433"/>
    </row>
    <row r="25" spans="1:12" ht="14.25">
      <c r="A25" s="433"/>
      <c r="C25" s="671">
        <f>F23</f>
        <v>133685008</v>
      </c>
      <c r="D25" s="671"/>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2" t="s">
        <v>579</v>
      </c>
      <c r="C30" s="672"/>
      <c r="D30" s="672"/>
      <c r="E30" s="672"/>
      <c r="F30" s="672"/>
      <c r="G30" s="672"/>
      <c r="H30" s="672"/>
      <c r="I30" s="672"/>
      <c r="J30" s="672"/>
      <c r="K30" s="672"/>
      <c r="L30" s="433"/>
    </row>
    <row r="31" spans="1:12" ht="14.25">
      <c r="A31" s="433"/>
      <c r="B31" s="668" t="s">
        <v>593</v>
      </c>
      <c r="C31" s="668"/>
      <c r="D31" s="668"/>
      <c r="E31" s="668"/>
      <c r="F31" s="668"/>
      <c r="G31" s="668"/>
      <c r="H31" s="668"/>
      <c r="I31" s="668"/>
      <c r="J31" s="668"/>
      <c r="K31" s="668"/>
      <c r="L31" s="433"/>
    </row>
    <row r="32" spans="1:12" ht="14.25">
      <c r="A32" s="433"/>
      <c r="L32" s="433"/>
    </row>
    <row r="33" spans="1:12" ht="14.25">
      <c r="A33" s="433"/>
      <c r="B33" s="668" t="s">
        <v>594</v>
      </c>
      <c r="C33" s="668"/>
      <c r="D33" s="668"/>
      <c r="E33" s="668"/>
      <c r="F33" s="668"/>
      <c r="G33" s="668"/>
      <c r="H33" s="668"/>
      <c r="I33" s="668"/>
      <c r="J33" s="668"/>
      <c r="K33" s="668"/>
      <c r="L33" s="433"/>
    </row>
    <row r="34" spans="1:12" ht="14.25">
      <c r="A34" s="433"/>
      <c r="L34" s="433"/>
    </row>
    <row r="35" spans="1:12" ht="89.25" customHeight="1">
      <c r="A35" s="433"/>
      <c r="B35" s="669" t="s">
        <v>595</v>
      </c>
      <c r="C35" s="673"/>
      <c r="D35" s="673"/>
      <c r="E35" s="673"/>
      <c r="F35" s="673"/>
      <c r="G35" s="673"/>
      <c r="H35" s="673"/>
      <c r="I35" s="673"/>
      <c r="J35" s="673"/>
      <c r="K35" s="673"/>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74">
        <v>3120000</v>
      </c>
      <c r="D41" s="674"/>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70">
        <v>133685008</v>
      </c>
      <c r="C48" s="670"/>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75" t="s">
        <v>603</v>
      </c>
      <c r="H50" s="676"/>
      <c r="I50" s="446" t="s">
        <v>589</v>
      </c>
      <c r="J50" s="456">
        <f>B50/F50</f>
        <v>52.8690023342034</v>
      </c>
      <c r="K50" s="448"/>
      <c r="L50" s="433"/>
    </row>
    <row r="51" spans="1:15" ht="15" thickBot="1">
      <c r="A51" s="433"/>
      <c r="B51" s="449"/>
      <c r="C51" s="450"/>
      <c r="D51" s="450"/>
      <c r="E51" s="450"/>
      <c r="F51" s="450"/>
      <c r="G51" s="450"/>
      <c r="H51" s="450"/>
      <c r="I51" s="677" t="s">
        <v>604</v>
      </c>
      <c r="J51" s="677"/>
      <c r="K51" s="678"/>
      <c r="L51" s="433"/>
      <c r="O51" s="457"/>
    </row>
    <row r="52" spans="1:12" ht="40.5" customHeight="1">
      <c r="A52" s="433"/>
      <c r="B52" s="672" t="s">
        <v>579</v>
      </c>
      <c r="C52" s="672"/>
      <c r="D52" s="672"/>
      <c r="E52" s="672"/>
      <c r="F52" s="672"/>
      <c r="G52" s="672"/>
      <c r="H52" s="672"/>
      <c r="I52" s="672"/>
      <c r="J52" s="672"/>
      <c r="K52" s="672"/>
      <c r="L52" s="433"/>
    </row>
    <row r="53" spans="1:12" ht="14.25">
      <c r="A53" s="433"/>
      <c r="B53" s="668" t="s">
        <v>605</v>
      </c>
      <c r="C53" s="668"/>
      <c r="D53" s="668"/>
      <c r="E53" s="668"/>
      <c r="F53" s="668"/>
      <c r="G53" s="668"/>
      <c r="H53" s="668"/>
      <c r="I53" s="668"/>
      <c r="J53" s="668"/>
      <c r="K53" s="668"/>
      <c r="L53" s="433"/>
    </row>
    <row r="54" spans="1:12" ht="14.25">
      <c r="A54" s="433"/>
      <c r="B54" s="437"/>
      <c r="C54" s="437"/>
      <c r="D54" s="437"/>
      <c r="E54" s="437"/>
      <c r="F54" s="437"/>
      <c r="G54" s="437"/>
      <c r="H54" s="437"/>
      <c r="I54" s="437"/>
      <c r="J54" s="437"/>
      <c r="K54" s="437"/>
      <c r="L54" s="433"/>
    </row>
    <row r="55" spans="1:12" ht="14.25">
      <c r="A55" s="433"/>
      <c r="B55" s="664" t="s">
        <v>606</v>
      </c>
      <c r="C55" s="664"/>
      <c r="D55" s="664"/>
      <c r="E55" s="664"/>
      <c r="F55" s="664"/>
      <c r="G55" s="664"/>
      <c r="H55" s="664"/>
      <c r="I55" s="664"/>
      <c r="J55" s="664"/>
      <c r="K55" s="664"/>
      <c r="L55" s="433"/>
    </row>
    <row r="56" spans="1:12" ht="15" customHeight="1">
      <c r="A56" s="433"/>
      <c r="L56" s="433"/>
    </row>
    <row r="57" spans="1:24" ht="74.25" customHeight="1">
      <c r="A57" s="433"/>
      <c r="B57" s="669" t="s">
        <v>607</v>
      </c>
      <c r="C57" s="673"/>
      <c r="D57" s="673"/>
      <c r="E57" s="673"/>
      <c r="F57" s="673"/>
      <c r="G57" s="673"/>
      <c r="H57" s="673"/>
      <c r="I57" s="673"/>
      <c r="J57" s="673"/>
      <c r="K57" s="673"/>
      <c r="L57" s="433"/>
      <c r="M57" s="458"/>
      <c r="N57" s="459"/>
      <c r="O57" s="459"/>
      <c r="P57" s="459"/>
      <c r="Q57" s="459"/>
      <c r="R57" s="459"/>
      <c r="S57" s="459"/>
      <c r="T57" s="459"/>
      <c r="U57" s="459"/>
      <c r="V57" s="459"/>
      <c r="W57" s="459"/>
      <c r="X57" s="459"/>
    </row>
    <row r="58" spans="1:24" ht="15" customHeight="1">
      <c r="A58" s="433"/>
      <c r="B58" s="669"/>
      <c r="C58" s="673"/>
      <c r="D58" s="673"/>
      <c r="E58" s="673"/>
      <c r="F58" s="673"/>
      <c r="G58" s="673"/>
      <c r="H58" s="673"/>
      <c r="I58" s="673"/>
      <c r="J58" s="673"/>
      <c r="K58" s="673"/>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70">
        <v>133685008</v>
      </c>
      <c r="D74" s="670"/>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70">
        <v>5000</v>
      </c>
      <c r="D77" s="670"/>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70">
        <v>100000</v>
      </c>
      <c r="D80" s="670"/>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9">
        <f>H80</f>
        <v>11500</v>
      </c>
      <c r="D83" s="679"/>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2" t="s">
        <v>579</v>
      </c>
      <c r="C85" s="672"/>
      <c r="D85" s="672"/>
      <c r="E85" s="672"/>
      <c r="F85" s="672"/>
      <c r="G85" s="672"/>
      <c r="H85" s="672"/>
      <c r="I85" s="672"/>
      <c r="J85" s="672"/>
      <c r="K85" s="672"/>
      <c r="L85" s="433"/>
    </row>
    <row r="86" spans="1:12" ht="14.25">
      <c r="A86" s="433"/>
      <c r="B86" s="664" t="s">
        <v>627</v>
      </c>
      <c r="C86" s="664"/>
      <c r="D86" s="664"/>
      <c r="E86" s="664"/>
      <c r="F86" s="664"/>
      <c r="G86" s="664"/>
      <c r="H86" s="664"/>
      <c r="I86" s="664"/>
      <c r="J86" s="664"/>
      <c r="K86" s="664"/>
      <c r="L86" s="433"/>
    </row>
    <row r="87" spans="1:12" ht="14.25">
      <c r="A87" s="433"/>
      <c r="B87" s="473"/>
      <c r="C87" s="473"/>
      <c r="D87" s="473"/>
      <c r="E87" s="473"/>
      <c r="F87" s="473"/>
      <c r="G87" s="473"/>
      <c r="H87" s="473"/>
      <c r="I87" s="473"/>
      <c r="J87" s="473"/>
      <c r="K87" s="473"/>
      <c r="L87" s="433"/>
    </row>
    <row r="88" spans="1:12" ht="14.25">
      <c r="A88" s="433"/>
      <c r="B88" s="664" t="s">
        <v>628</v>
      </c>
      <c r="C88" s="664"/>
      <c r="D88" s="664"/>
      <c r="E88" s="664"/>
      <c r="F88" s="664"/>
      <c r="G88" s="664"/>
      <c r="H88" s="664"/>
      <c r="I88" s="664"/>
      <c r="J88" s="664"/>
      <c r="K88" s="664"/>
      <c r="L88" s="433"/>
    </row>
    <row r="89" spans="1:12" ht="14.25">
      <c r="A89" s="433"/>
      <c r="B89" s="474"/>
      <c r="C89" s="474"/>
      <c r="D89" s="474"/>
      <c r="E89" s="474"/>
      <c r="F89" s="474"/>
      <c r="G89" s="474"/>
      <c r="H89" s="474"/>
      <c r="I89" s="474"/>
      <c r="J89" s="474"/>
      <c r="K89" s="474"/>
      <c r="L89" s="433"/>
    </row>
    <row r="90" spans="1:12" ht="45" customHeight="1">
      <c r="A90" s="433"/>
      <c r="B90" s="669" t="s">
        <v>629</v>
      </c>
      <c r="C90" s="669"/>
      <c r="D90" s="669"/>
      <c r="E90" s="669"/>
      <c r="F90" s="669"/>
      <c r="G90" s="669"/>
      <c r="H90" s="669"/>
      <c r="I90" s="669"/>
      <c r="J90" s="669"/>
      <c r="K90" s="669"/>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70">
        <v>133685008</v>
      </c>
      <c r="D94" s="670"/>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70">
        <v>50000</v>
      </c>
      <c r="D97" s="670"/>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70">
        <v>2500000</v>
      </c>
      <c r="D100" s="670"/>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9">
        <f>H100</f>
        <v>750000</v>
      </c>
      <c r="D103" s="679"/>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2" t="s">
        <v>579</v>
      </c>
      <c r="C105" s="680"/>
      <c r="D105" s="680"/>
      <c r="E105" s="680"/>
      <c r="F105" s="680"/>
      <c r="G105" s="680"/>
      <c r="H105" s="680"/>
      <c r="I105" s="680"/>
      <c r="J105" s="680"/>
      <c r="K105" s="680"/>
      <c r="L105" s="433"/>
    </row>
    <row r="106" spans="1:12" ht="15" customHeight="1">
      <c r="A106" s="433"/>
      <c r="B106" s="681" t="s">
        <v>631</v>
      </c>
      <c r="C106" s="665"/>
      <c r="D106" s="665"/>
      <c r="E106" s="665"/>
      <c r="F106" s="665"/>
      <c r="G106" s="665"/>
      <c r="H106" s="665"/>
      <c r="I106" s="665"/>
      <c r="J106" s="665"/>
      <c r="K106" s="665"/>
      <c r="L106" s="433"/>
    </row>
    <row r="107" spans="1:12" ht="15" customHeight="1">
      <c r="A107" s="433"/>
      <c r="B107" s="479"/>
      <c r="C107" s="487"/>
      <c r="D107" s="487"/>
      <c r="E107" s="446"/>
      <c r="F107" s="456"/>
      <c r="G107" s="446"/>
      <c r="H107" s="446"/>
      <c r="I107" s="446"/>
      <c r="J107" s="468"/>
      <c r="K107" s="479"/>
      <c r="L107" s="433"/>
    </row>
    <row r="108" spans="1:12" ht="15" customHeight="1">
      <c r="A108" s="433"/>
      <c r="B108" s="681" t="s">
        <v>632</v>
      </c>
      <c r="C108" s="682"/>
      <c r="D108" s="682"/>
      <c r="E108" s="682"/>
      <c r="F108" s="682"/>
      <c r="G108" s="682"/>
      <c r="H108" s="682"/>
      <c r="I108" s="682"/>
      <c r="J108" s="682"/>
      <c r="K108" s="682"/>
      <c r="L108" s="433"/>
    </row>
    <row r="109" spans="1:12" ht="15" customHeight="1">
      <c r="A109" s="433"/>
      <c r="B109" s="479"/>
      <c r="C109" s="487"/>
      <c r="D109" s="487"/>
      <c r="E109" s="446"/>
      <c r="F109" s="456"/>
      <c r="G109" s="446"/>
      <c r="H109" s="446"/>
      <c r="I109" s="446"/>
      <c r="J109" s="468"/>
      <c r="K109" s="479"/>
      <c r="L109" s="433"/>
    </row>
    <row r="110" spans="1:12" ht="59.25" customHeight="1">
      <c r="A110" s="433"/>
      <c r="B110" s="683" t="s">
        <v>633</v>
      </c>
      <c r="C110" s="673"/>
      <c r="D110" s="673"/>
      <c r="E110" s="673"/>
      <c r="F110" s="673"/>
      <c r="G110" s="673"/>
      <c r="H110" s="673"/>
      <c r="I110" s="673"/>
      <c r="J110" s="673"/>
      <c r="K110" s="673"/>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70">
        <v>133685008</v>
      </c>
      <c r="D114" s="670"/>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70">
        <v>50000</v>
      </c>
      <c r="D117" s="670"/>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70">
        <v>2500000</v>
      </c>
      <c r="D120" s="670"/>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9">
        <f>H120</f>
        <v>625000</v>
      </c>
      <c r="D123" s="679"/>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2" t="s">
        <v>579</v>
      </c>
      <c r="C125" s="672"/>
      <c r="D125" s="672"/>
      <c r="E125" s="672"/>
      <c r="F125" s="672"/>
      <c r="G125" s="672"/>
      <c r="H125" s="672"/>
      <c r="I125" s="672"/>
      <c r="J125" s="672"/>
      <c r="K125" s="672"/>
      <c r="L125" s="488"/>
    </row>
    <row r="126" spans="1:12" ht="14.25">
      <c r="A126" s="433"/>
      <c r="B126" s="664" t="s">
        <v>634</v>
      </c>
      <c r="C126" s="664"/>
      <c r="D126" s="664"/>
      <c r="E126" s="664"/>
      <c r="F126" s="664"/>
      <c r="G126" s="664"/>
      <c r="H126" s="664"/>
      <c r="I126" s="664"/>
      <c r="J126" s="664"/>
      <c r="K126" s="664"/>
      <c r="L126" s="488"/>
    </row>
    <row r="127" spans="1:12" ht="14.25">
      <c r="A127" s="433"/>
      <c r="B127" s="437"/>
      <c r="C127" s="437"/>
      <c r="D127" s="437"/>
      <c r="E127" s="437"/>
      <c r="F127" s="437"/>
      <c r="G127" s="437"/>
      <c r="H127" s="437"/>
      <c r="I127" s="437"/>
      <c r="J127" s="437"/>
      <c r="K127" s="437"/>
      <c r="L127" s="488"/>
    </row>
    <row r="128" spans="1:12" ht="14.25">
      <c r="A128" s="433"/>
      <c r="B128" s="664" t="s">
        <v>635</v>
      </c>
      <c r="C128" s="664"/>
      <c r="D128" s="664"/>
      <c r="E128" s="664"/>
      <c r="F128" s="664"/>
      <c r="G128" s="664"/>
      <c r="H128" s="664"/>
      <c r="I128" s="664"/>
      <c r="J128" s="664"/>
      <c r="K128" s="664"/>
      <c r="L128" s="488"/>
    </row>
    <row r="129" spans="1:12" ht="14.25">
      <c r="A129" s="433"/>
      <c r="B129" s="474"/>
      <c r="C129" s="474"/>
      <c r="D129" s="474"/>
      <c r="E129" s="474"/>
      <c r="F129" s="474"/>
      <c r="G129" s="474"/>
      <c r="H129" s="474"/>
      <c r="I129" s="474"/>
      <c r="J129" s="474"/>
      <c r="K129" s="474"/>
      <c r="L129" s="488"/>
    </row>
    <row r="130" spans="1:12" ht="74.25" customHeight="1">
      <c r="A130" s="433"/>
      <c r="B130" s="669" t="s">
        <v>636</v>
      </c>
      <c r="C130" s="669"/>
      <c r="D130" s="669"/>
      <c r="E130" s="669"/>
      <c r="F130" s="669"/>
      <c r="G130" s="669"/>
      <c r="H130" s="669"/>
      <c r="I130" s="669"/>
      <c r="J130" s="669"/>
      <c r="K130" s="669"/>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84" t="s">
        <v>637</v>
      </c>
      <c r="D133" s="684"/>
      <c r="E133" s="445"/>
      <c r="F133" s="446" t="s">
        <v>638</v>
      </c>
      <c r="G133" s="445"/>
      <c r="H133" s="684" t="s">
        <v>623</v>
      </c>
      <c r="I133" s="684"/>
      <c r="J133" s="445"/>
      <c r="K133" s="448"/>
      <c r="L133" s="433"/>
    </row>
    <row r="134" spans="1:12" ht="14.25">
      <c r="A134" s="433"/>
      <c r="B134" s="454" t="s">
        <v>616</v>
      </c>
      <c r="C134" s="670">
        <v>100000</v>
      </c>
      <c r="D134" s="670"/>
      <c r="E134" s="446" t="s">
        <v>28</v>
      </c>
      <c r="F134" s="446">
        <v>0.115</v>
      </c>
      <c r="G134" s="446" t="s">
        <v>589</v>
      </c>
      <c r="H134" s="685">
        <f>C134*F134</f>
        <v>11500</v>
      </c>
      <c r="I134" s="68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6" t="s">
        <v>623</v>
      </c>
      <c r="D136" s="686"/>
      <c r="E136" s="465"/>
      <c r="F136" s="466" t="s">
        <v>639</v>
      </c>
      <c r="G136" s="466"/>
      <c r="H136" s="465"/>
      <c r="I136" s="465"/>
      <c r="J136" s="465" t="s">
        <v>640</v>
      </c>
      <c r="K136" s="467"/>
      <c r="L136" s="433"/>
    </row>
    <row r="137" spans="1:12" ht="14.25">
      <c r="A137" s="433"/>
      <c r="B137" s="454" t="s">
        <v>619</v>
      </c>
      <c r="C137" s="685">
        <f>H134</f>
        <v>11500</v>
      </c>
      <c r="D137" s="685"/>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7" t="s">
        <v>643</v>
      </c>
      <c r="C144" s="688"/>
      <c r="D144" s="688"/>
      <c r="E144" s="688"/>
      <c r="F144" s="688"/>
      <c r="G144" s="688"/>
      <c r="H144" s="688"/>
      <c r="I144" s="688"/>
      <c r="J144" s="688"/>
      <c r="K144" s="689"/>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85" t="s">
        <v>644</v>
      </c>
      <c r="D147" s="685"/>
      <c r="E147" s="446"/>
      <c r="F147" s="506" t="s">
        <v>645</v>
      </c>
      <c r="G147" s="446"/>
      <c r="H147" s="446"/>
      <c r="I147" s="446"/>
      <c r="J147" s="690" t="s">
        <v>646</v>
      </c>
      <c r="K147" s="691"/>
      <c r="L147" s="433"/>
    </row>
    <row r="148" spans="1:12" ht="14.25">
      <c r="A148" s="433"/>
      <c r="B148" s="454"/>
      <c r="C148" s="692">
        <v>52.869</v>
      </c>
      <c r="D148" s="692"/>
      <c r="E148" s="446" t="s">
        <v>28</v>
      </c>
      <c r="F148" s="511">
        <v>133685008</v>
      </c>
      <c r="G148" s="512" t="s">
        <v>590</v>
      </c>
      <c r="H148" s="446">
        <v>1000</v>
      </c>
      <c r="I148" s="446" t="s">
        <v>589</v>
      </c>
      <c r="J148" s="685">
        <f>C148*(F148/1000)</f>
        <v>7067792.687952</v>
      </c>
      <c r="K148" s="69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79" t="s">
        <v>732</v>
      </c>
    </row>
    <row r="3" ht="15.75">
      <c r="A3" s="579" t="s">
        <v>733</v>
      </c>
    </row>
    <row r="5" ht="15.75">
      <c r="A5" s="377" t="s">
        <v>685</v>
      </c>
    </row>
    <row r="6" ht="15.75">
      <c r="A6" s="579" t="s">
        <v>686</v>
      </c>
    </row>
    <row r="7" ht="15.75">
      <c r="A7" s="579" t="s">
        <v>687</v>
      </c>
    </row>
    <row r="8" ht="31.5">
      <c r="A8" s="580" t="s">
        <v>727</v>
      </c>
    </row>
    <row r="9" ht="15.75">
      <c r="A9" s="579" t="s">
        <v>688</v>
      </c>
    </row>
    <row r="10" ht="15.75">
      <c r="A10" s="579" t="s">
        <v>689</v>
      </c>
    </row>
    <row r="11" ht="15.75">
      <c r="A11" s="579" t="s">
        <v>690</v>
      </c>
    </row>
    <row r="12" ht="15.75">
      <c r="A12" s="579" t="s">
        <v>691</v>
      </c>
    </row>
    <row r="13" ht="15.75">
      <c r="A13" s="579" t="s">
        <v>692</v>
      </c>
    </row>
    <row r="14" ht="15.75">
      <c r="A14" s="579" t="s">
        <v>693</v>
      </c>
    </row>
    <row r="15" ht="15.75">
      <c r="A15" s="579" t="s">
        <v>694</v>
      </c>
    </row>
    <row r="16" ht="15.75">
      <c r="A16" s="579" t="s">
        <v>695</v>
      </c>
    </row>
    <row r="17" ht="15.75">
      <c r="A17" s="579" t="s">
        <v>696</v>
      </c>
    </row>
    <row r="18" ht="15.75">
      <c r="A18" s="579" t="s">
        <v>697</v>
      </c>
    </row>
    <row r="19" ht="15.75">
      <c r="A19" s="579" t="s">
        <v>698</v>
      </c>
    </row>
    <row r="20" ht="15.75">
      <c r="A20" s="579" t="s">
        <v>699</v>
      </c>
    </row>
    <row r="21" ht="15.75">
      <c r="A21" s="579" t="s">
        <v>700</v>
      </c>
    </row>
    <row r="22" ht="15.75">
      <c r="A22" s="579" t="s">
        <v>701</v>
      </c>
    </row>
    <row r="23" ht="15.75">
      <c r="A23" s="579" t="s">
        <v>702</v>
      </c>
    </row>
    <row r="24" ht="15.75">
      <c r="A24" s="579" t="s">
        <v>703</v>
      </c>
    </row>
    <row r="25" ht="15.75">
      <c r="A25" s="579" t="s">
        <v>704</v>
      </c>
    </row>
    <row r="26" ht="15.75">
      <c r="A26" s="579" t="s">
        <v>705</v>
      </c>
    </row>
    <row r="27" ht="15.75">
      <c r="A27" s="579" t="s">
        <v>706</v>
      </c>
    </row>
    <row r="28" ht="15.75">
      <c r="A28" s="579"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Watershed # 75 Roy's Creek</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4" t="s">
        <v>194</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4329942</v>
      </c>
    </row>
    <row r="8" spans="1:5" ht="15.75">
      <c r="A8" s="68" t="str">
        <f>CONCATENATE("New Improvements for ",inputPrYr!D6-1,"")</f>
        <v>New Improvements for 2011</v>
      </c>
      <c r="B8" s="69"/>
      <c r="C8" s="69"/>
      <c r="D8" s="69"/>
      <c r="E8" s="70">
        <v>132659</v>
      </c>
    </row>
    <row r="9" spans="1:5" ht="15.75">
      <c r="A9" s="68" t="str">
        <f>CONCATENATE("Personal Property excluding oil, gas, and mobile homes- ",inputPrYr!D6-1,"")</f>
        <v>Personal Property excluding oil, gas, and mobile homes- 2011</v>
      </c>
      <c r="B9" s="69"/>
      <c r="C9" s="69"/>
      <c r="D9" s="69"/>
      <c r="E9" s="70">
        <v>180299</v>
      </c>
    </row>
    <row r="10" spans="1:5" ht="15.75">
      <c r="A10" s="68" t="str">
        <f>CONCATENATE("Property that has changed in use for ",inputPrYr!D6-1,"")</f>
        <v>Property that has changed in use for 2011</v>
      </c>
      <c r="B10" s="69"/>
      <c r="C10" s="69"/>
      <c r="D10" s="69"/>
      <c r="E10" s="70">
        <v>21623</v>
      </c>
    </row>
    <row r="11" spans="1:5" ht="15.75">
      <c r="A11" s="67" t="str">
        <f>CONCATENATE("Personal Property excluding oil, gas, and mobile homes- ",inputPrYr!D6-2,"")</f>
        <v>Personal Property excluding oil, gas, and mobile homes- 2010</v>
      </c>
      <c r="B11" s="42"/>
      <c r="C11" s="42"/>
      <c r="D11" s="42"/>
      <c r="E11" s="70">
        <v>183399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v>
      </c>
      <c r="B15" s="589"/>
      <c r="C15" s="64"/>
      <c r="D15" s="75" t="s">
        <v>59</v>
      </c>
      <c r="E15" s="74"/>
    </row>
    <row r="16" spans="1:5" ht="15.75">
      <c r="A16" s="67" t="s">
        <v>10</v>
      </c>
      <c r="B16" s="42"/>
      <c r="C16" s="71"/>
      <c r="D16" s="76">
        <v>4.097</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4.097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3912570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907</v>
      </c>
    </row>
    <row r="28" spans="1:5" ht="15.75">
      <c r="A28" s="68" t="s">
        <v>15</v>
      </c>
      <c r="B28" s="69"/>
      <c r="C28" s="69"/>
      <c r="D28" s="86"/>
      <c r="E28" s="37">
        <v>24</v>
      </c>
    </row>
    <row r="29" spans="1:5" ht="15.75">
      <c r="A29" s="68" t="s">
        <v>169</v>
      </c>
      <c r="B29" s="69"/>
      <c r="C29" s="69"/>
      <c r="D29" s="86"/>
      <c r="E29" s="37">
        <v>228</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213</v>
      </c>
      <c r="B41" s="94" t="s">
        <v>214</v>
      </c>
      <c r="C41" s="95" t="s">
        <v>215</v>
      </c>
      <c r="D41" s="96"/>
      <c r="E41" s="96"/>
    </row>
    <row r="42" spans="1:5" ht="15.75">
      <c r="A42" s="97" t="str">
        <f>inputPrYr!B19</f>
        <v>General</v>
      </c>
      <c r="B42" s="58">
        <v>15625</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9" t="s">
        <v>322</v>
      </c>
      <c r="B2" s="600"/>
      <c r="C2" s="600"/>
      <c r="D2" s="600"/>
      <c r="E2" s="600"/>
      <c r="F2" s="600"/>
    </row>
    <row r="4" spans="1:6" ht="15.75">
      <c r="A4" s="362"/>
      <c r="B4" s="362"/>
      <c r="C4" s="362"/>
      <c r="D4" s="363"/>
      <c r="E4" s="362"/>
      <c r="F4" s="362"/>
    </row>
    <row r="5" spans="1:6" ht="15.75">
      <c r="A5" s="364" t="s">
        <v>323</v>
      </c>
      <c r="B5" s="365" t="s">
        <v>750</v>
      </c>
      <c r="C5" s="366"/>
      <c r="D5" s="364" t="s">
        <v>730</v>
      </c>
      <c r="E5" s="362"/>
      <c r="F5" s="362"/>
    </row>
    <row r="6" spans="1:6" ht="15.75">
      <c r="A6" s="364"/>
      <c r="B6" s="367"/>
      <c r="C6" s="368"/>
      <c r="D6" s="364" t="s">
        <v>729</v>
      </c>
      <c r="E6" s="362"/>
      <c r="F6" s="362"/>
    </row>
    <row r="7" spans="1:6" ht="15.75">
      <c r="A7" s="364" t="s">
        <v>324</v>
      </c>
      <c r="B7" s="365" t="s">
        <v>751</v>
      </c>
      <c r="C7" s="369"/>
      <c r="D7" s="364"/>
      <c r="E7" s="362"/>
      <c r="F7" s="362"/>
    </row>
    <row r="8" spans="1:6" ht="15.75">
      <c r="A8" s="364"/>
      <c r="B8" s="364"/>
      <c r="C8" s="364"/>
      <c r="D8" s="364"/>
      <c r="E8" s="362"/>
      <c r="F8" s="362"/>
    </row>
    <row r="9" spans="1:6" ht="15.75">
      <c r="A9" s="364" t="s">
        <v>325</v>
      </c>
      <c r="B9" s="370" t="s">
        <v>742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1" t="s">
        <v>327</v>
      </c>
      <c r="B15" s="601"/>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26">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3" t="s">
        <v>77</v>
      </c>
      <c r="B2" s="603"/>
      <c r="C2" s="603"/>
      <c r="D2" s="603"/>
      <c r="E2" s="603"/>
      <c r="F2" s="603"/>
      <c r="G2" s="603"/>
    </row>
    <row r="3" spans="1:7" ht="15.75">
      <c r="A3" s="18"/>
      <c r="B3" s="18"/>
      <c r="C3" s="18"/>
      <c r="D3" s="18"/>
      <c r="E3" s="18"/>
      <c r="F3" s="18"/>
      <c r="G3" s="62">
        <f>inputPrYr!D6</f>
        <v>2012</v>
      </c>
    </row>
    <row r="4" spans="1:7" ht="15.75">
      <c r="A4" s="604" t="str">
        <f>CONCATENATE("To the Clerk of ",inputPrYr!D4,", State of Kansas")</f>
        <v>To the Clerk of Brown County, State of Kansas</v>
      </c>
      <c r="B4" s="604"/>
      <c r="C4" s="604"/>
      <c r="D4" s="604"/>
      <c r="E4" s="604"/>
      <c r="F4" s="604"/>
      <c r="G4" s="604"/>
    </row>
    <row r="5" spans="1:7" ht="15.75">
      <c r="A5" s="100" t="s">
        <v>153</v>
      </c>
      <c r="B5" s="26"/>
      <c r="C5" s="26"/>
      <c r="D5" s="26"/>
      <c r="E5" s="26"/>
      <c r="F5" s="26"/>
      <c r="G5" s="26"/>
    </row>
    <row r="6" spans="1:7" ht="15.75">
      <c r="A6" s="586" t="str">
        <f>inputPrYr!D3</f>
        <v>Watershed # 75 Roy's Creek</v>
      </c>
      <c r="B6" s="586"/>
      <c r="C6" s="586"/>
      <c r="D6" s="586"/>
      <c r="E6" s="586"/>
      <c r="F6" s="586"/>
      <c r="G6" s="58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5" t="str">
        <f>CONCATENATE("",G3," Adopted Budget")</f>
        <v>2012 Adopted Budget</v>
      </c>
      <c r="F13" s="606"/>
      <c r="G13" s="607"/>
    </row>
    <row r="14" spans="1:8" ht="15.75">
      <c r="A14" s="17"/>
      <c r="B14" s="18"/>
      <c r="C14" s="18"/>
      <c r="D14" s="42"/>
      <c r="E14" s="103" t="s">
        <v>18</v>
      </c>
      <c r="F14" s="104"/>
      <c r="G14" s="105" t="s">
        <v>19</v>
      </c>
      <c r="H14" s="106"/>
    </row>
    <row r="15" spans="1:7" ht="15.75">
      <c r="A15" s="18"/>
      <c r="B15" s="18"/>
      <c r="C15" s="18"/>
      <c r="D15" s="104" t="s">
        <v>20</v>
      </c>
      <c r="E15" s="107" t="s">
        <v>214</v>
      </c>
      <c r="F15" s="608" t="str">
        <f>CONCATENATE("Amount of ",G3-1," Ad Valorem Tax")</f>
        <v>Amount of 2011 Ad Valorem Tax</v>
      </c>
      <c r="G15" s="105" t="s">
        <v>21</v>
      </c>
    </row>
    <row r="16" spans="1:7" ht="15.75">
      <c r="A16" s="17" t="s">
        <v>22</v>
      </c>
      <c r="B16" s="18"/>
      <c r="C16" s="18"/>
      <c r="D16" s="107" t="s">
        <v>23</v>
      </c>
      <c r="E16" s="107" t="s">
        <v>572</v>
      </c>
      <c r="F16" s="608"/>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24-1219</v>
      </c>
      <c r="D23" s="122">
        <v>6</v>
      </c>
      <c r="E23" s="123">
        <f>IF(gen!$E$37&lt;&gt;0,gen!$E$37,"  ")</f>
        <v>136225</v>
      </c>
      <c r="F23" s="123">
        <f>IF(gen!$E$44&lt;&gt;0,gen!$E$44,"  ")</f>
        <v>16621</v>
      </c>
      <c r="G23" s="124">
        <f>IF(AND(gen!E44=0,$G$32&gt;=0)," ",IF(AND(F23&gt;0,$G$32=0)," ",IF(AND(F23&gt;0,$G$32&gt;0),ROUND(F23/$G$32*1000,3))))</f>
        <v>3.824</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136225</v>
      </c>
      <c r="F30" s="411">
        <f>SUM(F23:F28)</f>
        <v>16621</v>
      </c>
      <c r="G30" s="415">
        <f>IF(SUM(G23:G28)=0,"",SUM(G23:G28))</f>
        <v>3.824</v>
      </c>
    </row>
    <row r="31" spans="1:7" ht="15.75">
      <c r="A31" s="121" t="s">
        <v>202</v>
      </c>
      <c r="B31" s="69"/>
      <c r="C31" s="118"/>
      <c r="D31" s="137">
        <f>summ!E27</f>
        <v>7</v>
      </c>
      <c r="E31" s="141" t="s">
        <v>197</v>
      </c>
      <c r="F31" s="414" t="str">
        <f>IF(F30&gt;computation!J34,"Yes","No")</f>
        <v>No</v>
      </c>
      <c r="G31" s="416" t="s">
        <v>133</v>
      </c>
    </row>
    <row r="32" spans="1:7" ht="15.75">
      <c r="A32" s="121" t="s">
        <v>221</v>
      </c>
      <c r="B32" s="139"/>
      <c r="C32" s="140"/>
      <c r="D32" s="137">
        <f>IF(Nhood!C35=0,"",Nhood!C35)</f>
      </c>
      <c r="E32" s="412"/>
      <c r="F32" s="71"/>
      <c r="G32" s="146">
        <v>4345949</v>
      </c>
    </row>
    <row r="33" spans="1:7" ht="15.75">
      <c r="A33" s="142" t="s">
        <v>196</v>
      </c>
      <c r="B33" s="69"/>
      <c r="C33" s="118"/>
      <c r="D33" s="137">
        <f>IF(Resolution!E45=0,"",Resolution!E45)</f>
      </c>
      <c r="E33" s="62"/>
      <c r="F33" s="71"/>
      <c r="G33" s="609" t="str">
        <f>CONCATENATE("Nov. 1, ",G3," Total Assessed Valuation")</f>
        <v>Nov. 1, 2012 Total Assessed Valuation</v>
      </c>
    </row>
    <row r="34" spans="1:7" ht="15.75">
      <c r="A34" s="21"/>
      <c r="B34" s="71"/>
      <c r="C34" s="18"/>
      <c r="D34" s="143"/>
      <c r="E34" s="62"/>
      <c r="F34" s="71"/>
      <c r="G34" s="610"/>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752</v>
      </c>
      <c r="B47" s="18"/>
      <c r="C47" s="17">
        <f>G3-1</f>
        <v>2011</v>
      </c>
      <c r="D47" s="42"/>
      <c r="E47" s="42"/>
      <c r="F47" s="150"/>
      <c r="G47" s="150"/>
    </row>
    <row r="48" spans="1:7" ht="15.75">
      <c r="A48" s="149"/>
      <c r="B48" s="71"/>
      <c r="C48" s="17"/>
      <c r="D48" s="18"/>
      <c r="E48" s="18"/>
      <c r="F48" s="26"/>
      <c r="G48" s="26"/>
    </row>
    <row r="49" spans="1:7" ht="15.75">
      <c r="A49" s="611" t="s">
        <v>753</v>
      </c>
      <c r="B49" s="612"/>
      <c r="C49" s="18"/>
      <c r="D49" s="42"/>
      <c r="E49" s="42"/>
      <c r="F49" s="42"/>
      <c r="G49" s="42"/>
    </row>
    <row r="50" spans="1:7" ht="15.75">
      <c r="A50" s="26" t="s">
        <v>30</v>
      </c>
      <c r="B50" s="26"/>
      <c r="C50" s="18"/>
      <c r="D50" s="613" t="s">
        <v>29</v>
      </c>
      <c r="E50" s="614"/>
      <c r="F50" s="614"/>
      <c r="G50" s="614"/>
    </row>
    <row r="51" spans="1:7" ht="15.75">
      <c r="A51" s="615"/>
      <c r="B51" s="615"/>
      <c r="C51" s="615"/>
      <c r="D51" s="615"/>
      <c r="E51" s="615"/>
      <c r="F51" s="615"/>
      <c r="G51" s="615"/>
    </row>
    <row r="52" spans="1:7" ht="15.75">
      <c r="A52" s="616"/>
      <c r="B52" s="616"/>
      <c r="C52" s="616"/>
      <c r="D52" s="616"/>
      <c r="E52" s="616"/>
      <c r="F52" s="616"/>
      <c r="G52" s="616"/>
    </row>
    <row r="53" spans="1:7" ht="15.75">
      <c r="A53" s="16"/>
      <c r="B53" s="16"/>
      <c r="C53" s="16"/>
      <c r="D53" s="16"/>
      <c r="E53" s="16"/>
      <c r="F53" s="16"/>
      <c r="G53" s="602"/>
    </row>
    <row r="54" spans="1:7" ht="15.75">
      <c r="A54" s="16"/>
      <c r="B54" s="16"/>
      <c r="C54" s="16"/>
      <c r="D54" s="16"/>
      <c r="E54" s="16"/>
      <c r="F54" s="16"/>
      <c r="G54" s="602"/>
    </row>
    <row r="55" spans="1:7" ht="15.75">
      <c r="A55" s="16"/>
      <c r="B55" s="16"/>
      <c r="C55" s="16"/>
      <c r="D55" s="16"/>
      <c r="E55" s="16"/>
      <c r="F55" s="16"/>
      <c r="G55" s="602"/>
    </row>
    <row r="56" spans="1:7" ht="15.75">
      <c r="A56" s="16"/>
      <c r="B56" s="16"/>
      <c r="C56" s="16"/>
      <c r="D56" s="16"/>
      <c r="E56" s="16"/>
      <c r="F56" s="16"/>
      <c r="G56" s="602"/>
    </row>
    <row r="57" spans="1:7" ht="15.75">
      <c r="A57" s="16"/>
      <c r="B57" s="16"/>
      <c r="C57" s="16"/>
      <c r="D57" s="151"/>
      <c r="E57" s="16"/>
      <c r="F57" s="16"/>
      <c r="G57" s="602"/>
    </row>
    <row r="58" ht="15.75">
      <c r="G58" s="602"/>
    </row>
    <row r="59" ht="15.75">
      <c r="G59" s="602"/>
    </row>
    <row r="60" ht="15.75">
      <c r="G60" s="602"/>
    </row>
    <row r="61" ht="15.75">
      <c r="G61" s="602"/>
    </row>
    <row r="62" ht="15.75">
      <c r="G62" s="602"/>
    </row>
    <row r="63" ht="15.75">
      <c r="G63" s="602"/>
    </row>
    <row r="64" ht="15.75">
      <c r="G64" s="602"/>
    </row>
    <row r="65" ht="15.75">
      <c r="G65" s="60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6">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Watershed # 75 Roy's Creek</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8" t="str">
        <f>CONCATENATE("Computation to Determine Limit for ",J1,"")</f>
        <v>Computation to Determine Limit for 2012</v>
      </c>
      <c r="B3" s="603"/>
      <c r="C3" s="603"/>
      <c r="D3" s="603"/>
      <c r="E3" s="603"/>
      <c r="F3" s="603"/>
      <c r="G3" s="603"/>
      <c r="H3" s="603"/>
      <c r="I3" s="603"/>
      <c r="J3" s="603"/>
    </row>
    <row r="4" spans="1:10" ht="15.75">
      <c r="A4" s="18"/>
      <c r="B4" s="18"/>
      <c r="C4" s="18"/>
      <c r="D4" s="18"/>
      <c r="E4" s="603"/>
      <c r="F4" s="603"/>
      <c r="G4" s="603"/>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16029</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16029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132659</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180299</v>
      </c>
      <c r="F14" s="155"/>
      <c r="G14" s="39"/>
      <c r="H14" s="39"/>
      <c r="I14" s="158"/>
      <c r="J14" s="39"/>
    </row>
    <row r="15" spans="1:10" ht="15.75">
      <c r="A15" s="154"/>
      <c r="B15" s="18" t="s">
        <v>97</v>
      </c>
      <c r="C15" s="18" t="str">
        <f>CONCATENATE("Personal Property ",J1-2,"")</f>
        <v>Personal Property 2010</v>
      </c>
      <c r="D15" s="154" t="s">
        <v>93</v>
      </c>
      <c r="E15" s="43">
        <f>inputOth!E11</f>
        <v>183399</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21623</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154282</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4329942</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4175660</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0.03694793158446808</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592</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16621</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16621</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118</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75 Roy's Creek</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8" t="s">
        <v>231</v>
      </c>
      <c r="C6" s="618"/>
      <c r="D6" s="618"/>
      <c r="E6" s="618"/>
      <c r="F6" s="61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5" t="str">
        <f>CONCATENATE("Allocation for Year ",J2,"")</f>
        <v>Allocation for Year 2012</v>
      </c>
      <c r="E9" s="622"/>
      <c r="F9" s="622"/>
      <c r="G9" s="607"/>
      <c r="H9" s="18"/>
      <c r="I9" s="18"/>
      <c r="J9" s="18"/>
    </row>
    <row r="10" spans="1:10" ht="15.75">
      <c r="A10" s="18"/>
      <c r="B10" s="620"/>
      <c r="C10" s="620"/>
      <c r="D10" s="116" t="s">
        <v>44</v>
      </c>
      <c r="E10" s="116" t="s">
        <v>45</v>
      </c>
      <c r="F10" s="116" t="s">
        <v>85</v>
      </c>
      <c r="G10" s="113" t="s">
        <v>158</v>
      </c>
      <c r="H10" s="18"/>
      <c r="I10" s="18"/>
      <c r="J10" s="18"/>
    </row>
    <row r="11" spans="1:10" ht="15.75">
      <c r="A11" s="18"/>
      <c r="B11" s="38" t="str">
        <f>inputPrYr!B19</f>
        <v>General</v>
      </c>
      <c r="C11" s="127">
        <f>inputPrYr!E19</f>
        <v>16029</v>
      </c>
      <c r="D11" s="127">
        <f>IF(E17=0,0,E17-D12-D13-D14)</f>
        <v>907</v>
      </c>
      <c r="E11" s="127">
        <f>IF(E19=0,0,E19-E12-E13-E14)</f>
        <v>24</v>
      </c>
      <c r="F11" s="127">
        <f>IF(E21=0,0,E21-F12-F13-F14)</f>
        <v>228</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16029</v>
      </c>
      <c r="D15" s="136">
        <f>SUM(D11:D14)</f>
        <v>907</v>
      </c>
      <c r="E15" s="136">
        <f>SUM(E11:E14)</f>
        <v>24</v>
      </c>
      <c r="F15" s="136">
        <f>SUM(F11:F14)</f>
        <v>228</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907</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24</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228</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0.056584939796618626</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0.0014972861688190156</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0.014224218603780647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Watershed # 75 Roy's Creek</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3" t="s">
        <v>142</v>
      </c>
      <c r="B5" s="603"/>
      <c r="C5" s="603"/>
      <c r="D5" s="603"/>
      <c r="E5" s="603"/>
      <c r="F5" s="603"/>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739</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2011-07-06T20:28:04Z</cp:lastPrinted>
  <dcterms:created xsi:type="dcterms:W3CDTF">1999-08-06T13:59:57Z</dcterms:created>
  <dcterms:modified xsi:type="dcterms:W3CDTF">2011-12-14T22:17:07Z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