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5"/>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Nhood" sheetId="19" r:id="rId19"/>
    <sheet name="Resolution"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<sst xmlns="http://schemas.openxmlformats.org/spreadsheetml/2006/main" count="1113" uniqueCount="752">
  <si>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</si>
  <si>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</si>
  <si>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</si>
  <si>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</si>
  <si>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</si>
  <si>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</si>
  <si>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</si>
  <si>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</si>
  <si>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</si>
  <si>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</si>
  <si>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</si>
  <si>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</si>
  <si>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</si>
  <si>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</si>
  <si>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</si>
  <si>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</si>
  <si>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</si>
  <si>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</si>
  <si>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</si>
  <si>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</si>
  <si>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</si>
  <si>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</si>
  <si>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</si>
  <si>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</si>
  <si>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</si>
  <si>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</si>
  <si>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</si>
  <si>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</si>
  <si>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</si>
  <si>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</si>
  <si>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</si>
  <si>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</si>
  <si>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</si>
  <si>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</si>
  <si>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</si>
  <si>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</si>
  <si>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</si>
  <si>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</si>
  <si>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</si>
  <si>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</si>
  <si>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</si>
  <si>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</si>
  <si>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</si>
  <si>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</si>
  <si>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</si>
  <si>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</si>
  <si>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</si>
  <si>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</si>
  <si>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</si>
  <si>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</si>
  <si>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</si>
  <si>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</si>
  <si>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</si>
  <si>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</si>
  <si>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</si>
  <si>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</si>
  <si>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</si>
  <si>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</si>
  <si>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</si>
  <si>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</si>
  <si>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</si>
  <si>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</si>
  <si>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</si>
  <si>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</si>
  <si>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</si>
  <si>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</si>
  <si>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</si>
  <si>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</si>
  <si>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</si>
  <si>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</si>
  <si>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</si>
  <si>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</si>
  <si>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</si>
  <si>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</si>
  <si>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</si>
  <si>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</si>
  <si>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</si>
  <si>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</si>
  <si>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</si>
  <si>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</si>
  <si>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</si>
  <si>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</si>
  <si>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</si>
  <si>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</si>
  <si>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</si>
  <si>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</si>
  <si>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</si>
  <si>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</si>
  <si>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</si>
  <si>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</si>
  <si>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</si>
  <si>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</si>
  <si>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</si>
  <si>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</si>
  <si>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</si>
  <si>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</si>
  <si>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</si>
  <si>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</si>
  <si>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</si>
  <si>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</si>
  <si>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</si>
  <si>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</si>
  <si>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</si>
  <si>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</si>
  <si>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</si>
  <si>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</si>
  <si>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</si>
  <si>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</si>
  <si>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</si>
  <si>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</si>
  <si>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</si>
  <si>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</si>
  <si>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</si>
  <si>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</si>
  <si>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</si>
  <si>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</si>
  <si>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</si>
  <si>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</si>
  <si>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</si>
  <si>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</si>
  <si>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</si>
  <si>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</si>
  <si>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</si>
  <si>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</si>
  <si>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</si>
  <si>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</si>
  <si>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</si>
  <si>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</si>
  <si>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</si>
  <si>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</si>
  <si>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</si>
  <si>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</si>
  <si>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</si>
  <si>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</si>
  <si>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</si>
  <si>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</si>
  <si>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</si>
  <si>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</si>
  <si>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</si>
  <si>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</si>
  <si>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</si>
  <si>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</si>
  <si>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</si>
  <si>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</si>
  <si>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</si>
  <si>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</si>
  <si>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</si>
  <si>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</si>
  <si>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</si>
  <si>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</si>
  <si>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</si>
  <si>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</si>
  <si>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</si>
  <si>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</si>
  <si>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</si>
  <si>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</si>
  <si>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</si>
  <si>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</si>
  <si>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</si>
  <si>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</si>
  <si>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</si>
  <si>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</si>
  <si>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</si>
  <si>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</si>
  <si>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</si>
  <si>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</si>
  <si>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</si>
  <si>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</si>
  <si>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</si>
  <si>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</si>
  <si>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</si>
  <si>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</si>
  <si>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</si>
  <si>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</si>
  <si>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</si>
  <si>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</si>
  <si>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</si>
  <si>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</si>
  <si>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</si>
  <si>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</si>
  <si>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</si>
  <si>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</si>
  <si>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</si>
  <si>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</si>
  <si>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</si>
  <si>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</si>
  <si>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</si>
  <si>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</si>
  <si>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</si>
  <si>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</si>
  <si>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</si>
  <si>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</si>
  <si>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</si>
  <si>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</si>
  <si>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</si>
  <si>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</si>
  <si>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</si>
  <si>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</si>
  <si>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</si>
  <si>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Springfield Cemetery</t>
  </si>
  <si>
    <t>Anderson County</t>
  </si>
  <si>
    <t>17-1330</t>
  </si>
  <si>
    <t>Mowing</t>
  </si>
  <si>
    <t>Improvements</t>
  </si>
  <si>
    <t>Repairs</t>
  </si>
  <si>
    <t>Supplies</t>
  </si>
  <si>
    <t>Equipment</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</si>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</sst>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5" fontId="32" fillId="4" borderId="10"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90">
      <selection activeCell="A90" sqref="A90"/>
    </sheetView>
  </sheetViews>
  <sheetFormatPr defaultColWidth="8.796875" defaultRowHeight="15"/>
  <cols>
    <col min="1" max="1" width="81.69921875" style="98" customWidth="1"/>
    <col min="2" max="16384" width="8.8984375" style="98" customWidth="1"/>
  </cols>
  <sheetData>
    <row r="1" spans="1:2" ht="15.75">
      <c r="A1" s="347" t="s">
        <v>287</v>
      </c>
      <c r="B1" s="348"/>
    </row>
    <row r="2" spans="1:2" ht="15.75">
      <c r="A2" s="347"/>
      <c r="B2" s="348"/>
    </row>
    <row r="3" ht="35.25" customHeight="1">
      <c r="A3" s="349" t="s">
        <v>390</v>
      </c>
    </row>
    <row r="4" ht="15.75">
      <c r="A4" s="350"/>
    </row>
    <row r="5" ht="15.75">
      <c r="A5" s="350" t="s">
        <v>445</v>
      </c>
    </row>
    <row r="6" ht="15.75">
      <c r="A6" s="350"/>
    </row>
    <row r="7" ht="57.75" customHeight="1">
      <c r="A7" s="351" t="s">
        <v>484</v>
      </c>
    </row>
    <row r="8" ht="15.75">
      <c r="A8" s="350"/>
    </row>
    <row r="9" spans="1:2" ht="15.75">
      <c r="A9" s="352" t="s">
        <v>439</v>
      </c>
      <c r="B9" s="348"/>
    </row>
    <row r="10" spans="1:2" ht="15.75">
      <c r="A10" s="352"/>
      <c r="B10" s="348"/>
    </row>
    <row r="11" spans="1:2" ht="15.75">
      <c r="A11" s="350" t="s">
        <v>440</v>
      </c>
      <c r="B11" s="348"/>
    </row>
    <row r="12" ht="14.25" customHeight="1">
      <c r="A12" s="153"/>
    </row>
    <row r="13" s="341" customFormat="1" ht="42" customHeight="1">
      <c r="A13" s="353" t="s">
        <v>485</v>
      </c>
    </row>
    <row r="16" ht="15.75">
      <c r="A16" s="352" t="s">
        <v>212</v>
      </c>
    </row>
    <row r="17" ht="15.75">
      <c r="A17" s="153"/>
    </row>
    <row r="18" ht="15.75">
      <c r="A18" s="273" t="s">
        <v>434</v>
      </c>
    </row>
    <row r="19" ht="17.25" customHeight="1">
      <c r="A19" s="353" t="s">
        <v>339</v>
      </c>
    </row>
    <row r="20" ht="24.75" customHeight="1">
      <c r="A20" s="354" t="s">
        <v>338</v>
      </c>
    </row>
    <row r="21" ht="52.5" customHeight="1">
      <c r="A21" s="355" t="s">
        <v>340</v>
      </c>
    </row>
    <row r="22" ht="20.25" customHeight="1">
      <c r="A22" s="356" t="s">
        <v>391</v>
      </c>
    </row>
    <row r="23" s="357" customFormat="1" ht="20.25" customHeight="1">
      <c r="A23" s="308" t="s">
        <v>438</v>
      </c>
    </row>
    <row r="24" ht="21" customHeight="1">
      <c r="A24" s="353" t="s">
        <v>286</v>
      </c>
    </row>
    <row r="25" ht="15.75">
      <c r="A25" s="153"/>
    </row>
    <row r="26" ht="15.75">
      <c r="A26" s="358" t="s">
        <v>213</v>
      </c>
    </row>
    <row r="28" ht="21" customHeight="1">
      <c r="A28" s="341" t="s">
        <v>358</v>
      </c>
    </row>
    <row r="30" ht="71.25" customHeight="1">
      <c r="A30" s="341" t="s">
        <v>172</v>
      </c>
    </row>
    <row r="31" ht="49.5" customHeight="1">
      <c r="A31" s="359" t="s">
        <v>437</v>
      </c>
    </row>
    <row r="32" ht="73.5" customHeight="1">
      <c r="A32" s="390" t="s">
        <v>749</v>
      </c>
    </row>
    <row r="33" ht="69.75" customHeight="1">
      <c r="A33" s="391" t="s">
        <v>750</v>
      </c>
    </row>
    <row r="35" ht="71.25" customHeight="1">
      <c r="A35" s="341" t="s">
        <v>173</v>
      </c>
    </row>
    <row r="36" ht="57.75" customHeight="1">
      <c r="A36" s="341" t="s">
        <v>751</v>
      </c>
    </row>
    <row r="37" ht="105" customHeight="1">
      <c r="A37" s="341" t="s">
        <v>0</v>
      </c>
    </row>
    <row r="38" ht="15.75">
      <c r="A38" s="341"/>
    </row>
    <row r="39" ht="70.5" customHeight="1">
      <c r="A39" s="341" t="s">
        <v>1</v>
      </c>
    </row>
    <row r="40" ht="70.5" customHeight="1">
      <c r="A40" s="341" t="s">
        <v>2</v>
      </c>
    </row>
    <row r="41" ht="39" customHeight="1">
      <c r="A41" s="341" t="s">
        <v>3</v>
      </c>
    </row>
    <row r="42" ht="15.75">
      <c r="A42" s="341"/>
    </row>
    <row r="43" ht="71.25" customHeight="1">
      <c r="A43" s="341" t="s">
        <v>4</v>
      </c>
    </row>
    <row r="44" ht="42" customHeight="1">
      <c r="A44" s="341" t="s">
        <v>5</v>
      </c>
    </row>
    <row r="45" ht="44.25" customHeight="1">
      <c r="A45" s="341" t="s">
        <v>6</v>
      </c>
    </row>
    <row r="47" ht="51.75" customHeight="1">
      <c r="A47" s="341" t="s">
        <v>7</v>
      </c>
    </row>
    <row r="49" ht="35.25" customHeight="1">
      <c r="A49" s="341" t="s">
        <v>8</v>
      </c>
    </row>
    <row r="50" ht="23.25" customHeight="1">
      <c r="A50" s="98" t="s">
        <v>9</v>
      </c>
    </row>
    <row r="51" ht="72.75" customHeight="1">
      <c r="A51" s="341" t="s">
        <v>24</v>
      </c>
    </row>
    <row r="52" ht="29.25" customHeight="1">
      <c r="A52" s="341" t="s">
        <v>10</v>
      </c>
    </row>
    <row r="54" ht="72" customHeight="1">
      <c r="A54" s="341" t="s">
        <v>11</v>
      </c>
    </row>
    <row r="56" ht="67.5" customHeight="1">
      <c r="A56" s="341" t="s">
        <v>12</v>
      </c>
    </row>
    <row r="57" ht="15.75">
      <c r="A57" s="341"/>
    </row>
    <row r="58" ht="53.25" customHeight="1">
      <c r="A58" s="341" t="s">
        <v>13</v>
      </c>
    </row>
    <row r="59" ht="70.5" customHeight="1">
      <c r="A59" s="591" t="s">
        <v>174</v>
      </c>
    </row>
    <row r="60" ht="53.25" customHeight="1">
      <c r="A60" s="591" t="s">
        <v>175</v>
      </c>
    </row>
    <row r="61" ht="53.25" customHeight="1">
      <c r="A61" s="592" t="s">
        <v>176</v>
      </c>
    </row>
    <row r="62" ht="68.25" customHeight="1">
      <c r="A62" s="591" t="s">
        <v>177</v>
      </c>
    </row>
    <row r="63" ht="69" customHeight="1">
      <c r="A63" s="341" t="s">
        <v>178</v>
      </c>
    </row>
    <row r="64" ht="90" customHeight="1">
      <c r="A64" s="341" t="s">
        <v>179</v>
      </c>
    </row>
    <row r="65" ht="113.25" customHeight="1">
      <c r="A65" s="361" t="s">
        <v>180</v>
      </c>
    </row>
    <row r="66" ht="105.75" customHeight="1">
      <c r="A66" s="362" t="s">
        <v>181</v>
      </c>
    </row>
    <row r="67" ht="77.25" customHeight="1">
      <c r="A67" s="363" t="s">
        <v>182</v>
      </c>
    </row>
    <row r="68" ht="91.5" customHeight="1">
      <c r="A68" s="341" t="s">
        <v>183</v>
      </c>
    </row>
    <row r="69" ht="113.25" customHeight="1">
      <c r="A69" s="364" t="s">
        <v>184</v>
      </c>
    </row>
    <row r="70" ht="11.25" customHeight="1">
      <c r="A70" s="341"/>
    </row>
    <row r="71" ht="120.75" customHeight="1">
      <c r="A71" s="341" t="s">
        <v>14</v>
      </c>
    </row>
    <row r="72" ht="108" customHeight="1">
      <c r="A72" s="360" t="s">
        <v>15</v>
      </c>
    </row>
    <row r="73" ht="66" customHeight="1">
      <c r="A73" s="360" t="s">
        <v>16</v>
      </c>
    </row>
    <row r="74" ht="21" customHeight="1">
      <c r="A74" s="341" t="s">
        <v>17</v>
      </c>
    </row>
    <row r="75" ht="11.25" customHeight="1">
      <c r="A75" s="341"/>
    </row>
    <row r="76" s="341" customFormat="1" ht="50.25" customHeight="1">
      <c r="A76" s="341" t="s">
        <v>18</v>
      </c>
    </row>
    <row r="77" s="341" customFormat="1" ht="23.25" customHeight="1">
      <c r="A77" s="341" t="s">
        <v>21</v>
      </c>
    </row>
    <row r="78" s="341" customFormat="1" ht="70.5" customHeight="1">
      <c r="A78" s="591" t="s">
        <v>185</v>
      </c>
    </row>
    <row r="79" s="341" customFormat="1" ht="88.5" customHeight="1">
      <c r="A79" s="591" t="s">
        <v>186</v>
      </c>
    </row>
    <row r="80" s="341" customFormat="1" ht="43.5" customHeight="1">
      <c r="A80" s="341" t="s">
        <v>187</v>
      </c>
    </row>
    <row r="81" s="341" customFormat="1" ht="54" customHeight="1">
      <c r="A81" s="341" t="s">
        <v>188</v>
      </c>
    </row>
    <row r="83" s="341" customFormat="1" ht="33.75" customHeight="1">
      <c r="A83" s="341" t="s">
        <v>19</v>
      </c>
    </row>
    <row r="85" ht="21.75" customHeight="1">
      <c r="A85" s="341" t="s">
        <v>20</v>
      </c>
    </row>
    <row r="87" ht="49.5" customHeight="1">
      <c r="A87" s="591" t="s">
        <v>189</v>
      </c>
    </row>
    <row r="88" ht="81.75" customHeight="1">
      <c r="A88" s="591" t="s">
        <v>190</v>
      </c>
    </row>
    <row r="89" ht="97.5" customHeight="1">
      <c r="A89" s="591" t="s">
        <v>191</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523</v>
      </c>
    </row>
    <row r="2" ht="15.75">
      <c r="A2" s="98"/>
    </row>
    <row r="3" ht="47.25">
      <c r="A3" s="343" t="s">
        <v>524</v>
      </c>
    </row>
    <row r="4" ht="15.75">
      <c r="A4" s="344"/>
    </row>
    <row r="5" ht="15.75">
      <c r="A5" s="98"/>
    </row>
    <row r="6" ht="63">
      <c r="A6" s="343" t="s">
        <v>525</v>
      </c>
    </row>
    <row r="7" ht="15.75">
      <c r="A7" s="344"/>
    </row>
    <row r="8" ht="15.75">
      <c r="A8" s="98"/>
    </row>
    <row r="9" ht="47.25">
      <c r="A9" s="343" t="s">
        <v>526</v>
      </c>
    </row>
    <row r="10" ht="15.75">
      <c r="A10" s="344"/>
    </row>
    <row r="11" ht="15.75">
      <c r="A11" s="344"/>
    </row>
    <row r="12" ht="31.5">
      <c r="A12" s="343" t="s">
        <v>527</v>
      </c>
    </row>
    <row r="13" ht="15.75">
      <c r="A13" s="98"/>
    </row>
    <row r="14" ht="15.75">
      <c r="A14" s="98"/>
    </row>
    <row r="15" ht="47.25">
      <c r="A15" s="343" t="s">
        <v>528</v>
      </c>
    </row>
    <row r="16" ht="15.75">
      <c r="A16" s="98"/>
    </row>
    <row r="17" ht="15.75">
      <c r="A17" s="98"/>
    </row>
    <row r="18" ht="63">
      <c r="A18" s="522" t="s">
        <v>135</v>
      </c>
    </row>
    <row r="19" ht="15.75">
      <c r="A19" s="98"/>
    </row>
    <row r="20" ht="15.75">
      <c r="A20" s="98"/>
    </row>
    <row r="21" ht="63">
      <c r="A21" s="365" t="s">
        <v>529</v>
      </c>
    </row>
    <row r="22" ht="15.75">
      <c r="A22" s="344"/>
    </row>
    <row r="23" ht="15.75">
      <c r="A23" s="98"/>
    </row>
    <row r="24" ht="63">
      <c r="A24" s="343" t="s">
        <v>530</v>
      </c>
    </row>
    <row r="25" ht="47.25">
      <c r="A25" s="345" t="s">
        <v>531</v>
      </c>
    </row>
    <row r="26" ht="15.75">
      <c r="A26" s="344"/>
    </row>
    <row r="27" ht="15.75">
      <c r="A27" s="98"/>
    </row>
    <row r="28" ht="63">
      <c r="A28" s="522" t="s">
        <v>136</v>
      </c>
    </row>
    <row r="29" ht="15.75">
      <c r="A29" s="98"/>
    </row>
    <row r="30" ht="15.75">
      <c r="A30" s="98"/>
    </row>
    <row r="31" ht="78.75">
      <c r="A31" s="522" t="s">
        <v>137</v>
      </c>
    </row>
    <row r="32" ht="15.75">
      <c r="A32" s="98"/>
    </row>
    <row r="33" ht="15.75">
      <c r="A33" s="98"/>
    </row>
    <row r="34" ht="47.25">
      <c r="A34" s="523" t="s">
        <v>138</v>
      </c>
    </row>
    <row r="35" ht="15.75">
      <c r="A35" s="98"/>
    </row>
    <row r="36" ht="15.75">
      <c r="A36" s="98"/>
    </row>
    <row r="37" ht="78.75">
      <c r="A37" s="343" t="s">
        <v>532</v>
      </c>
    </row>
    <row r="38" ht="15.75">
      <c r="A38" s="344"/>
    </row>
    <row r="39" ht="15.75">
      <c r="A39" s="344"/>
    </row>
    <row r="40" ht="47.25">
      <c r="A40" s="365" t="s">
        <v>533</v>
      </c>
    </row>
    <row r="41" ht="15.75">
      <c r="A41" s="34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Springfield Cemetery</v>
      </c>
      <c r="B1" s="18"/>
      <c r="C1" s="18"/>
      <c r="D1" s="18"/>
      <c r="E1" s="18"/>
      <c r="F1" s="18"/>
      <c r="G1" s="18"/>
      <c r="H1" s="18"/>
      <c r="I1" s="18"/>
      <c r="J1" s="18"/>
      <c r="K1" s="192">
        <f>inputPrYr!D6</f>
        <v>2012</v>
      </c>
    </row>
    <row r="2" spans="1:11" ht="15.75">
      <c r="A2" s="18" t="str">
        <f>inputPrYr!$D$4</f>
        <v>Anderson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295</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268</v>
      </c>
      <c r="C6" s="105" t="s">
        <v>277</v>
      </c>
      <c r="D6" s="105"/>
      <c r="E6" s="105" t="s">
        <v>238</v>
      </c>
      <c r="F6" s="197"/>
      <c r="G6" s="198"/>
      <c r="H6" s="197" t="s">
        <v>269</v>
      </c>
      <c r="I6" s="198"/>
      <c r="J6" s="197" t="s">
        <v>269</v>
      </c>
      <c r="K6" s="198"/>
    </row>
    <row r="7" spans="1:11" s="195" customFormat="1" ht="15.75">
      <c r="A7" s="18"/>
      <c r="B7" s="108" t="s">
        <v>270</v>
      </c>
      <c r="C7" s="108" t="s">
        <v>271</v>
      </c>
      <c r="D7" s="108" t="s">
        <v>238</v>
      </c>
      <c r="E7" s="108" t="s">
        <v>342</v>
      </c>
      <c r="F7" s="199" t="s">
        <v>272</v>
      </c>
      <c r="G7" s="200"/>
      <c r="H7" s="199">
        <f>K1-1</f>
        <v>2011</v>
      </c>
      <c r="I7" s="200"/>
      <c r="J7" s="199">
        <f>K1</f>
        <v>2012</v>
      </c>
      <c r="K7" s="200"/>
    </row>
    <row r="8" spans="1:11" s="195" customFormat="1" ht="15.75">
      <c r="A8" s="201" t="s">
        <v>273</v>
      </c>
      <c r="B8" s="117" t="s">
        <v>274</v>
      </c>
      <c r="C8" s="117" t="s">
        <v>250</v>
      </c>
      <c r="D8" s="117" t="s">
        <v>275</v>
      </c>
      <c r="E8" s="202" t="str">
        <f>CONCATENATE("Jan 1,",K1-1,"")</f>
        <v>Jan 1,2011</v>
      </c>
      <c r="F8" s="114" t="s">
        <v>277</v>
      </c>
      <c r="G8" s="114" t="s">
        <v>278</v>
      </c>
      <c r="H8" s="114" t="s">
        <v>277</v>
      </c>
      <c r="I8" s="114" t="s">
        <v>278</v>
      </c>
      <c r="J8" s="114" t="s">
        <v>277</v>
      </c>
      <c r="K8" s="114" t="s">
        <v>278</v>
      </c>
    </row>
    <row r="9" spans="1:11" s="195" customFormat="1" ht="15.75">
      <c r="A9" s="35" t="s">
        <v>392</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393</v>
      </c>
      <c r="B12" s="211"/>
      <c r="C12" s="212"/>
      <c r="D12" s="213"/>
      <c r="E12" s="214">
        <f>SUM(E10:E11)</f>
        <v>0</v>
      </c>
      <c r="F12" s="215"/>
      <c r="G12" s="215"/>
      <c r="H12" s="214">
        <f>SUM(H10:H11)</f>
        <v>0</v>
      </c>
      <c r="I12" s="214">
        <f>SUM(I10:I11)</f>
        <v>0</v>
      </c>
      <c r="J12" s="214">
        <f>SUM(J10:J11)</f>
        <v>0</v>
      </c>
      <c r="K12" s="214">
        <f>SUM(K10:K11)</f>
        <v>0</v>
      </c>
    </row>
    <row r="13" spans="1:11" s="195" customFormat="1" ht="15.75">
      <c r="A13" s="210" t="s">
        <v>394</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395</v>
      </c>
      <c r="B16" s="211"/>
      <c r="C16" s="212"/>
      <c r="D16" s="213"/>
      <c r="E16" s="128">
        <f>SUM(E14:E15)</f>
        <v>0</v>
      </c>
      <c r="F16" s="215"/>
      <c r="G16" s="215"/>
      <c r="H16" s="214">
        <f>SUM(H14:H15)</f>
        <v>0</v>
      </c>
      <c r="I16" s="214">
        <f>SUM(I14:I15)</f>
        <v>0</v>
      </c>
      <c r="J16" s="214">
        <f>SUM(J14:J15)</f>
        <v>0</v>
      </c>
      <c r="K16" s="214">
        <f>SUM(K14:K15)</f>
        <v>0</v>
      </c>
    </row>
    <row r="17" spans="1:11" s="195" customFormat="1" ht="15.75">
      <c r="A17" s="210" t="s">
        <v>396</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397</v>
      </c>
      <c r="B20" s="216"/>
      <c r="C20" s="217"/>
      <c r="D20" s="47"/>
      <c r="E20" s="214">
        <f>SUM(E18:E19)</f>
        <v>0</v>
      </c>
      <c r="F20" s="215"/>
      <c r="G20" s="215"/>
      <c r="H20" s="214">
        <f>SUM(H18:H19)</f>
        <v>0</v>
      </c>
      <c r="I20" s="214">
        <f>SUM(I18:I19)</f>
        <v>0</v>
      </c>
      <c r="J20" s="214">
        <f>SUM(J18:J19)</f>
        <v>0</v>
      </c>
      <c r="K20" s="214">
        <f>SUM(K18:K19)</f>
        <v>0</v>
      </c>
    </row>
    <row r="21" spans="1:11" s="195" customFormat="1" ht="15.75">
      <c r="A21" s="218" t="s">
        <v>296</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290</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276</v>
      </c>
      <c r="D25" s="227"/>
      <c r="E25" s="105" t="s">
        <v>220</v>
      </c>
      <c r="F25" s="227"/>
      <c r="G25" s="227"/>
      <c r="H25" s="227"/>
      <c r="I25" s="228"/>
      <c r="J25" s="229"/>
      <c r="K25" s="225"/>
    </row>
    <row r="26" spans="1:11" s="226" customFormat="1" ht="15.75">
      <c r="A26" s="230"/>
      <c r="B26" s="108"/>
      <c r="C26" s="108" t="s">
        <v>270</v>
      </c>
      <c r="D26" s="108" t="s">
        <v>277</v>
      </c>
      <c r="E26" s="108" t="s">
        <v>238</v>
      </c>
      <c r="F26" s="108" t="s">
        <v>278</v>
      </c>
      <c r="G26" s="108" t="s">
        <v>279</v>
      </c>
      <c r="H26" s="108" t="s">
        <v>279</v>
      </c>
      <c r="I26" s="225"/>
      <c r="J26" s="225"/>
      <c r="K26" s="225"/>
    </row>
    <row r="27" spans="1:11" s="226" customFormat="1" ht="15.75">
      <c r="A27" s="230"/>
      <c r="B27" s="108" t="s">
        <v>280</v>
      </c>
      <c r="C27" s="108" t="s">
        <v>281</v>
      </c>
      <c r="D27" s="108" t="s">
        <v>271</v>
      </c>
      <c r="E27" s="108" t="s">
        <v>282</v>
      </c>
      <c r="F27" s="108" t="s">
        <v>322</v>
      </c>
      <c r="G27" s="108" t="s">
        <v>283</v>
      </c>
      <c r="H27" s="108" t="s">
        <v>283</v>
      </c>
      <c r="I27" s="225"/>
      <c r="J27" s="225"/>
      <c r="K27" s="225"/>
    </row>
    <row r="28" spans="1:11" s="226" customFormat="1" ht="15.75">
      <c r="A28" s="231" t="s">
        <v>284</v>
      </c>
      <c r="B28" s="117" t="s">
        <v>268</v>
      </c>
      <c r="C28" s="232" t="s">
        <v>285</v>
      </c>
      <c r="D28" s="117" t="s">
        <v>250</v>
      </c>
      <c r="E28" s="232" t="s">
        <v>343</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296</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448</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J58" sqref="J5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Springfield Cemetery</v>
      </c>
      <c r="C1" s="241"/>
      <c r="D1" s="18"/>
      <c r="E1" s="192"/>
    </row>
    <row r="2" spans="2:5" ht="15.75">
      <c r="B2" s="18" t="str">
        <f>inputPrYr!D4</f>
        <v>Anderson County</v>
      </c>
      <c r="C2" s="241"/>
      <c r="D2" s="18"/>
      <c r="E2" s="145"/>
    </row>
    <row r="3" spans="2:6" ht="15.75">
      <c r="B3" s="555" t="s">
        <v>291</v>
      </c>
      <c r="C3" s="241"/>
      <c r="D3" s="18"/>
      <c r="E3" s="242"/>
      <c r="F3" s="192">
        <f>inputPrYr!$D$6</f>
        <v>2012</v>
      </c>
    </row>
    <row r="4" spans="2:5" ht="15.75">
      <c r="B4" s="18"/>
      <c r="C4" s="103"/>
      <c r="D4" s="103"/>
      <c r="E4" s="103"/>
    </row>
    <row r="5" spans="2:5" ht="15.75">
      <c r="B5" s="17" t="s">
        <v>239</v>
      </c>
      <c r="C5" s="401" t="s">
        <v>466</v>
      </c>
      <c r="D5" s="402" t="s">
        <v>465</v>
      </c>
      <c r="E5" s="243" t="s">
        <v>462</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335</v>
      </c>
      <c r="C7" s="397">
        <v>4479</v>
      </c>
      <c r="D7" s="404">
        <f>C51</f>
        <v>5644</v>
      </c>
      <c r="E7" s="47">
        <f>D51</f>
        <v>3560</v>
      </c>
    </row>
    <row r="8" spans="2:5" ht="15.75">
      <c r="B8" s="246" t="s">
        <v>337</v>
      </c>
      <c r="C8" s="247"/>
      <c r="D8" s="247"/>
      <c r="E8" s="128"/>
    </row>
    <row r="9" spans="2:5" ht="15.75">
      <c r="B9" s="122" t="s">
        <v>240</v>
      </c>
      <c r="C9" s="397">
        <v>4130</v>
      </c>
      <c r="D9" s="404">
        <f>inputPrYr!E19</f>
        <v>3632</v>
      </c>
      <c r="E9" s="135" t="s">
        <v>235</v>
      </c>
    </row>
    <row r="10" spans="2:5" ht="15.75">
      <c r="B10" s="122" t="s">
        <v>241</v>
      </c>
      <c r="C10" s="397"/>
      <c r="D10" s="397"/>
      <c r="E10" s="209"/>
    </row>
    <row r="11" spans="2:5" ht="15.75">
      <c r="B11" s="122" t="s">
        <v>242</v>
      </c>
      <c r="C11" s="397"/>
      <c r="D11" s="397">
        <v>329</v>
      </c>
      <c r="E11" s="47">
        <f>mvalloc!D11</f>
        <v>307</v>
      </c>
    </row>
    <row r="12" spans="2:5" ht="15.75">
      <c r="B12" s="122" t="s">
        <v>243</v>
      </c>
      <c r="C12" s="397"/>
      <c r="D12" s="397">
        <v>8</v>
      </c>
      <c r="E12" s="47">
        <f>mvalloc!E11</f>
        <v>8</v>
      </c>
    </row>
    <row r="13" spans="2:5" ht="15.75">
      <c r="B13" s="247" t="s">
        <v>319</v>
      </c>
      <c r="C13" s="397"/>
      <c r="D13" s="397">
        <v>47</v>
      </c>
      <c r="E13" s="47">
        <f>mvalloc!F11</f>
        <v>73</v>
      </c>
    </row>
    <row r="14" spans="2:5" ht="15.75">
      <c r="B14" s="247" t="s">
        <v>370</v>
      </c>
      <c r="C14" s="397"/>
      <c r="D14" s="397"/>
      <c r="E14" s="47">
        <f>inputOth!E30</f>
        <v>0</v>
      </c>
    </row>
    <row r="15" spans="2:5" ht="15.75">
      <c r="B15" s="247" t="s">
        <v>371</v>
      </c>
      <c r="C15" s="397"/>
      <c r="D15" s="397"/>
      <c r="E15" s="47">
        <f>mvalloc!G11</f>
        <v>0</v>
      </c>
    </row>
    <row r="16" spans="2:5" ht="15.75">
      <c r="B16" s="248" t="s">
        <v>244</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245</v>
      </c>
      <c r="C25" s="397"/>
      <c r="D25" s="397"/>
      <c r="E25" s="209"/>
    </row>
    <row r="26" spans="2:5" ht="15.75">
      <c r="B26" s="250" t="s">
        <v>435</v>
      </c>
      <c r="C26" s="248"/>
      <c r="D26" s="248"/>
      <c r="E26" s="209"/>
    </row>
    <row r="27" spans="2:5" ht="15.75">
      <c r="B27" s="250" t="s">
        <v>37</v>
      </c>
      <c r="C27" s="398">
        <f>IF(C28*0.1&lt;C26,"Exceed 10% Rule","")</f>
      </c>
      <c r="D27" s="398">
        <f>IF(D28*0.1&lt;D26,"Exceed 10% Rule","")</f>
      </c>
      <c r="E27" s="424">
        <f>IF(E28*0.1+E57&lt;E26,"Exceed 10% Rule","")</f>
      </c>
    </row>
    <row r="28" spans="2:5" ht="15.75">
      <c r="B28" s="253" t="s">
        <v>246</v>
      </c>
      <c r="C28" s="399">
        <f>SUM(C9:C26)</f>
        <v>4130</v>
      </c>
      <c r="D28" s="399">
        <f>SUM(D9:D26)</f>
        <v>4016</v>
      </c>
      <c r="E28" s="254">
        <f>SUM(E9:E26)</f>
        <v>388</v>
      </c>
    </row>
    <row r="29" spans="2:5" ht="15.75">
      <c r="B29" s="253" t="s">
        <v>247</v>
      </c>
      <c r="C29" s="399">
        <f>C7+C28</f>
        <v>8609</v>
      </c>
      <c r="D29" s="399">
        <f>D7+D28</f>
        <v>9660</v>
      </c>
      <c r="E29" s="254">
        <f>E7+E28</f>
        <v>3948</v>
      </c>
    </row>
    <row r="30" spans="2:5" ht="15.75">
      <c r="B30" s="122" t="s">
        <v>248</v>
      </c>
      <c r="C30" s="126"/>
      <c r="D30" s="126"/>
      <c r="E30" s="38"/>
    </row>
    <row r="31" spans="2:5" ht="15.75">
      <c r="B31" s="248" t="s">
        <v>205</v>
      </c>
      <c r="C31" s="397">
        <v>320</v>
      </c>
      <c r="D31" s="397">
        <v>100</v>
      </c>
      <c r="E31" s="209">
        <v>100</v>
      </c>
    </row>
    <row r="32" spans="2:5" ht="15.75">
      <c r="B32" s="248" t="s">
        <v>202</v>
      </c>
      <c r="C32" s="397">
        <v>2275</v>
      </c>
      <c r="D32" s="397">
        <v>2700</v>
      </c>
      <c r="E32" s="209">
        <v>3500</v>
      </c>
    </row>
    <row r="33" spans="2:5" ht="15.75">
      <c r="B33" s="248" t="s">
        <v>204</v>
      </c>
      <c r="C33" s="397">
        <v>370</v>
      </c>
      <c r="D33" s="397">
        <v>200</v>
      </c>
      <c r="E33" s="209">
        <v>200</v>
      </c>
    </row>
    <row r="34" spans="2:5" ht="15.75">
      <c r="B34" s="248" t="s">
        <v>203</v>
      </c>
      <c r="C34" s="397"/>
      <c r="D34" s="397">
        <v>3100</v>
      </c>
      <c r="E34" s="209">
        <v>1000</v>
      </c>
    </row>
    <row r="35" spans="2:5" ht="15.75">
      <c r="B35" s="248" t="s">
        <v>206</v>
      </c>
      <c r="C35" s="397"/>
      <c r="D35" s="397"/>
      <c r="E35" s="209">
        <v>300</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3560</v>
      </c>
      <c r="H45" s="553" t="str">
        <f>CONCATENATE("",F3-1," Ending Cash Balance (est.)")</f>
        <v>2011 Ending Cash Balance (est.)</v>
      </c>
      <c r="I45" s="543"/>
      <c r="J45" s="544"/>
    </row>
    <row r="46" spans="2:10" ht="15.75">
      <c r="B46" s="248"/>
      <c r="C46" s="397"/>
      <c r="D46" s="397"/>
      <c r="E46" s="209"/>
      <c r="G46" s="554">
        <f>E28</f>
        <v>388</v>
      </c>
      <c r="H46" s="543" t="str">
        <f>CONCATENATE("",F3," Non-AV Receipts (est.)")</f>
        <v>2012 Non-AV Receipts (est.)</v>
      </c>
      <c r="I46" s="543"/>
      <c r="J46" s="544"/>
    </row>
    <row r="47" spans="2:10" ht="15.75">
      <c r="B47" s="126" t="s">
        <v>436</v>
      </c>
      <c r="C47" s="397"/>
      <c r="D47" s="397"/>
      <c r="E47" s="214">
        <f>Nhood!E7</f>
      </c>
      <c r="G47" s="542">
        <f>E57</f>
        <v>1417</v>
      </c>
      <c r="H47" s="543" t="str">
        <f>CONCATENATE("",F3," Ad Valorem Tax (est.)")</f>
        <v>2012 Ad Valorem Tax (est.)</v>
      </c>
      <c r="I47" s="543"/>
      <c r="J47" s="544"/>
    </row>
    <row r="48" spans="2:10" ht="15.75">
      <c r="B48" s="126" t="s">
        <v>435</v>
      </c>
      <c r="C48" s="397"/>
      <c r="D48" s="397"/>
      <c r="E48" s="37"/>
      <c r="G48" s="554">
        <f>SUM(G45:G47)</f>
        <v>5365</v>
      </c>
      <c r="H48" s="543" t="str">
        <f>CONCATENATE("Total ",E4," Resources Available")</f>
        <v>Total  Resources Available</v>
      </c>
      <c r="I48" s="543"/>
      <c r="J48" s="544"/>
    </row>
    <row r="49" spans="2:10" ht="15.75">
      <c r="B49" s="126" t="s">
        <v>36</v>
      </c>
      <c r="C49" s="398">
        <f>IF(C50*0.1&lt;C48,"Exceed 10% Rule","")</f>
      </c>
      <c r="D49" s="398">
        <f>IF(D50*0.1&lt;D48,"Exceed 10% Rule","")</f>
      </c>
      <c r="E49" s="424">
        <f>IF(E50*0.1&lt;E48,"Exceed 10% Rule","")</f>
      </c>
      <c r="G49" s="541"/>
      <c r="H49" s="543"/>
      <c r="I49" s="543"/>
      <c r="J49" s="544"/>
    </row>
    <row r="50" spans="2:10" ht="15.75">
      <c r="B50" s="253" t="s">
        <v>249</v>
      </c>
      <c r="C50" s="399">
        <f>SUM(C31:C48)</f>
        <v>2965</v>
      </c>
      <c r="D50" s="399">
        <f>SUM(D31:D48)</f>
        <v>6100</v>
      </c>
      <c r="E50" s="254">
        <f>SUM(E31:E48)</f>
        <v>5100</v>
      </c>
      <c r="G50" s="542">
        <f>C50*0.05+C50</f>
        <v>3113.25</v>
      </c>
      <c r="H50" s="543" t="str">
        <f>CONCATENATE("Less ",F3-2," Expenditures + 5%")</f>
        <v>Less 2010 Expenditures + 5%</v>
      </c>
      <c r="I50" s="543"/>
      <c r="J50" s="544"/>
    </row>
    <row r="51" spans="2:10" ht="15.75">
      <c r="B51" s="122" t="s">
        <v>336</v>
      </c>
      <c r="C51" s="400">
        <f>C29-C50</f>
        <v>5644</v>
      </c>
      <c r="D51" s="400">
        <f>D29-D50</f>
        <v>3560</v>
      </c>
      <c r="E51" s="135" t="s">
        <v>235</v>
      </c>
      <c r="G51" s="540">
        <f>G48-G50</f>
        <v>2251.75</v>
      </c>
      <c r="H51" s="539" t="str">
        <f>CONCATENATE("Projected ",F3+1," Carryover (est.)")</f>
        <v>Projected 2013 Carryover (est.)</v>
      </c>
      <c r="I51" s="525"/>
      <c r="J51" s="538"/>
    </row>
    <row r="52" spans="2:10" ht="15.75">
      <c r="B52" s="145" t="str">
        <f>CONCATENATE("",F3-2,"/",F3-1," Budget Authority Amount:")</f>
        <v>2010/2011 Budget Authority Amount:</v>
      </c>
      <c r="C52" s="123">
        <f>inputOth!B42</f>
        <v>6100</v>
      </c>
      <c r="D52" s="425">
        <f>inputPrYr!D19</f>
        <v>6100</v>
      </c>
      <c r="E52" s="135" t="s">
        <v>235</v>
      </c>
      <c r="F52" s="255"/>
      <c r="G52" s="16"/>
      <c r="H52" s="16"/>
      <c r="I52" s="16"/>
      <c r="J52" s="16"/>
    </row>
    <row r="53" spans="2:10" ht="15.75">
      <c r="B53" s="145"/>
      <c r="C53" s="634" t="s">
        <v>139</v>
      </c>
      <c r="D53" s="635"/>
      <c r="E53" s="37">
        <v>265</v>
      </c>
      <c r="F53" s="255">
        <f>IF(E50/0.95-E50&lt;E53,"Exceeds 5%","")</f>
      </c>
      <c r="G53" s="537">
        <f>IF(inputOth!E7=0,"",ROUND(gen!E57/inputOth!E7*1000,3))</f>
        <v>0.608</v>
      </c>
      <c r="H53" s="536" t="str">
        <f>CONCATENATE("Projected ",F3-1," Mill Rate (est.)")</f>
        <v>Projected 2011 Mill Rate (est.)</v>
      </c>
      <c r="I53" s="535"/>
      <c r="J53" s="534"/>
    </row>
    <row r="54" spans="2:10" ht="15.75">
      <c r="B54" s="423" t="str">
        <f>CONCATENATE(C70,"     ",D70)</f>
        <v>     </v>
      </c>
      <c r="C54" s="636" t="s">
        <v>140</v>
      </c>
      <c r="D54" s="637"/>
      <c r="E54" s="47">
        <f>E50+E53</f>
        <v>5365</v>
      </c>
      <c r="G54" s="533"/>
      <c r="H54" s="533"/>
      <c r="I54" s="533"/>
      <c r="J54" s="533"/>
    </row>
    <row r="55" spans="2:10" ht="15.75">
      <c r="B55" s="423" t="str">
        <f>CONCATENATE(C71,"     ",D71)</f>
        <v>     </v>
      </c>
      <c r="C55" s="559"/>
      <c r="D55" s="558" t="s">
        <v>141</v>
      </c>
      <c r="E55" s="44">
        <f>IF(E54-E29&gt;0,E54-E29,0)</f>
        <v>1417</v>
      </c>
      <c r="G55" s="638" t="str">
        <f>CONCATENATE("Desired Carryover Into ",F3+1,"")</f>
        <v>Desired Carryover Into 2013</v>
      </c>
      <c r="H55" s="641"/>
      <c r="I55" s="641"/>
      <c r="J55" s="640"/>
    </row>
    <row r="56" spans="2:10" ht="15.75">
      <c r="B56" s="165"/>
      <c r="C56" s="556" t="s">
        <v>142</v>
      </c>
      <c r="D56" s="557">
        <f>inputOth!$E$36</f>
        <v>0</v>
      </c>
      <c r="E56" s="47">
        <f>ROUND(IF(D56&gt;0,(E55*D56),0),0)</f>
        <v>0</v>
      </c>
      <c r="G56" s="532"/>
      <c r="H56" s="545"/>
      <c r="I56" s="543"/>
      <c r="J56" s="531"/>
    </row>
    <row r="57" spans="2:10" ht="15.75">
      <c r="B57" s="18"/>
      <c r="C57" s="561" t="str">
        <f>CONCATENATE("Amount of  ",$F$3-1," Ad Valorem Tax")</f>
        <v>Amount of  2011 Ad Valorem Tax</v>
      </c>
      <c r="D57" s="562"/>
      <c r="E57" s="44">
        <f>E55+E56</f>
        <v>1417</v>
      </c>
      <c r="G57" s="530" t="s">
        <v>145</v>
      </c>
      <c r="H57" s="543"/>
      <c r="I57" s="543"/>
      <c r="J57" s="529">
        <v>0</v>
      </c>
    </row>
    <row r="58" spans="2:10" ht="15.75">
      <c r="B58" s="18"/>
      <c r="C58" s="18"/>
      <c r="D58" s="18"/>
      <c r="E58" s="18"/>
      <c r="G58" s="532" t="s">
        <v>146</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444</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Springfield Cemetery</v>
      </c>
      <c r="C1" s="18"/>
      <c r="D1" s="18"/>
      <c r="E1" s="257">
        <f>inputPrYr!$D$6</f>
        <v>2012</v>
      </c>
    </row>
    <row r="2" spans="2:5" ht="15.75">
      <c r="B2" s="18"/>
      <c r="C2" s="18"/>
      <c r="D2" s="18"/>
      <c r="E2" s="165"/>
    </row>
    <row r="3" spans="2:5" ht="15.75">
      <c r="B3" s="555" t="s">
        <v>291</v>
      </c>
      <c r="C3" s="241"/>
      <c r="D3" s="241"/>
      <c r="E3" s="258"/>
    </row>
    <row r="4" spans="2:5" ht="15.75">
      <c r="B4" s="18"/>
      <c r="C4" s="259"/>
      <c r="D4" s="259"/>
      <c r="E4" s="259"/>
    </row>
    <row r="5" spans="2:5" ht="15.75">
      <c r="B5" s="45" t="s">
        <v>239</v>
      </c>
      <c r="C5" s="401" t="s">
        <v>368</v>
      </c>
      <c r="D5" s="402" t="s">
        <v>465</v>
      </c>
      <c r="E5" s="243" t="s">
        <v>462</v>
      </c>
    </row>
    <row r="6" spans="2:5" ht="15.75">
      <c r="B6" s="427" t="s">
        <v>489</v>
      </c>
      <c r="C6" s="409">
        <f>E1-2</f>
        <v>2010</v>
      </c>
      <c r="D6" s="409" t="str">
        <f>CONCATENATE("Estimate ",E1-1,"")</f>
        <v>Estimate 2011</v>
      </c>
      <c r="E6" s="180" t="str">
        <f>CONCATENATE("Year ",E1,"")</f>
        <v>Year 2012</v>
      </c>
    </row>
    <row r="7" spans="2:5" ht="15.75">
      <c r="B7" s="116" t="s">
        <v>335</v>
      </c>
      <c r="C7" s="406"/>
      <c r="D7" s="410">
        <f>C55</f>
        <v>0</v>
      </c>
      <c r="E7" s="261">
        <f>D55</f>
        <v>0</v>
      </c>
    </row>
    <row r="8" spans="2:5" ht="15.75">
      <c r="B8" s="262" t="s">
        <v>337</v>
      </c>
      <c r="C8" s="408"/>
      <c r="D8" s="410"/>
      <c r="E8" s="261"/>
    </row>
    <row r="9" spans="2:5" ht="15.75">
      <c r="B9" s="116" t="s">
        <v>240</v>
      </c>
      <c r="C9" s="397"/>
      <c r="D9" s="408">
        <f>inputPrYr!E20</f>
        <v>0</v>
      </c>
      <c r="E9" s="263" t="s">
        <v>235</v>
      </c>
    </row>
    <row r="10" spans="2:5" ht="15.75">
      <c r="B10" s="116" t="s">
        <v>241</v>
      </c>
      <c r="C10" s="397"/>
      <c r="D10" s="397"/>
      <c r="E10" s="264"/>
    </row>
    <row r="11" spans="2:5" ht="15.75">
      <c r="B11" s="116" t="s">
        <v>242</v>
      </c>
      <c r="C11" s="397"/>
      <c r="D11" s="397"/>
      <c r="E11" s="265">
        <f>mvalloc!D12</f>
        <v>0</v>
      </c>
    </row>
    <row r="12" spans="2:5" ht="15.75">
      <c r="B12" s="116" t="s">
        <v>243</v>
      </c>
      <c r="C12" s="397"/>
      <c r="D12" s="397"/>
      <c r="E12" s="265">
        <f>mvalloc!E12</f>
        <v>0</v>
      </c>
    </row>
    <row r="13" spans="2:5" ht="15.75">
      <c r="B13" s="266" t="s">
        <v>319</v>
      </c>
      <c r="C13" s="397"/>
      <c r="D13" s="397"/>
      <c r="E13" s="265">
        <f>mvalloc!F12</f>
        <v>0</v>
      </c>
    </row>
    <row r="14" spans="2:5" ht="15.75">
      <c r="B14" s="266" t="s">
        <v>371</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369</v>
      </c>
      <c r="C26" s="397"/>
      <c r="D26" s="397"/>
      <c r="E26" s="264"/>
    </row>
    <row r="27" spans="2:5" ht="15.75">
      <c r="B27" s="269" t="s">
        <v>245</v>
      </c>
      <c r="C27" s="397"/>
      <c r="D27" s="397"/>
      <c r="E27" s="264"/>
    </row>
    <row r="28" spans="2:5" ht="15.75">
      <c r="B28" s="250" t="s">
        <v>435</v>
      </c>
      <c r="C28" s="406"/>
      <c r="D28" s="406"/>
      <c r="E28" s="264"/>
    </row>
    <row r="29" spans="2:5" ht="15.75">
      <c r="B29" s="250" t="s">
        <v>37</v>
      </c>
      <c r="C29" s="398">
        <f>IF(C30*0.1&lt;C28,"Exceed 10% Rule","")</f>
      </c>
      <c r="D29" s="398">
        <f>IF(D30*0.1&lt;D28,"Exceed 10% Rule","")</f>
      </c>
      <c r="E29" s="424">
        <f>IF(E30*0.1+E61&lt;E28,"Exceed 10% Rule","")</f>
      </c>
    </row>
    <row r="30" spans="2:5" ht="15.75">
      <c r="B30" s="253" t="s">
        <v>246</v>
      </c>
      <c r="C30" s="407">
        <f>SUM(C9:C28)</f>
        <v>0</v>
      </c>
      <c r="D30" s="407">
        <f>SUM(D9:D28)</f>
        <v>0</v>
      </c>
      <c r="E30" s="270">
        <f>SUM(E9:E28)</f>
        <v>0</v>
      </c>
    </row>
    <row r="31" spans="2:5" ht="15.75">
      <c r="B31" s="253" t="s">
        <v>247</v>
      </c>
      <c r="C31" s="407">
        <f>C7+C30</f>
        <v>0</v>
      </c>
      <c r="D31" s="407">
        <f>D7+D30</f>
        <v>0</v>
      </c>
      <c r="E31" s="271">
        <f>E7+E30</f>
        <v>0</v>
      </c>
    </row>
    <row r="32" spans="2:5" ht="15.75">
      <c r="B32" s="262" t="s">
        <v>248</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436</v>
      </c>
      <c r="C51" s="406"/>
      <c r="D51" s="406"/>
      <c r="E51" s="186">
        <f>Nhood!E8</f>
      </c>
    </row>
    <row r="52" spans="2:9" ht="15.75">
      <c r="B52" s="126" t="s">
        <v>435</v>
      </c>
      <c r="C52" s="406"/>
      <c r="D52" s="406"/>
      <c r="E52" s="264"/>
      <c r="G52" s="642" t="str">
        <f>CONCATENATE("Projected Carryover Into ",E1+1,"")</f>
        <v>Projected Carryover Into 2013</v>
      </c>
      <c r="H52" s="643"/>
      <c r="I52" s="644"/>
    </row>
    <row r="53" spans="2:9" ht="15.75">
      <c r="B53" s="126" t="s">
        <v>36</v>
      </c>
      <c r="C53" s="398">
        <f>IF(C54*0.1&lt;C52,"Exceed 10% Rule","")</f>
      </c>
      <c r="D53" s="398">
        <f>IF(D54*0.1&lt;D52,"Exceed 10% Rule","")</f>
      </c>
      <c r="E53" s="424">
        <f>IF(E54*0.1&lt;E52,"Exceed 10% Rule","")</f>
      </c>
      <c r="G53" s="560"/>
      <c r="H53" s="545"/>
      <c r="I53" s="544"/>
    </row>
    <row r="54" spans="2:9" ht="15.75">
      <c r="B54" s="253" t="s">
        <v>249</v>
      </c>
      <c r="C54" s="407">
        <f>SUM(C33:C52)</f>
        <v>0</v>
      </c>
      <c r="D54" s="407">
        <f>SUM(D33:D52)</f>
        <v>0</v>
      </c>
      <c r="E54" s="270">
        <f>SUM(E33:E52)</f>
        <v>0</v>
      </c>
      <c r="G54" s="554">
        <f>D54</f>
        <v>0</v>
      </c>
      <c r="H54" s="563" t="str">
        <f>CONCATENATE("",E1-1," Ending Cash Balance (est.)")</f>
        <v>2011 Ending Cash Balance (est.)</v>
      </c>
      <c r="I54" s="544"/>
    </row>
    <row r="55" spans="2:9" ht="15.75">
      <c r="B55" s="116" t="s">
        <v>336</v>
      </c>
      <c r="C55" s="405">
        <f>C31-C54</f>
        <v>0</v>
      </c>
      <c r="D55" s="405">
        <f>D31-D54</f>
        <v>0</v>
      </c>
      <c r="E55" s="263" t="s">
        <v>235</v>
      </c>
      <c r="G55" s="554">
        <f>E30</f>
        <v>0</v>
      </c>
      <c r="H55" s="564"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235</v>
      </c>
      <c r="F56" s="273"/>
      <c r="G56" s="542">
        <f>E61</f>
        <v>0</v>
      </c>
      <c r="H56" s="564" t="str">
        <f>CONCATENATE("",E1," Ad Valorem Tax (est.)")</f>
        <v>2012 Ad Valorem Tax (est.)</v>
      </c>
      <c r="I56" s="544"/>
    </row>
    <row r="57" spans="2:9" ht="15.75">
      <c r="B57" s="145"/>
      <c r="C57" s="634" t="s">
        <v>139</v>
      </c>
      <c r="D57" s="635"/>
      <c r="E57" s="37"/>
      <c r="F57" s="273">
        <f>IF(E54/0.95-E54&lt;E57,"Exceeds 5%","")</f>
      </c>
      <c r="G57" s="554">
        <f>SUM(G54:G56)</f>
        <v>0</v>
      </c>
      <c r="H57" s="564" t="str">
        <f>CONCATENATE("Total ",E1," Resources Available")</f>
        <v>Total 2012 Resources Available</v>
      </c>
      <c r="I57" s="544"/>
    </row>
    <row r="58" spans="2:9" ht="15.75">
      <c r="B58" s="423" t="str">
        <f>CONCATENATE(C69,"     ",D69)</f>
        <v>     </v>
      </c>
      <c r="C58" s="636" t="s">
        <v>140</v>
      </c>
      <c r="D58" s="637"/>
      <c r="E58" s="47">
        <f>E54+E57</f>
        <v>0</v>
      </c>
      <c r="G58" s="541"/>
      <c r="H58" s="564"/>
      <c r="I58" s="544"/>
    </row>
    <row r="59" spans="2:9" ht="15.75">
      <c r="B59" s="423" t="str">
        <f>CONCATENATE(C70,"     ",D70)</f>
        <v>     </v>
      </c>
      <c r="C59" s="559"/>
      <c r="D59" s="558" t="s">
        <v>141</v>
      </c>
      <c r="E59" s="44">
        <f>IF(E58-E31&gt;0,E58-E31,0)</f>
        <v>0</v>
      </c>
      <c r="G59" s="542">
        <f>C54</f>
        <v>0</v>
      </c>
      <c r="H59" s="564" t="str">
        <f>CONCATENATE("Less ",E1-2," Expenditures")</f>
        <v>Less 2010 Expenditures</v>
      </c>
      <c r="I59" s="544"/>
    </row>
    <row r="60" spans="2:9" ht="15.75">
      <c r="B60" s="165"/>
      <c r="C60" s="556" t="s">
        <v>142</v>
      </c>
      <c r="D60" s="557">
        <f>inputOth!$E$36</f>
        <v>0</v>
      </c>
      <c r="E60" s="47">
        <f>ROUND(IF(D60&gt;0,(E59*D60),0),0)</f>
        <v>0</v>
      </c>
      <c r="G60" s="586">
        <f>G57-G59</f>
        <v>0</v>
      </c>
      <c r="H60" s="565" t="str">
        <f>CONCATENATE("Projected ",E1+1," carryover (est.)")</f>
        <v>Projected 2013 carryover (est.)</v>
      </c>
      <c r="I60" s="538"/>
    </row>
    <row r="61" spans="2:5" ht="15.75">
      <c r="B61" s="18"/>
      <c r="C61" s="561" t="str">
        <f>CONCATENATE("Amount of  ",$E$1-1," Ad Valorem Tax")</f>
        <v>Amount of  2011 Ad Valorem Tax</v>
      </c>
      <c r="D61" s="562"/>
      <c r="E61" s="44">
        <f>E59+E60</f>
        <v>0</v>
      </c>
    </row>
    <row r="62" spans="2:9" ht="15.75">
      <c r="B62" s="165"/>
      <c r="C62" s="18"/>
      <c r="D62" s="18"/>
      <c r="E62" s="18"/>
      <c r="G62" s="587">
        <f>IF(inputOth!E7&gt;0,ROUND(DebtService!E61/inputOth!E7*1000,3),0)</f>
        <v>0</v>
      </c>
      <c r="H62" s="588" t="str">
        <f>CONCATENATE("",E1," Mill Rate")</f>
        <v>2012 Mill Rate</v>
      </c>
      <c r="I62" s="589"/>
    </row>
    <row r="63" spans="2:5" ht="15.75">
      <c r="B63" s="145" t="s">
        <v>251</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Springfield Cemetery</v>
      </c>
      <c r="C1" s="18"/>
      <c r="D1" s="18"/>
      <c r="E1" s="192"/>
    </row>
    <row r="2" spans="2:5" ht="15.75">
      <c r="B2" s="18" t="str">
        <f>inputPrYr!D4</f>
        <v>Anderson County</v>
      </c>
      <c r="C2" s="18"/>
      <c r="D2" s="18"/>
      <c r="E2" s="145"/>
    </row>
    <row r="3" spans="2:6" ht="15.75">
      <c r="B3" s="27" t="s">
        <v>291</v>
      </c>
      <c r="C3" s="241"/>
      <c r="D3" s="241"/>
      <c r="E3" s="242"/>
      <c r="F3" s="98">
        <f>inputPrYr!D6</f>
        <v>2012</v>
      </c>
    </row>
    <row r="4" spans="2:5" ht="15.75">
      <c r="B4" s="18"/>
      <c r="C4" s="109"/>
      <c r="D4" s="109"/>
      <c r="E4" s="109"/>
    </row>
    <row r="5" spans="2:5" ht="15.75">
      <c r="B5" s="17" t="s">
        <v>239</v>
      </c>
      <c r="C5" s="401" t="s">
        <v>464</v>
      </c>
      <c r="D5" s="402" t="s">
        <v>463</v>
      </c>
      <c r="E5" s="243" t="s">
        <v>462</v>
      </c>
    </row>
    <row r="6" spans="2:5" ht="15.75">
      <c r="B6" s="426">
        <f>inputPrYr!B22</f>
        <v>0</v>
      </c>
      <c r="C6" s="403" t="str">
        <f>CONCATENATE("Actual ",$F$3-2,"")</f>
        <v>Actual 2010</v>
      </c>
      <c r="D6" s="403" t="str">
        <f>CONCATENATE("Estimate ",F3-1,"")</f>
        <v>Estimate 2011</v>
      </c>
      <c r="E6" s="244" t="str">
        <f>CONCATENATE("Year ",F3,"")</f>
        <v>Year 2012</v>
      </c>
    </row>
    <row r="7" spans="2:5" ht="15.75">
      <c r="B7" s="122" t="s">
        <v>335</v>
      </c>
      <c r="C7" s="397"/>
      <c r="D7" s="404">
        <f>C34</f>
        <v>0</v>
      </c>
      <c r="E7" s="47">
        <f>D34</f>
        <v>0</v>
      </c>
    </row>
    <row r="8" spans="2:5" ht="15.75">
      <c r="B8" s="246" t="s">
        <v>337</v>
      </c>
      <c r="C8" s="247"/>
      <c r="D8" s="247"/>
      <c r="E8" s="128"/>
    </row>
    <row r="9" spans="2:5" ht="15.75">
      <c r="B9" s="122" t="s">
        <v>240</v>
      </c>
      <c r="C9" s="397"/>
      <c r="D9" s="404">
        <f>inputPrYr!E22</f>
        <v>0</v>
      </c>
      <c r="E9" s="135" t="s">
        <v>235</v>
      </c>
    </row>
    <row r="10" spans="2:5" ht="15.75">
      <c r="B10" s="122" t="s">
        <v>241</v>
      </c>
      <c r="C10" s="397"/>
      <c r="D10" s="397"/>
      <c r="E10" s="209"/>
    </row>
    <row r="11" spans="2:5" ht="15.75">
      <c r="B11" s="122" t="s">
        <v>242</v>
      </c>
      <c r="C11" s="397"/>
      <c r="D11" s="397"/>
      <c r="E11" s="47">
        <f>mvalloc!D13</f>
        <v>0</v>
      </c>
    </row>
    <row r="12" spans="2:5" ht="15.75">
      <c r="B12" s="122" t="s">
        <v>243</v>
      </c>
      <c r="C12" s="397"/>
      <c r="D12" s="397"/>
      <c r="E12" s="47">
        <f>mvalloc!E13</f>
        <v>0</v>
      </c>
    </row>
    <row r="13" spans="2:5" ht="15.75">
      <c r="B13" s="247" t="s">
        <v>319</v>
      </c>
      <c r="C13" s="397"/>
      <c r="D13" s="397"/>
      <c r="E13" s="47">
        <f>mvalloc!F13</f>
        <v>0</v>
      </c>
    </row>
    <row r="14" spans="2:5" ht="15.75">
      <c r="B14" s="247" t="s">
        <v>371</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245</v>
      </c>
      <c r="C18" s="397"/>
      <c r="D18" s="397"/>
      <c r="E18" s="209"/>
    </row>
    <row r="19" spans="2:5" ht="15.75">
      <c r="B19" s="250" t="s">
        <v>435</v>
      </c>
      <c r="C19" s="397"/>
      <c r="D19" s="397"/>
      <c r="E19" s="37"/>
    </row>
    <row r="20" spans="2:5" ht="15.75">
      <c r="B20" s="250" t="s">
        <v>37</v>
      </c>
      <c r="C20" s="398">
        <f>IF(C21*0.1&lt;C19,"Exceed 10% Rule","")</f>
      </c>
      <c r="D20" s="398">
        <f>IF(D21*0.1&lt;D19,"Exceed 10% Rule","")</f>
      </c>
      <c r="E20" s="424">
        <f>IF(E21*0.1+E40&lt;E19,"Exceed 10% Rule","")</f>
      </c>
    </row>
    <row r="21" spans="2:5" ht="15.75">
      <c r="B21" s="253" t="s">
        <v>246</v>
      </c>
      <c r="C21" s="399">
        <f>SUM(C9:C19)</f>
        <v>0</v>
      </c>
      <c r="D21" s="399">
        <f>SUM(D9:D19)</f>
        <v>0</v>
      </c>
      <c r="E21" s="254">
        <f>SUM(E9:E19)</f>
        <v>0</v>
      </c>
    </row>
    <row r="22" spans="2:5" ht="15.75">
      <c r="B22" s="253" t="s">
        <v>247</v>
      </c>
      <c r="C22" s="399">
        <f>C7+C21</f>
        <v>0</v>
      </c>
      <c r="D22" s="399">
        <f>D7+D21</f>
        <v>0</v>
      </c>
      <c r="E22" s="254">
        <f>E7+E21</f>
        <v>0</v>
      </c>
    </row>
    <row r="23" spans="2:5" ht="15.75">
      <c r="B23" s="122" t="s">
        <v>248</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436</v>
      </c>
      <c r="C30" s="397"/>
      <c r="D30" s="397"/>
      <c r="E30" s="214">
        <f>Nhood!E9</f>
      </c>
    </row>
    <row r="31" spans="2:5" ht="15.75">
      <c r="B31" s="126" t="s">
        <v>435</v>
      </c>
      <c r="C31" s="248"/>
      <c r="D31" s="248"/>
      <c r="E31" s="209"/>
    </row>
    <row r="32" spans="2:5" ht="15.75">
      <c r="B32" s="126" t="s">
        <v>36</v>
      </c>
      <c r="C32" s="398">
        <f>IF(C33*0.1&lt;C31,"Exceed 10% Rule","")</f>
      </c>
      <c r="D32" s="398">
        <f>IF(D33*0.1&lt;D31,"Exceed 10% Rule","")</f>
      </c>
      <c r="E32" s="424">
        <f>IF(E33*0.1&lt;E31,"Exceed 10% Rule","")</f>
      </c>
    </row>
    <row r="33" spans="2:5" ht="15.75">
      <c r="B33" s="253" t="s">
        <v>249</v>
      </c>
      <c r="C33" s="399">
        <f>SUM(C24:C31)</f>
        <v>0</v>
      </c>
      <c r="D33" s="399">
        <f>SUM(D24:D31)</f>
        <v>0</v>
      </c>
      <c r="E33" s="254">
        <f>SUM(E24:E31)</f>
        <v>0</v>
      </c>
    </row>
    <row r="34" spans="2:5" ht="15.75">
      <c r="B34" s="122" t="s">
        <v>336</v>
      </c>
      <c r="C34" s="400">
        <f>C22-C33</f>
        <v>0</v>
      </c>
      <c r="D34" s="400">
        <f>D22-D33</f>
        <v>0</v>
      </c>
      <c r="E34" s="135" t="s">
        <v>235</v>
      </c>
    </row>
    <row r="35" spans="2:6" ht="15.75">
      <c r="B35" s="145" t="str">
        <f>CONCATENATE("",F3-2,"/",F3-1," Budget Authority Amount:")</f>
        <v>2010/2011 Budget Authority Amount:</v>
      </c>
      <c r="C35" s="123">
        <f>inputOth!B44</f>
        <v>0</v>
      </c>
      <c r="D35" s="425">
        <f>inputPrYr!D22</f>
        <v>0</v>
      </c>
      <c r="E35" s="135" t="s">
        <v>235</v>
      </c>
      <c r="F35" s="255"/>
    </row>
    <row r="36" spans="2:6" ht="15.75">
      <c r="B36" s="145"/>
      <c r="C36" s="634" t="s">
        <v>139</v>
      </c>
      <c r="D36" s="635"/>
      <c r="E36" s="37"/>
      <c r="F36" s="255">
        <f>IF(E33/0.95-E33&lt;E36,"Exceeds 5%","")</f>
      </c>
    </row>
    <row r="37" spans="2:5" ht="15.75">
      <c r="B37" s="423" t="str">
        <f>CONCATENATE(C87,"     ",D87)</f>
        <v>     </v>
      </c>
      <c r="C37" s="636" t="s">
        <v>140</v>
      </c>
      <c r="D37" s="637"/>
      <c r="E37" s="47">
        <f>E33+E36</f>
        <v>0</v>
      </c>
    </row>
    <row r="38" spans="2:5" ht="15.75">
      <c r="B38" s="423" t="str">
        <f>CONCATENATE(C88,"     ",D88)</f>
        <v>     </v>
      </c>
      <c r="C38" s="559"/>
      <c r="D38" s="558" t="s">
        <v>141</v>
      </c>
      <c r="E38" s="44">
        <f>IF(E37-E22&gt;0,E37-E22,0)</f>
        <v>0</v>
      </c>
    </row>
    <row r="39" spans="2:5" ht="15.75">
      <c r="B39" s="165"/>
      <c r="C39" s="556" t="s">
        <v>142</v>
      </c>
      <c r="D39" s="557">
        <f>inputOth!$E$36</f>
        <v>0</v>
      </c>
      <c r="E39" s="47">
        <f>ROUND(IF(D39&gt;0,(E38*D39),0),0)</f>
        <v>0</v>
      </c>
    </row>
    <row r="40" spans="2:5" ht="15.75">
      <c r="B40" s="18"/>
      <c r="C40" s="561" t="str">
        <f>CONCATENATE("Amount of  ",$F$3-1," Ad Valorem Tax")</f>
        <v>Amount of  2011 Ad Valorem Tax</v>
      </c>
      <c r="D40" s="562"/>
      <c r="E40" s="44">
        <f>E38+E39</f>
        <v>0</v>
      </c>
    </row>
    <row r="41" spans="2:5" ht="15.75">
      <c r="B41" s="18"/>
      <c r="C41" s="18"/>
      <c r="D41" s="18"/>
      <c r="E41" s="18"/>
    </row>
    <row r="42" spans="2:5" ht="15.75">
      <c r="B42" s="17" t="s">
        <v>239</v>
      </c>
      <c r="C42" s="109"/>
      <c r="D42" s="109"/>
      <c r="E42" s="109"/>
    </row>
    <row r="43" spans="2:5" ht="15.75" customHeight="1">
      <c r="B43" s="18"/>
      <c r="C43" s="401" t="s">
        <v>464</v>
      </c>
      <c r="D43" s="402" t="s">
        <v>465</v>
      </c>
      <c r="E43" s="243" t="s">
        <v>462</v>
      </c>
    </row>
    <row r="44" spans="2:5" ht="15.75" customHeight="1">
      <c r="B44" s="426">
        <f>inputPrYr!B23</f>
        <v>0</v>
      </c>
      <c r="C44" s="403" t="str">
        <f>C6</f>
        <v>Actual 2010</v>
      </c>
      <c r="D44" s="403" t="str">
        <f>D6</f>
        <v>Estimate 2011</v>
      </c>
      <c r="E44" s="244" t="str">
        <f>E6</f>
        <v>Year 2012</v>
      </c>
    </row>
    <row r="45" spans="2:5" ht="15.75">
      <c r="B45" s="122" t="s">
        <v>335</v>
      </c>
      <c r="C45" s="397"/>
      <c r="D45" s="404">
        <f>C72</f>
        <v>0</v>
      </c>
      <c r="E45" s="47">
        <f>D72</f>
        <v>0</v>
      </c>
    </row>
    <row r="46" spans="2:5" ht="15.75">
      <c r="B46" s="246" t="s">
        <v>337</v>
      </c>
      <c r="C46" s="247"/>
      <c r="D46" s="247"/>
      <c r="E46" s="128"/>
    </row>
    <row r="47" spans="2:5" ht="15.75">
      <c r="B47" s="122" t="s">
        <v>240</v>
      </c>
      <c r="C47" s="397"/>
      <c r="D47" s="404">
        <f>inputPrYr!E23</f>
        <v>0</v>
      </c>
      <c r="E47" s="135" t="s">
        <v>235</v>
      </c>
    </row>
    <row r="48" spans="2:5" ht="15.75">
      <c r="B48" s="122" t="s">
        <v>241</v>
      </c>
      <c r="C48" s="397"/>
      <c r="D48" s="397"/>
      <c r="E48" s="209"/>
    </row>
    <row r="49" spans="2:5" ht="15.75">
      <c r="B49" s="122" t="s">
        <v>242</v>
      </c>
      <c r="C49" s="397"/>
      <c r="D49" s="397"/>
      <c r="E49" s="47">
        <f>mvalloc!D14</f>
        <v>0</v>
      </c>
    </row>
    <row r="50" spans="2:5" ht="15.75">
      <c r="B50" s="122" t="s">
        <v>243</v>
      </c>
      <c r="C50" s="397"/>
      <c r="D50" s="397"/>
      <c r="E50" s="47">
        <f>mvalloc!E14</f>
        <v>0</v>
      </c>
    </row>
    <row r="51" spans="2:5" ht="15.75">
      <c r="B51" s="247" t="s">
        <v>319</v>
      </c>
      <c r="C51" s="397"/>
      <c r="D51" s="397"/>
      <c r="E51" s="47">
        <f>mvalloc!F14</f>
        <v>0</v>
      </c>
    </row>
    <row r="52" spans="2:5" ht="15.75">
      <c r="B52" s="247" t="s">
        <v>371</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245</v>
      </c>
      <c r="C56" s="397"/>
      <c r="D56" s="397"/>
      <c r="E56" s="209"/>
    </row>
    <row r="57" spans="2:5" ht="15.75">
      <c r="B57" s="250" t="s">
        <v>435</v>
      </c>
      <c r="C57" s="248"/>
      <c r="D57" s="248"/>
      <c r="E57" s="209"/>
    </row>
    <row r="58" spans="2:5" ht="15.75">
      <c r="B58" s="250" t="s">
        <v>37</v>
      </c>
      <c r="C58" s="398">
        <f>IF(C59*0.1&lt;C57,"Exceed 10% Rule","")</f>
      </c>
      <c r="D58" s="398">
        <f>IF(D59*0.1&lt;D57,"Exceed 10% Rule","")</f>
      </c>
      <c r="E58" s="424">
        <f>IF(E59*0.1+E78&lt;E57,"Exceed 10% Rule","")</f>
      </c>
    </row>
    <row r="59" spans="2:5" ht="15.75">
      <c r="B59" s="253" t="s">
        <v>246</v>
      </c>
      <c r="C59" s="399">
        <f>SUM(C47:C57)</f>
        <v>0</v>
      </c>
      <c r="D59" s="399">
        <f>SUM(D47:D57)</f>
        <v>0</v>
      </c>
      <c r="E59" s="254">
        <f>SUM(E47:E57)</f>
        <v>0</v>
      </c>
    </row>
    <row r="60" spans="2:5" ht="15.75">
      <c r="B60" s="253" t="s">
        <v>247</v>
      </c>
      <c r="C60" s="399">
        <f>C45+C59</f>
        <v>0</v>
      </c>
      <c r="D60" s="399">
        <f>D45+D59</f>
        <v>0</v>
      </c>
      <c r="E60" s="254">
        <f>E45+E59</f>
        <v>0</v>
      </c>
    </row>
    <row r="61" spans="2:5" ht="15.75">
      <c r="B61" s="122" t="s">
        <v>248</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436</v>
      </c>
      <c r="C68" s="397"/>
      <c r="D68" s="397"/>
      <c r="E68" s="214">
        <f>Nhood!E10</f>
      </c>
    </row>
    <row r="69" spans="2:5" ht="15.75">
      <c r="B69" s="126" t="s">
        <v>435</v>
      </c>
      <c r="C69" s="248"/>
      <c r="D69" s="248"/>
      <c r="E69" s="209"/>
    </row>
    <row r="70" spans="2:5" ht="15.75">
      <c r="B70" s="126" t="s">
        <v>36</v>
      </c>
      <c r="C70" s="398">
        <f>IF(C71*0.1&lt;C69,"Exceed 10% Rule","")</f>
      </c>
      <c r="D70" s="398">
        <f>IF(D71*0.1&lt;D69,"Exceed 10% Rule","")</f>
      </c>
      <c r="E70" s="424">
        <f>IF(E71*0.1&lt;E69,"Exceed 10% Rule","")</f>
      </c>
    </row>
    <row r="71" spans="2:5" ht="15.75">
      <c r="B71" s="253" t="s">
        <v>249</v>
      </c>
      <c r="C71" s="399">
        <f>SUM(C62:C69)</f>
        <v>0</v>
      </c>
      <c r="D71" s="399">
        <f>SUM(D62:D69)</f>
        <v>0</v>
      </c>
      <c r="E71" s="254">
        <f>SUM(E62:E69)</f>
        <v>0</v>
      </c>
    </row>
    <row r="72" spans="2:5" ht="15.75">
      <c r="B72" s="122" t="s">
        <v>336</v>
      </c>
      <c r="C72" s="400">
        <f>C60-C71</f>
        <v>0</v>
      </c>
      <c r="D72" s="400">
        <f>D60-D71</f>
        <v>0</v>
      </c>
      <c r="E72" s="135" t="s">
        <v>235</v>
      </c>
    </row>
    <row r="73" spans="2:6" ht="15.75">
      <c r="B73" s="145" t="str">
        <f>CONCATENATE("",F3-2,"/",F3-1," Budget Authority Amount:")</f>
        <v>2010/2011 Budget Authority Amount:</v>
      </c>
      <c r="C73" s="123">
        <f>inputOth!B45</f>
        <v>0</v>
      </c>
      <c r="D73" s="425">
        <f>inputPrYr!D23</f>
        <v>0</v>
      </c>
      <c r="E73" s="135" t="s">
        <v>235</v>
      </c>
      <c r="F73" s="255"/>
    </row>
    <row r="74" spans="2:6" ht="15.75">
      <c r="B74" s="145"/>
      <c r="C74" s="634" t="s">
        <v>139</v>
      </c>
      <c r="D74" s="635"/>
      <c r="E74" s="37"/>
      <c r="F74" s="255">
        <f>IF(E71/0.95-E71&lt;E74,"Exceeds 5%","")</f>
      </c>
    </row>
    <row r="75" spans="2:5" ht="15.75">
      <c r="B75" s="423" t="str">
        <f>CONCATENATE(C89,"     ",D89)</f>
        <v>     </v>
      </c>
      <c r="C75" s="636" t="s">
        <v>140</v>
      </c>
      <c r="D75" s="637"/>
      <c r="E75" s="47">
        <f>E71+E74</f>
        <v>0</v>
      </c>
    </row>
    <row r="76" spans="2:5" ht="15.75">
      <c r="B76" s="423" t="str">
        <f>CONCATENATE(C90,"     ",D90)</f>
        <v>     </v>
      </c>
      <c r="C76" s="559"/>
      <c r="D76" s="558" t="s">
        <v>141</v>
      </c>
      <c r="E76" s="44">
        <f>IF(E75-E60&gt;0,E75-E60,0)</f>
        <v>0</v>
      </c>
    </row>
    <row r="77" spans="2:5" ht="15.75">
      <c r="B77" s="165"/>
      <c r="C77" s="556" t="s">
        <v>142</v>
      </c>
      <c r="D77" s="557">
        <f>inputOth!$E$36</f>
        <v>0</v>
      </c>
      <c r="E77" s="47">
        <f>ROUND(IF(D77&gt;0,(E76*D77),0),0)</f>
        <v>0</v>
      </c>
    </row>
    <row r="78" spans="2:5" ht="15.75">
      <c r="B78" s="18"/>
      <c r="C78" s="561" t="str">
        <f>CONCATENATE("Amount of  ",$F$3-1," Ad Valorem Tax")</f>
        <v>Amount of  2011 Ad Valorem Tax</v>
      </c>
      <c r="D78" s="562"/>
      <c r="E78" s="44">
        <f>E76+E77</f>
        <v>0</v>
      </c>
    </row>
    <row r="79" spans="2:5" ht="15.75">
      <c r="B79" s="18"/>
      <c r="C79" s="166"/>
      <c r="D79" s="166"/>
      <c r="E79" s="166"/>
    </row>
    <row r="80" spans="2:5" ht="15.75">
      <c r="B80" s="145" t="s">
        <v>251</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Springfield Cemetery</v>
      </c>
      <c r="C1" s="241"/>
      <c r="D1" s="18"/>
      <c r="E1" s="192"/>
    </row>
    <row r="2" spans="2:5" ht="15.75">
      <c r="B2" s="18" t="str">
        <f>inputPrYr!D4</f>
        <v>Anderson County</v>
      </c>
      <c r="C2" s="241"/>
      <c r="D2" s="18"/>
      <c r="E2" s="145"/>
    </row>
    <row r="3" spans="2:6" ht="15.75">
      <c r="B3" s="27" t="s">
        <v>292</v>
      </c>
      <c r="C3" s="241"/>
      <c r="D3" s="241"/>
      <c r="E3" s="242"/>
      <c r="F3" s="98">
        <f>inputPrYr!$D$6</f>
        <v>2012</v>
      </c>
    </row>
    <row r="4" spans="2:5" ht="15.75">
      <c r="B4" s="18"/>
      <c r="C4" s="109"/>
      <c r="D4" s="109"/>
      <c r="E4" s="109"/>
    </row>
    <row r="5" spans="2:5" ht="15.75">
      <c r="B5" s="17" t="s">
        <v>239</v>
      </c>
      <c r="C5" s="276" t="s">
        <v>464</v>
      </c>
      <c r="D5" s="243" t="s">
        <v>465</v>
      </c>
      <c r="E5" s="243" t="s">
        <v>462</v>
      </c>
    </row>
    <row r="6" spans="2:5" ht="15.75">
      <c r="B6" s="426">
        <f>inputPrYr!B26</f>
        <v>0</v>
      </c>
      <c r="C6" s="244" t="str">
        <f>CONCATENATE("Actual ",F3-2,"")</f>
        <v>Actual 2010</v>
      </c>
      <c r="D6" s="244" t="str">
        <f>CONCATENATE("Estimate ",F3-1,"")</f>
        <v>Estimate 2011</v>
      </c>
      <c r="E6" s="244" t="str">
        <f>CONCATENATE("Year ",F3,"")</f>
        <v>Year 2012</v>
      </c>
    </row>
    <row r="7" spans="2:5" ht="15.75">
      <c r="B7" s="122" t="s">
        <v>335</v>
      </c>
      <c r="C7" s="37"/>
      <c r="D7" s="47">
        <f>C32</f>
        <v>0</v>
      </c>
      <c r="E7" s="47">
        <f>D32</f>
        <v>0</v>
      </c>
    </row>
    <row r="8" spans="2:5" ht="15.75">
      <c r="B8" s="246" t="s">
        <v>337</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245</v>
      </c>
      <c r="C16" s="209"/>
      <c r="D16" s="209"/>
      <c r="E16" s="209"/>
    </row>
    <row r="17" spans="2:5" ht="15.75">
      <c r="B17" s="250" t="s">
        <v>435</v>
      </c>
      <c r="C17" s="209"/>
      <c r="D17" s="251"/>
      <c r="E17" s="251"/>
    </row>
    <row r="18" spans="2:5" ht="15.75">
      <c r="B18" s="250" t="s">
        <v>37</v>
      </c>
      <c r="C18" s="424">
        <f>IF(C19*0.1&lt;C17,"Exceed 10% Rule","")</f>
      </c>
      <c r="D18" s="252">
        <f>IF(D19*0.1&lt;D17,"Exceed 10% Rule","")</f>
      </c>
      <c r="E18" s="252">
        <f>IF(E19*0.1&lt;E17,"Exceed 10% Rule","")</f>
      </c>
    </row>
    <row r="19" spans="2:5" ht="15.75">
      <c r="B19" s="253" t="s">
        <v>246</v>
      </c>
      <c r="C19" s="254">
        <f>SUM(C9:C17)</f>
        <v>0</v>
      </c>
      <c r="D19" s="254">
        <f>SUM(D9:D17)</f>
        <v>0</v>
      </c>
      <c r="E19" s="254">
        <f>SUM(E9:E17)</f>
        <v>0</v>
      </c>
    </row>
    <row r="20" spans="2:5" ht="15.75">
      <c r="B20" s="253" t="s">
        <v>247</v>
      </c>
      <c r="C20" s="254">
        <f>C19+C7</f>
        <v>0</v>
      </c>
      <c r="D20" s="254">
        <f>D19+D7</f>
        <v>0</v>
      </c>
      <c r="E20" s="254">
        <f>E19+E7</f>
        <v>0</v>
      </c>
    </row>
    <row r="21" spans="2:5" ht="15.75">
      <c r="B21" s="122" t="s">
        <v>248</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435</v>
      </c>
      <c r="C29" s="37"/>
      <c r="D29" s="245"/>
      <c r="E29" s="245"/>
    </row>
    <row r="30" spans="2:5" ht="15.75">
      <c r="B30" s="126" t="s">
        <v>36</v>
      </c>
      <c r="C30" s="424">
        <f>IF(C31*0.1&lt;C29,"Exceed 10% Rule","")</f>
      </c>
      <c r="D30" s="252">
        <f>IF(D31*0.1&lt;D29,"Exceed 10% Rule","")</f>
      </c>
      <c r="E30" s="252">
        <f>IF(E31*0.1&lt;E29,"Exceed 10% Rule","")</f>
      </c>
    </row>
    <row r="31" spans="2:5" ht="15.75">
      <c r="B31" s="253" t="s">
        <v>249</v>
      </c>
      <c r="C31" s="254">
        <f>SUM(C22:C29)</f>
        <v>0</v>
      </c>
      <c r="D31" s="254">
        <f>SUM(D22:D29)</f>
        <v>0</v>
      </c>
      <c r="E31" s="254">
        <f>SUM(E22:E29)</f>
        <v>0</v>
      </c>
    </row>
    <row r="32" spans="2:5" ht="15.75">
      <c r="B32" s="122" t="s">
        <v>336</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239</v>
      </c>
      <c r="C38" s="276" t="s">
        <v>464</v>
      </c>
      <c r="D38" s="243" t="s">
        <v>465</v>
      </c>
      <c r="E38" s="243" t="s">
        <v>462</v>
      </c>
    </row>
    <row r="39" spans="2:5" ht="15.75" customHeight="1">
      <c r="B39" s="426">
        <f>inputPrYr!B27</f>
        <v>0</v>
      </c>
      <c r="C39" s="244" t="str">
        <f>C6</f>
        <v>Actual 2010</v>
      </c>
      <c r="D39" s="244" t="str">
        <f>D6</f>
        <v>Estimate 2011</v>
      </c>
      <c r="E39" s="244" t="str">
        <f>E6</f>
        <v>Year 2012</v>
      </c>
    </row>
    <row r="40" spans="2:5" ht="15.75">
      <c r="B40" s="122" t="s">
        <v>335</v>
      </c>
      <c r="C40" s="37"/>
      <c r="D40" s="47">
        <f>C65</f>
        <v>0</v>
      </c>
      <c r="E40" s="47">
        <f>D65</f>
        <v>0</v>
      </c>
    </row>
    <row r="41" spans="2:5" ht="15.75">
      <c r="B41" s="246" t="s">
        <v>337</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245</v>
      </c>
      <c r="C49" s="209"/>
      <c r="D49" s="209"/>
      <c r="E49" s="209"/>
    </row>
    <row r="50" spans="2:5" ht="15.75">
      <c r="B50" s="250" t="s">
        <v>435</v>
      </c>
      <c r="C50" s="209"/>
      <c r="D50" s="251"/>
      <c r="E50" s="251"/>
    </row>
    <row r="51" spans="2:5" ht="15.75">
      <c r="B51" s="250" t="s">
        <v>37</v>
      </c>
      <c r="C51" s="424">
        <f>IF(C52*0.1&lt;C50,"Exceed 10% Rule","")</f>
      </c>
      <c r="D51" s="252">
        <f>IF(D52*0.1&lt;D50,"Exceed 10% Rule","")</f>
      </c>
      <c r="E51" s="252">
        <f>IF(E52*0.1&lt;E50,"Exceed 10% Rule","")</f>
      </c>
    </row>
    <row r="52" spans="2:5" ht="15.75">
      <c r="B52" s="253" t="s">
        <v>246</v>
      </c>
      <c r="C52" s="254">
        <f>SUM(C42:C50)</f>
        <v>0</v>
      </c>
      <c r="D52" s="254">
        <f>SUM(D42:D50)</f>
        <v>0</v>
      </c>
      <c r="E52" s="254">
        <f>SUM(E42:E50)</f>
        <v>0</v>
      </c>
    </row>
    <row r="53" spans="2:5" ht="15.75">
      <c r="B53" s="253" t="s">
        <v>247</v>
      </c>
      <c r="C53" s="254">
        <f>C52+C40</f>
        <v>0</v>
      </c>
      <c r="D53" s="254">
        <f>D52+D40</f>
        <v>0</v>
      </c>
      <c r="E53" s="254">
        <f>E52+E40</f>
        <v>0</v>
      </c>
    </row>
    <row r="54" spans="2:5" ht="15.75">
      <c r="B54" s="122" t="s">
        <v>248</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435</v>
      </c>
      <c r="C62" s="37"/>
      <c r="D62" s="245"/>
      <c r="E62" s="245"/>
    </row>
    <row r="63" spans="2:5" ht="15.75">
      <c r="B63" s="126" t="s">
        <v>36</v>
      </c>
      <c r="C63" s="424">
        <f>IF(C64*0.1&lt;C62,"Exceed 10% Rule","")</f>
      </c>
      <c r="D63" s="252">
        <f>IF(D64*0.1&lt;D62,"Exceed 10% Rule","")</f>
      </c>
      <c r="E63" s="252">
        <f>IF(E64*0.1&lt;E62,"Exceed 10% Rule","")</f>
      </c>
    </row>
    <row r="64" spans="2:5" ht="15.75">
      <c r="B64" s="253" t="s">
        <v>249</v>
      </c>
      <c r="C64" s="254">
        <f>SUM(C55:C62)</f>
        <v>0</v>
      </c>
      <c r="D64" s="254">
        <f>SUM(D55:D62)</f>
        <v>0</v>
      </c>
      <c r="E64" s="254">
        <f>SUM(E55:E62)</f>
        <v>0</v>
      </c>
    </row>
    <row r="65" spans="2:5" ht="15.75">
      <c r="B65" s="122" t="s">
        <v>336</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251</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Springfield Cemetery</v>
      </c>
      <c r="B1" s="277"/>
      <c r="C1" s="62"/>
      <c r="D1" s="62"/>
      <c r="E1" s="62"/>
      <c r="F1" s="278" t="s">
        <v>449</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450</v>
      </c>
      <c r="B3" s="62"/>
      <c r="C3" s="62"/>
      <c r="D3" s="62"/>
      <c r="E3" s="62"/>
      <c r="F3" s="277"/>
      <c r="G3" s="62"/>
      <c r="H3" s="62"/>
      <c r="I3" s="62"/>
      <c r="J3" s="62"/>
      <c r="K3" s="62"/>
    </row>
    <row r="4" spans="1:11" ht="15.75">
      <c r="A4" s="62" t="s">
        <v>451</v>
      </c>
      <c r="B4" s="62"/>
      <c r="C4" s="62" t="s">
        <v>452</v>
      </c>
      <c r="D4" s="62"/>
      <c r="E4" s="62" t="s">
        <v>453</v>
      </c>
      <c r="F4" s="277"/>
      <c r="G4" s="62" t="s">
        <v>454</v>
      </c>
      <c r="H4" s="62"/>
      <c r="I4" s="62" t="s">
        <v>455</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456</v>
      </c>
      <c r="B6" s="283"/>
      <c r="C6" s="284" t="s">
        <v>456</v>
      </c>
      <c r="D6" s="285"/>
      <c r="E6" s="284" t="s">
        <v>456</v>
      </c>
      <c r="F6" s="286"/>
      <c r="G6" s="284" t="s">
        <v>456</v>
      </c>
      <c r="H6" s="280"/>
      <c r="I6" s="284" t="s">
        <v>456</v>
      </c>
      <c r="J6" s="62"/>
      <c r="K6" s="287" t="s">
        <v>220</v>
      </c>
    </row>
    <row r="7" spans="1:11" ht="15.75">
      <c r="A7" s="288" t="s">
        <v>457</v>
      </c>
      <c r="B7" s="289"/>
      <c r="C7" s="290" t="s">
        <v>457</v>
      </c>
      <c r="D7" s="289"/>
      <c r="E7" s="290" t="s">
        <v>457</v>
      </c>
      <c r="F7" s="289"/>
      <c r="G7" s="290" t="s">
        <v>457</v>
      </c>
      <c r="H7" s="289"/>
      <c r="I7" s="290" t="s">
        <v>457</v>
      </c>
      <c r="J7" s="289"/>
      <c r="K7" s="291">
        <f>SUM(B7+D7+F7+H7+J7)</f>
        <v>0</v>
      </c>
    </row>
    <row r="8" spans="1:11" ht="15.75">
      <c r="A8" s="292" t="s">
        <v>337</v>
      </c>
      <c r="B8" s="293"/>
      <c r="C8" s="292" t="s">
        <v>337</v>
      </c>
      <c r="D8" s="294"/>
      <c r="E8" s="292" t="s">
        <v>337</v>
      </c>
      <c r="F8" s="277"/>
      <c r="G8" s="292" t="s">
        <v>337</v>
      </c>
      <c r="H8" s="62"/>
      <c r="I8" s="292" t="s">
        <v>337</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246</v>
      </c>
      <c r="B17" s="291">
        <f>SUM(B9:B16)</f>
        <v>0</v>
      </c>
      <c r="C17" s="292" t="s">
        <v>246</v>
      </c>
      <c r="D17" s="291">
        <f>SUM(D9:D16)</f>
        <v>0</v>
      </c>
      <c r="E17" s="292" t="s">
        <v>246</v>
      </c>
      <c r="F17" s="305">
        <f>SUM(F9:F16)</f>
        <v>0</v>
      </c>
      <c r="G17" s="292" t="s">
        <v>246</v>
      </c>
      <c r="H17" s="291">
        <f>SUM(H9:H16)</f>
        <v>0</v>
      </c>
      <c r="I17" s="292" t="s">
        <v>246</v>
      </c>
      <c r="J17" s="291">
        <f>SUM(J9:J16)</f>
        <v>0</v>
      </c>
      <c r="K17" s="291">
        <f>SUM(B17+D17+F17+H17+J17)</f>
        <v>0</v>
      </c>
    </row>
    <row r="18" spans="1:11" ht="15.75">
      <c r="A18" s="292" t="s">
        <v>247</v>
      </c>
      <c r="B18" s="291">
        <f>SUM(B7+B17)</f>
        <v>0</v>
      </c>
      <c r="C18" s="292" t="s">
        <v>247</v>
      </c>
      <c r="D18" s="291">
        <f>SUM(D7+D17)</f>
        <v>0</v>
      </c>
      <c r="E18" s="292" t="s">
        <v>247</v>
      </c>
      <c r="F18" s="291">
        <f>SUM(F7+F17)</f>
        <v>0</v>
      </c>
      <c r="G18" s="292" t="s">
        <v>247</v>
      </c>
      <c r="H18" s="291">
        <f>SUM(H7+H17)</f>
        <v>0</v>
      </c>
      <c r="I18" s="292" t="s">
        <v>247</v>
      </c>
      <c r="J18" s="291">
        <f>SUM(J7+J17)</f>
        <v>0</v>
      </c>
      <c r="K18" s="291">
        <f>SUM(B18+D18+F18+H18+J18)</f>
        <v>0</v>
      </c>
    </row>
    <row r="19" spans="1:11" ht="15.75">
      <c r="A19" s="292" t="s">
        <v>248</v>
      </c>
      <c r="B19" s="293"/>
      <c r="C19" s="292" t="s">
        <v>248</v>
      </c>
      <c r="D19" s="294"/>
      <c r="E19" s="292" t="s">
        <v>248</v>
      </c>
      <c r="F19" s="277"/>
      <c r="G19" s="292" t="s">
        <v>248</v>
      </c>
      <c r="H19" s="62"/>
      <c r="I19" s="292" t="s">
        <v>248</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249</v>
      </c>
      <c r="B28" s="291">
        <f>SUM(B20:B27)</f>
        <v>0</v>
      </c>
      <c r="C28" s="292" t="s">
        <v>249</v>
      </c>
      <c r="D28" s="291">
        <f>SUM(D20:D27)</f>
        <v>0</v>
      </c>
      <c r="E28" s="292" t="s">
        <v>249</v>
      </c>
      <c r="F28" s="305">
        <f>SUM(F20:F27)</f>
        <v>0</v>
      </c>
      <c r="G28" s="292" t="s">
        <v>249</v>
      </c>
      <c r="H28" s="305">
        <f>SUM(H20:H27)</f>
        <v>0</v>
      </c>
      <c r="I28" s="292" t="s">
        <v>249</v>
      </c>
      <c r="J28" s="291">
        <f>SUM(J20:J27)</f>
        <v>0</v>
      </c>
      <c r="K28" s="291">
        <f>SUM(B28+D28+F28+H28+J28)</f>
        <v>0</v>
      </c>
    </row>
    <row r="29" spans="1:12" ht="15.75">
      <c r="A29" s="292" t="s">
        <v>458</v>
      </c>
      <c r="B29" s="291">
        <f>SUM(B18-B28)</f>
        <v>0</v>
      </c>
      <c r="C29" s="292" t="s">
        <v>458</v>
      </c>
      <c r="D29" s="291">
        <f>SUM(D18-D28)</f>
        <v>0</v>
      </c>
      <c r="E29" s="292" t="s">
        <v>458</v>
      </c>
      <c r="F29" s="291">
        <f>SUM(F18-F28)</f>
        <v>0</v>
      </c>
      <c r="G29" s="292" t="s">
        <v>458</v>
      </c>
      <c r="H29" s="291">
        <f>SUM(H18-H28)</f>
        <v>0</v>
      </c>
      <c r="I29" s="292" t="s">
        <v>458</v>
      </c>
      <c r="J29" s="291">
        <f>SUM(J18-J28)</f>
        <v>0</v>
      </c>
      <c r="K29" s="306">
        <f>SUM(B29+D29+F29+H29+J29)</f>
        <v>0</v>
      </c>
      <c r="L29" s="98" t="s">
        <v>459</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459</v>
      </c>
    </row>
    <row r="31" spans="1:11" ht="15.75">
      <c r="A31" s="62"/>
      <c r="B31" s="307"/>
      <c r="C31" s="62"/>
      <c r="D31" s="277"/>
      <c r="E31" s="62"/>
      <c r="F31" s="62"/>
      <c r="G31" s="308" t="s">
        <v>460</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251</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505</v>
      </c>
    </row>
    <row r="2" ht="15.75">
      <c r="A2" s="98"/>
    </row>
    <row r="3" ht="15.75">
      <c r="A3" s="98"/>
    </row>
    <row r="4" ht="56.25" customHeight="1">
      <c r="A4" s="343" t="s">
        <v>506</v>
      </c>
    </row>
    <row r="5" ht="15.75">
      <c r="A5" s="344"/>
    </row>
    <row r="6" ht="15.75">
      <c r="A6" s="98"/>
    </row>
    <row r="7" ht="50.25" customHeight="1">
      <c r="A7" s="343" t="s">
        <v>507</v>
      </c>
    </row>
    <row r="8" ht="15.75">
      <c r="A8" s="98"/>
    </row>
    <row r="9" ht="15.75">
      <c r="A9" s="98"/>
    </row>
    <row r="10" ht="52.5" customHeight="1">
      <c r="A10" s="343" t="s">
        <v>508</v>
      </c>
    </row>
    <row r="11" ht="15.75">
      <c r="A11" s="98"/>
    </row>
    <row r="12" ht="15.75">
      <c r="A12" s="98"/>
    </row>
    <row r="13" ht="52.5" customHeight="1">
      <c r="A13" s="343" t="s">
        <v>509</v>
      </c>
    </row>
    <row r="14" ht="15.75">
      <c r="A14" s="344"/>
    </row>
    <row r="15" ht="15.75">
      <c r="A15" s="344"/>
    </row>
    <row r="16" ht="51" customHeight="1">
      <c r="A16" s="522" t="s">
        <v>131</v>
      </c>
    </row>
    <row r="17" ht="15.75">
      <c r="A17" s="344"/>
    </row>
    <row r="18" ht="15.75">
      <c r="A18" s="344"/>
    </row>
    <row r="19" ht="37.5" customHeight="1">
      <c r="A19" s="343" t="s">
        <v>510</v>
      </c>
    </row>
    <row r="20" ht="15.75">
      <c r="A20" s="98"/>
    </row>
    <row r="21" ht="15.75">
      <c r="A21" s="98"/>
    </row>
    <row r="22" ht="47.25">
      <c r="A22" s="343" t="s">
        <v>511</v>
      </c>
    </row>
    <row r="23" ht="15.75">
      <c r="A23" s="344"/>
    </row>
    <row r="24" ht="15.75">
      <c r="A24" s="98"/>
    </row>
    <row r="25" ht="67.5" customHeight="1">
      <c r="A25" s="343" t="s">
        <v>512</v>
      </c>
    </row>
    <row r="26" ht="68.25" customHeight="1">
      <c r="A26" s="345" t="s">
        <v>513</v>
      </c>
    </row>
    <row r="27" ht="15.75">
      <c r="A27" s="98"/>
    </row>
    <row r="28" ht="15.75">
      <c r="A28" s="98"/>
    </row>
    <row r="29" ht="51" customHeight="1">
      <c r="A29" s="523" t="s">
        <v>132</v>
      </c>
    </row>
    <row r="30" ht="15.75">
      <c r="A30" s="98"/>
    </row>
    <row r="31" ht="15.75">
      <c r="A31" s="344"/>
    </row>
    <row r="32" ht="69" customHeight="1">
      <c r="A32" s="523" t="s">
        <v>133</v>
      </c>
    </row>
    <row r="33" ht="15.75">
      <c r="A33" s="344"/>
    </row>
    <row r="34" ht="15.75">
      <c r="A34" s="344"/>
    </row>
    <row r="35" ht="52.5" customHeight="1">
      <c r="A35" s="523" t="s">
        <v>134</v>
      </c>
    </row>
    <row r="36" ht="15.75">
      <c r="A36" s="344"/>
    </row>
    <row r="37" ht="15.75">
      <c r="A37" s="344"/>
    </row>
    <row r="38" ht="59.25" customHeight="1">
      <c r="A38" s="343" t="s">
        <v>514</v>
      </c>
    </row>
    <row r="39" ht="15.75">
      <c r="A39" s="98"/>
    </row>
    <row r="40" ht="15.75">
      <c r="A40" s="98"/>
    </row>
    <row r="41" ht="53.25" customHeight="1">
      <c r="A41" s="343" t="s">
        <v>515</v>
      </c>
    </row>
    <row r="42" ht="15.75">
      <c r="A42" s="344"/>
    </row>
    <row r="43" ht="15.75">
      <c r="A43" s="344"/>
    </row>
    <row r="44" ht="38.25" customHeight="1">
      <c r="A44" s="343" t="s">
        <v>516</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9" t="s">
        <v>293</v>
      </c>
      <c r="B1" s="619"/>
      <c r="C1" s="619"/>
      <c r="D1" s="619"/>
      <c r="E1" s="619"/>
      <c r="F1" s="619"/>
      <c r="G1" s="619"/>
      <c r="H1" s="655"/>
    </row>
    <row r="2" spans="1:8" ht="15.75">
      <c r="A2" s="18"/>
      <c r="B2" s="18"/>
      <c r="C2" s="18"/>
      <c r="D2" s="18"/>
      <c r="E2" s="18"/>
      <c r="F2" s="18"/>
      <c r="G2" s="18"/>
      <c r="H2" s="18"/>
    </row>
    <row r="3" spans="1:9" ht="15.75">
      <c r="A3" s="597" t="s">
        <v>320</v>
      </c>
      <c r="B3" s="597"/>
      <c r="C3" s="597"/>
      <c r="D3" s="597"/>
      <c r="E3" s="597"/>
      <c r="F3" s="597"/>
      <c r="G3" s="597"/>
      <c r="H3" s="597"/>
      <c r="I3" s="54">
        <f>inputPrYr!D6</f>
        <v>2012</v>
      </c>
    </row>
    <row r="4" spans="1:8" ht="15.75">
      <c r="A4" s="617" t="str">
        <f>inputPrYr!D3</f>
        <v>Springfield Cemetery</v>
      </c>
      <c r="B4" s="617"/>
      <c r="C4" s="617"/>
      <c r="D4" s="617"/>
      <c r="E4" s="617"/>
      <c r="F4" s="617"/>
      <c r="G4" s="617"/>
      <c r="H4" s="617"/>
    </row>
    <row r="5" spans="1:8" ht="15.75">
      <c r="A5" s="658" t="str">
        <f>inputPrYr!D4</f>
        <v>Anderson County</v>
      </c>
      <c r="B5" s="658"/>
      <c r="C5" s="658"/>
      <c r="D5" s="658"/>
      <c r="E5" s="658"/>
      <c r="F5" s="658"/>
      <c r="G5" s="658"/>
      <c r="H5" s="658"/>
    </row>
    <row r="6" spans="1:8" ht="15.75">
      <c r="A6" s="647" t="str">
        <f>CONCATENATE("will meet on ",inputBudSum!B5," at ",inputBudSum!B7," at ",inputBudSum!B9," for the purpose of hearing and")</f>
        <v>will meet on  at  at  for the purpose of hearing and</v>
      </c>
      <c r="B6" s="647"/>
      <c r="C6" s="647"/>
      <c r="D6" s="647"/>
      <c r="E6" s="647"/>
      <c r="F6" s="647"/>
      <c r="G6" s="647"/>
      <c r="H6" s="647"/>
    </row>
    <row r="7" spans="1:8" ht="15.75">
      <c r="A7" s="100" t="s">
        <v>547</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294</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8" t="str">
        <f>CONCATENATE("Estimated Value Of One Mill For ",I3,"")</f>
        <v>Estimated Value Of One Mill For 2012</v>
      </c>
      <c r="K12" s="649"/>
      <c r="L12" s="649"/>
      <c r="M12" s="650"/>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6"/>
      <c r="K13" s="567"/>
      <c r="L13" s="567"/>
      <c r="M13" s="568"/>
    </row>
    <row r="14" spans="1:13" ht="15.75">
      <c r="A14" s="230"/>
      <c r="B14" s="108"/>
      <c r="C14" s="316" t="s">
        <v>258</v>
      </c>
      <c r="D14" s="108"/>
      <c r="E14" s="316" t="s">
        <v>258</v>
      </c>
      <c r="F14" s="230" t="s">
        <v>429</v>
      </c>
      <c r="G14" s="656" t="str">
        <f>CONCATENATE("Amount of ",I3-1," Ad Valorem Tax")</f>
        <v>Amount of 2011 Ad Valorem Tax</v>
      </c>
      <c r="H14" s="316" t="s">
        <v>40</v>
      </c>
      <c r="J14" s="569" t="s">
        <v>147</v>
      </c>
      <c r="K14" s="570"/>
      <c r="L14" s="570"/>
      <c r="M14" s="571">
        <f>ROUND(F27/1000,0)</f>
        <v>2331</v>
      </c>
    </row>
    <row r="15" spans="1:13" ht="15.75">
      <c r="A15" s="179" t="s">
        <v>259</v>
      </c>
      <c r="B15" s="117" t="s">
        <v>260</v>
      </c>
      <c r="C15" s="317" t="s">
        <v>410</v>
      </c>
      <c r="D15" s="117" t="s">
        <v>260</v>
      </c>
      <c r="E15" s="317" t="s">
        <v>410</v>
      </c>
      <c r="F15" s="117" t="s">
        <v>35</v>
      </c>
      <c r="G15" s="657"/>
      <c r="H15" s="317" t="s">
        <v>410</v>
      </c>
      <c r="J15" s="16"/>
      <c r="K15" s="16"/>
      <c r="L15" s="16"/>
      <c r="M15" s="16"/>
    </row>
    <row r="16" spans="1:13" ht="15.75">
      <c r="A16" s="38" t="str">
        <f>inputPrYr!B19</f>
        <v>General</v>
      </c>
      <c r="B16" s="128">
        <f>IF(gen!$C$50&lt;&gt;0,gen!$C$50,"  ")</f>
        <v>2965</v>
      </c>
      <c r="C16" s="125">
        <f>IF(inputPrYr!D38&gt;0,inputPrYr!D38,"  ")</f>
        <v>1.633</v>
      </c>
      <c r="D16" s="128">
        <f>IF(gen!$D$50&lt;&gt;0,gen!$D$50,"  ")</f>
        <v>6100</v>
      </c>
      <c r="E16" s="125">
        <f>IF(inputOth!D16&gt;0,inputOth!D16,"  ")</f>
        <v>1.624</v>
      </c>
      <c r="F16" s="128">
        <f>IF(gen!$E$50&lt;&gt;0,gen!$E$50,"  ")</f>
        <v>5100</v>
      </c>
      <c r="G16" s="128">
        <f>IF(gen!$E$57&lt;&gt;0,gen!$E$57,"  ")</f>
        <v>1417</v>
      </c>
      <c r="H16" s="125">
        <f>IF(gen!E57&gt;0,ROUND(G16/$F$27*1000,3)," ")</f>
        <v>0.608</v>
      </c>
      <c r="J16" s="648" t="str">
        <f>CONCATENATE("Want The Mill Rate The Same As For ",I3-1,"?")</f>
        <v>Want The Mill Rate The Same As For 2011?</v>
      </c>
      <c r="K16" s="651"/>
      <c r="L16" s="651"/>
      <c r="M16" s="652"/>
    </row>
    <row r="17" spans="1:13" ht="15.75">
      <c r="A17" s="38" t="s">
        <v>489</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2"/>
      <c r="K17" s="567"/>
      <c r="L17" s="567"/>
      <c r="M17" s="573"/>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2" t="str">
        <f>CONCATENATE("",I3-1," Mill Rate Was:")</f>
        <v>2011 Mill Rate Was:</v>
      </c>
      <c r="K18" s="567"/>
      <c r="L18" s="567"/>
      <c r="M18" s="574">
        <f>E23</f>
        <v>1.624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5" t="str">
        <f>CONCATENATE("",I3," Tax Levy Fund Expenditures Must Be")</f>
        <v>2012 Tax Levy Fund Expenditures Must Be</v>
      </c>
      <c r="K19" s="576"/>
      <c r="L19" s="576"/>
      <c r="M19" s="573"/>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5" t="str">
        <f>IF(M20&gt;0,"Increased By:","")</f>
        <v>Increased By:</v>
      </c>
      <c r="K20" s="576"/>
      <c r="L20" s="576"/>
      <c r="M20" s="577">
        <f>IF(M27&lt;0,M27*-1,0)</f>
        <v>2369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8">
        <f>IF($N$32&lt;0,"Reduced By:","")</f>
      </c>
      <c r="K21" s="526"/>
      <c r="L21" s="526"/>
      <c r="M21" s="579">
        <f>IF(M27&gt;0,M27*-1,0)</f>
        <v>0</v>
      </c>
    </row>
    <row r="22" spans="1:13" ht="16.5" thickBot="1">
      <c r="A22" s="129">
        <f>IF((inputPrYr!$B$30&gt;" "),(NonBud!$A$3),"")</f>
      </c>
      <c r="B22" s="548">
        <f>IF(NonBud!K28&gt;0,NonBud!K28,"")</f>
      </c>
      <c r="C22" s="547"/>
      <c r="D22" s="548"/>
      <c r="E22" s="547"/>
      <c r="F22" s="548"/>
      <c r="G22" s="548"/>
      <c r="H22" s="547"/>
      <c r="J22" s="580"/>
      <c r="K22" s="580"/>
      <c r="L22" s="580"/>
      <c r="M22" s="580"/>
    </row>
    <row r="23" spans="1:13" ht="15.75">
      <c r="A23" s="35" t="s">
        <v>344</v>
      </c>
      <c r="B23" s="321">
        <f>SUM(B16:B22)</f>
        <v>2965</v>
      </c>
      <c r="C23" s="549">
        <f aca="true" t="shared" si="0" ref="C23:H23">SUM(C16:C21)</f>
        <v>1.633</v>
      </c>
      <c r="D23" s="321">
        <f t="shared" si="0"/>
        <v>6100</v>
      </c>
      <c r="E23" s="549">
        <f t="shared" si="0"/>
        <v>1.624</v>
      </c>
      <c r="F23" s="321">
        <f t="shared" si="0"/>
        <v>5100</v>
      </c>
      <c r="G23" s="321">
        <f t="shared" si="0"/>
        <v>1417</v>
      </c>
      <c r="H23" s="549">
        <f t="shared" si="0"/>
        <v>0.608</v>
      </c>
      <c r="J23" s="648" t="str">
        <f>CONCATENATE("Impact On Keeping The Same Mill Rate As For ",I3-1,"")</f>
        <v>Impact On Keeping The Same Mill Rate As For 2011</v>
      </c>
      <c r="K23" s="653"/>
      <c r="L23" s="653"/>
      <c r="M23" s="654"/>
    </row>
    <row r="24" spans="1:13" ht="15.75">
      <c r="A24" s="35" t="s">
        <v>380</v>
      </c>
      <c r="B24" s="214">
        <f>transfers!C26</f>
        <v>0</v>
      </c>
      <c r="C24" s="133"/>
      <c r="D24" s="214">
        <f>transfers!D26</f>
        <v>0</v>
      </c>
      <c r="E24" s="133"/>
      <c r="F24" s="318">
        <f>transfers!E26</f>
        <v>0</v>
      </c>
      <c r="G24" s="260"/>
      <c r="H24" s="319"/>
      <c r="J24" s="572"/>
      <c r="K24" s="567"/>
      <c r="L24" s="567"/>
      <c r="M24" s="573"/>
    </row>
    <row r="25" spans="1:13" ht="16.5" thickBot="1">
      <c r="A25" s="35" t="s">
        <v>381</v>
      </c>
      <c r="B25" s="136">
        <f>SUM(B23-B24)</f>
        <v>2965</v>
      </c>
      <c r="C25" s="320"/>
      <c r="D25" s="136">
        <f>SUM(D23-D24)</f>
        <v>6100</v>
      </c>
      <c r="E25" s="320"/>
      <c r="F25" s="546">
        <f>SUM(F23-F24)</f>
        <v>5100</v>
      </c>
      <c r="G25" s="260"/>
      <c r="H25" s="319"/>
      <c r="J25" s="572" t="str">
        <f>CONCATENATE("",I3," Ad Valorem Tax Revenue:")</f>
        <v>2012 Ad Valorem Tax Revenue:</v>
      </c>
      <c r="K25" s="567"/>
      <c r="L25" s="567"/>
      <c r="M25" s="568">
        <f>G23</f>
        <v>1417</v>
      </c>
    </row>
    <row r="26" spans="1:13" ht="16.5" thickTop="1">
      <c r="A26" s="35" t="s">
        <v>261</v>
      </c>
      <c r="B26" s="321">
        <f>inputPrYr!E44</f>
        <v>3641</v>
      </c>
      <c r="C26" s="230"/>
      <c r="D26" s="321">
        <f>inputPrYr!E24</f>
        <v>3632</v>
      </c>
      <c r="E26" s="230"/>
      <c r="F26" s="322" t="s">
        <v>386</v>
      </c>
      <c r="G26" s="18"/>
      <c r="H26" s="18"/>
      <c r="J26" s="572" t="str">
        <f>CONCATENATE("",I3-1," Ad Valorem Tax Revenue:")</f>
        <v>2011 Ad Valorem Tax Revenue:</v>
      </c>
      <c r="K26" s="567"/>
      <c r="L26" s="567"/>
      <c r="M26" s="581">
        <f>ROUND(F27*M18/1000,0)</f>
        <v>3786</v>
      </c>
    </row>
    <row r="27" spans="1:13" ht="15.75">
      <c r="A27" s="35" t="s">
        <v>382</v>
      </c>
      <c r="B27" s="214">
        <f>inputPrYr!E45</f>
        <v>2230720</v>
      </c>
      <c r="C27" s="230"/>
      <c r="D27" s="214">
        <f>inputOth!E24</f>
        <v>2237079</v>
      </c>
      <c r="E27" s="230"/>
      <c r="F27" s="214">
        <f>inputOth!E7</f>
        <v>2331326</v>
      </c>
      <c r="G27" s="18"/>
      <c r="H27" s="18"/>
      <c r="J27" s="582" t="s">
        <v>148</v>
      </c>
      <c r="K27" s="583"/>
      <c r="L27" s="583"/>
      <c r="M27" s="571">
        <f>M25-M26</f>
        <v>-2369</v>
      </c>
    </row>
    <row r="28" spans="1:13" ht="15.75">
      <c r="A28" s="21"/>
      <c r="B28" s="260"/>
      <c r="C28" s="71"/>
      <c r="D28" s="260"/>
      <c r="E28" s="71"/>
      <c r="F28" s="260"/>
      <c r="G28" s="18"/>
      <c r="H28" s="18"/>
      <c r="J28" s="584"/>
      <c r="K28" s="584"/>
      <c r="L28" s="584"/>
      <c r="M28" s="580"/>
    </row>
    <row r="29" spans="1:13" ht="15.75">
      <c r="A29" s="17" t="s">
        <v>262</v>
      </c>
      <c r="B29" s="18"/>
      <c r="C29" s="18"/>
      <c r="D29" s="18"/>
      <c r="E29" s="18"/>
      <c r="F29" s="18"/>
      <c r="G29" s="18"/>
      <c r="H29" s="18"/>
      <c r="J29" s="648" t="s">
        <v>149</v>
      </c>
      <c r="K29" s="651"/>
      <c r="L29" s="651"/>
      <c r="M29" s="652"/>
    </row>
    <row r="30" spans="1:13" ht="15.75">
      <c r="A30" s="17" t="s">
        <v>379</v>
      </c>
      <c r="B30" s="101">
        <f>I3-3</f>
        <v>2009</v>
      </c>
      <c r="C30" s="18"/>
      <c r="D30" s="101">
        <f>I3-2</f>
        <v>2010</v>
      </c>
      <c r="E30" s="18"/>
      <c r="F30" s="101">
        <f>I3-1</f>
        <v>2011</v>
      </c>
      <c r="G30" s="18"/>
      <c r="H30" s="18"/>
      <c r="J30" s="572"/>
      <c r="K30" s="567"/>
      <c r="L30" s="567"/>
      <c r="M30" s="573"/>
    </row>
    <row r="31" spans="1:13" ht="15.75">
      <c r="A31" s="17" t="s">
        <v>263</v>
      </c>
      <c r="B31" s="323">
        <f>inputPrYr!D48</f>
        <v>0</v>
      </c>
      <c r="C31" s="166"/>
      <c r="D31" s="323">
        <f>inputPrYr!E48</f>
        <v>0</v>
      </c>
      <c r="E31" s="18"/>
      <c r="F31" s="323">
        <f>debt!E12</f>
        <v>0</v>
      </c>
      <c r="G31" s="18"/>
      <c r="H31" s="54"/>
      <c r="J31" s="572" t="str">
        <f>CONCATENATE("Current ",I3," Estimated Mill Rate:")</f>
        <v>Current 2012 Estimated Mill Rate:</v>
      </c>
      <c r="K31" s="567"/>
      <c r="L31" s="567"/>
      <c r="M31" s="574">
        <f>H23</f>
        <v>0.608</v>
      </c>
    </row>
    <row r="32" spans="1:13" ht="15.75">
      <c r="A32" s="18" t="s">
        <v>264</v>
      </c>
      <c r="B32" s="323">
        <f>inputPrYr!D49</f>
        <v>0</v>
      </c>
      <c r="C32" s="18"/>
      <c r="D32" s="323">
        <f>inputPrYr!E49</f>
        <v>0</v>
      </c>
      <c r="E32" s="18"/>
      <c r="F32" s="323">
        <f>debt!E16</f>
        <v>0</v>
      </c>
      <c r="G32" s="18"/>
      <c r="H32" s="54"/>
      <c r="J32" s="572" t="str">
        <f>CONCATENATE("Desired ",I3," Mill Rate:")</f>
        <v>Desired 2012 Mill Rate:</v>
      </c>
      <c r="K32" s="567"/>
      <c r="L32" s="567"/>
      <c r="M32" s="585">
        <v>0</v>
      </c>
    </row>
    <row r="33" spans="1:13" ht="15.75">
      <c r="A33" s="17" t="s">
        <v>143</v>
      </c>
      <c r="B33" s="323">
        <f>inputPrYr!D50</f>
        <v>0</v>
      </c>
      <c r="C33" s="166"/>
      <c r="D33" s="323">
        <f>inputPrYr!E50</f>
        <v>0</v>
      </c>
      <c r="E33" s="18"/>
      <c r="F33" s="323">
        <f>debt!E20</f>
        <v>0</v>
      </c>
      <c r="G33" s="18"/>
      <c r="H33" s="54"/>
      <c r="J33" s="572" t="str">
        <f>CONCATENATE("",I3," Ad Valorem Tax:")</f>
        <v>2012 Ad Valorem Tax:</v>
      </c>
      <c r="K33" s="567"/>
      <c r="L33" s="567"/>
      <c r="M33" s="581">
        <f>ROUND(F27*M32/1000,0)</f>
        <v>0</v>
      </c>
    </row>
    <row r="34" spans="1:13" ht="15.75">
      <c r="A34" s="17" t="s">
        <v>345</v>
      </c>
      <c r="B34" s="323">
        <f>inputPrYr!D51</f>
        <v>0</v>
      </c>
      <c r="C34" s="18"/>
      <c r="D34" s="323">
        <f>inputPrYr!E51</f>
        <v>0</v>
      </c>
      <c r="E34" s="18"/>
      <c r="F34" s="323">
        <f>debt!F41</f>
        <v>0</v>
      </c>
      <c r="G34" s="18"/>
      <c r="H34" s="54"/>
      <c r="J34" s="582" t="str">
        <f>CONCATENATE("",I3," Tax Levy Fund Exp. Changed By:")</f>
        <v>2012 Tax Levy Fund Exp. Changed By:</v>
      </c>
      <c r="K34" s="583"/>
      <c r="L34" s="583"/>
      <c r="M34" s="571">
        <f>IF(M32=0,0,(M33-G23))</f>
        <v>0</v>
      </c>
    </row>
    <row r="35" spans="1:8" ht="16.5" thickBot="1">
      <c r="A35" s="275" t="s">
        <v>265</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266</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11"/>
      <c r="B40" s="612"/>
      <c r="C40" s="102"/>
      <c r="D40" s="18"/>
      <c r="E40" s="18"/>
      <c r="F40" s="18"/>
      <c r="G40" s="18"/>
      <c r="H40" s="54"/>
    </row>
    <row r="41" spans="1:8" ht="15.75">
      <c r="A41" s="311" t="s">
        <v>267</v>
      </c>
      <c r="B41" s="26"/>
      <c r="C41" s="18"/>
      <c r="D41" s="145" t="s">
        <v>251</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29:M29"/>
    <mergeCell ref="A40:B40"/>
    <mergeCell ref="A1:H1"/>
    <mergeCell ref="G14:G15"/>
    <mergeCell ref="A3:H3"/>
    <mergeCell ref="A4:H4"/>
    <mergeCell ref="A5:H5"/>
    <mergeCell ref="A6:H6"/>
    <mergeCell ref="J12:M12"/>
    <mergeCell ref="J16:M16"/>
    <mergeCell ref="J23:M23"/>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Springfield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03" t="str">
        <f>CONCATENATE("",F1," Neighborhood Revitalization Rebate")</f>
        <v>2012 Neighborhood Revitalization Rebate</v>
      </c>
      <c r="C4" s="661"/>
      <c r="D4" s="661"/>
      <c r="E4" s="655"/>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424</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2331326</v>
      </c>
      <c r="E16" s="18"/>
      <c r="F16" s="54"/>
    </row>
    <row r="17" spans="1:6" ht="15.75">
      <c r="A17" s="18"/>
      <c r="B17" s="18"/>
      <c r="C17" s="18"/>
      <c r="D17" s="18"/>
      <c r="E17" s="18"/>
      <c r="F17" s="54"/>
    </row>
    <row r="18" spans="1:6" ht="15.75">
      <c r="A18" s="18"/>
      <c r="B18" s="662" t="s">
        <v>536</v>
      </c>
      <c r="C18" s="662"/>
      <c r="D18" s="335">
        <f>IF(D16&gt;0,(D16*0.001),"")</f>
        <v>2331.326</v>
      </c>
      <c r="E18" s="18"/>
      <c r="F18" s="54"/>
    </row>
    <row r="19" spans="1:6" ht="15.75">
      <c r="A19" s="18"/>
      <c r="B19" s="145"/>
      <c r="C19" s="145"/>
      <c r="D19" s="336"/>
      <c r="E19" s="18"/>
      <c r="F19" s="54"/>
    </row>
    <row r="20" spans="1:6" ht="15.75">
      <c r="A20" s="659" t="s">
        <v>534</v>
      </c>
      <c r="B20" s="655"/>
      <c r="C20" s="655"/>
      <c r="D20" s="337">
        <f>inputOth!E12</f>
        <v>0</v>
      </c>
      <c r="E20" s="64"/>
      <c r="F20" s="64"/>
    </row>
    <row r="21" spans="1:6" ht="15">
      <c r="A21" s="64"/>
      <c r="B21" s="64"/>
      <c r="C21" s="64"/>
      <c r="D21" s="338"/>
      <c r="E21" s="64"/>
      <c r="F21" s="64"/>
    </row>
    <row r="22" spans="1:6" ht="15.75">
      <c r="A22" s="64"/>
      <c r="B22" s="659" t="s">
        <v>535</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22</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251</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9">
      <selection activeCell="E53" sqref="E5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7" t="s">
        <v>214</v>
      </c>
      <c r="B1" s="618"/>
      <c r="C1" s="618"/>
      <c r="D1" s="618"/>
      <c r="E1" s="618"/>
    </row>
    <row r="2" spans="1:5" ht="15.75">
      <c r="A2" s="17"/>
      <c r="B2" s="18"/>
      <c r="C2" s="18"/>
      <c r="D2" s="18"/>
      <c r="E2" s="18"/>
    </row>
    <row r="3" spans="1:5" ht="15.75">
      <c r="A3" s="19" t="s">
        <v>341</v>
      </c>
      <c r="B3" s="18"/>
      <c r="C3" s="18"/>
      <c r="D3" s="20" t="s">
        <v>199</v>
      </c>
      <c r="E3" s="21"/>
    </row>
    <row r="4" spans="1:5" ht="15.75">
      <c r="A4" s="19" t="s">
        <v>443</v>
      </c>
      <c r="B4" s="18"/>
      <c r="C4" s="18"/>
      <c r="D4" s="22" t="s">
        <v>200</v>
      </c>
      <c r="E4" s="21"/>
    </row>
    <row r="5" spans="1:5" ht="15.75">
      <c r="A5" s="17"/>
      <c r="B5" s="18"/>
      <c r="C5" s="18"/>
      <c r="D5" s="23"/>
      <c r="E5" s="21"/>
    </row>
    <row r="6" spans="1:5" ht="15.75">
      <c r="A6" s="19" t="s">
        <v>361</v>
      </c>
      <c r="B6" s="18"/>
      <c r="C6" s="18"/>
      <c r="D6" s="24">
        <v>2012</v>
      </c>
      <c r="E6" s="21"/>
    </row>
    <row r="7" spans="1:5" ht="15.75">
      <c r="A7" s="18"/>
      <c r="B7" s="18"/>
      <c r="C7" s="18"/>
      <c r="D7" s="18"/>
      <c r="E7" s="18"/>
    </row>
    <row r="8" spans="1:5" ht="15.75">
      <c r="A8" s="619" t="s">
        <v>421</v>
      </c>
      <c r="B8" s="620"/>
      <c r="C8" s="620"/>
      <c r="D8" s="620"/>
      <c r="E8" s="620"/>
    </row>
    <row r="9" spans="1:5" ht="15.75">
      <c r="A9" s="25" t="s">
        <v>288</v>
      </c>
      <c r="B9" s="26"/>
      <c r="C9" s="26"/>
      <c r="D9" s="26"/>
      <c r="E9" s="26"/>
    </row>
    <row r="10" spans="1:5" ht="15.75">
      <c r="A10" s="621" t="s">
        <v>420</v>
      </c>
      <c r="B10" s="622"/>
      <c r="C10" s="622"/>
      <c r="D10" s="622"/>
      <c r="E10" s="622"/>
    </row>
    <row r="11" spans="1:5" ht="15.75">
      <c r="A11" s="27"/>
      <c r="B11" s="18"/>
      <c r="C11" s="18"/>
      <c r="D11" s="18"/>
      <c r="E11" s="18"/>
    </row>
    <row r="12" spans="1:5" ht="15.75">
      <c r="A12" s="615" t="s">
        <v>408</v>
      </c>
      <c r="B12" s="616"/>
      <c r="C12" s="616"/>
      <c r="D12" s="616"/>
      <c r="E12" s="616"/>
    </row>
    <row r="13" spans="1:5" ht="15.75">
      <c r="A13" s="27"/>
      <c r="B13" s="18"/>
      <c r="C13" s="18"/>
      <c r="D13" s="18"/>
      <c r="E13" s="18"/>
    </row>
    <row r="14" spans="1:5" ht="15.75">
      <c r="A14" s="28" t="s">
        <v>365</v>
      </c>
      <c r="B14" s="29"/>
      <c r="C14" s="18"/>
      <c r="D14" s="18"/>
      <c r="E14" s="18"/>
    </row>
    <row r="15" spans="1:5" ht="15.75">
      <c r="A15" s="30" t="str">
        <f>CONCATENATE("the ",D6-1," Budget, Certificate Page:")</f>
        <v>the 2011 Budget, Certificate Page:</v>
      </c>
      <c r="B15" s="31"/>
      <c r="C15" s="18"/>
      <c r="D15" s="18"/>
      <c r="E15" s="18"/>
    </row>
    <row r="16" spans="1:5" ht="15.75">
      <c r="A16" s="30" t="s">
        <v>493</v>
      </c>
      <c r="B16" s="31"/>
      <c r="C16" s="18"/>
      <c r="D16" s="18"/>
      <c r="E16" s="18"/>
    </row>
    <row r="17" spans="1:5" ht="15.75">
      <c r="A17" s="18"/>
      <c r="B17" s="18"/>
      <c r="C17" s="32"/>
      <c r="D17" s="33">
        <f>D6-1</f>
        <v>2011</v>
      </c>
      <c r="E17" s="623" t="str">
        <f>CONCATENATE("Amount of ",D6-2,"     Ad Valorem Tax")</f>
        <v>Amount of 2010     Ad Valorem Tax</v>
      </c>
    </row>
    <row r="18" spans="1:5" ht="15.75">
      <c r="A18" s="17" t="s">
        <v>215</v>
      </c>
      <c r="B18" s="18"/>
      <c r="C18" s="32" t="s">
        <v>216</v>
      </c>
      <c r="D18" s="34" t="s">
        <v>494</v>
      </c>
      <c r="E18" s="624"/>
    </row>
    <row r="19" spans="1:5" ht="15.75">
      <c r="A19" s="18"/>
      <c r="B19" s="35" t="s">
        <v>217</v>
      </c>
      <c r="C19" s="436" t="s">
        <v>201</v>
      </c>
      <c r="D19" s="37">
        <v>6100</v>
      </c>
      <c r="E19" s="37">
        <v>3632</v>
      </c>
    </row>
    <row r="20" spans="1:5" ht="15.75">
      <c r="A20" s="18"/>
      <c r="B20" s="35" t="s">
        <v>489</v>
      </c>
      <c r="C20" s="114" t="s">
        <v>367</v>
      </c>
      <c r="D20" s="37"/>
      <c r="E20" s="37"/>
    </row>
    <row r="21" spans="1:5" ht="15.75">
      <c r="A21" s="17" t="s">
        <v>218</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3632</v>
      </c>
    </row>
    <row r="25" spans="1:5" ht="15.75">
      <c r="A25" s="45" t="s">
        <v>219</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6100</v>
      </c>
      <c r="E28" s="39"/>
    </row>
    <row r="29" spans="1:5" ht="15.75">
      <c r="A29" s="18" t="s">
        <v>461</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365</v>
      </c>
      <c r="B36" s="29"/>
      <c r="C36" s="18"/>
      <c r="D36" s="613" t="str">
        <f>CONCATENATE("",D6-3," Tax Rate          (",D6-2," Column)")</f>
        <v>2009 Tax Rate          (2010 Column)</v>
      </c>
      <c r="E36" s="39"/>
    </row>
    <row r="37" spans="1:5" ht="15.75">
      <c r="A37" s="30" t="str">
        <f>CONCATENATE("the ",D6-1," Budget, Budget Summary Page:")</f>
        <v>the 2011 Budget, Budget Summary Page:</v>
      </c>
      <c r="B37" s="31"/>
      <c r="C37" s="18"/>
      <c r="D37" s="614"/>
      <c r="E37" s="39"/>
    </row>
    <row r="38" spans="1:5" ht="15.75">
      <c r="A38" s="18"/>
      <c r="B38" s="38" t="str">
        <f>B19</f>
        <v>General</v>
      </c>
      <c r="C38" s="18"/>
      <c r="D38" s="49">
        <v>1.633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220</v>
      </c>
      <c r="B42" s="18"/>
      <c r="C42" s="18"/>
      <c r="D42" s="50">
        <f>SUM(D38:D41)</f>
        <v>1.633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3641</v>
      </c>
    </row>
    <row r="45" spans="1:5" ht="15.75">
      <c r="A45" s="51" t="str">
        <f>CONCATENATE("Assessed Valuation (",D6-2," budget column)")</f>
        <v>Assessed Valuation (2010 budget column)</v>
      </c>
      <c r="B45" s="29"/>
      <c r="C45" s="18"/>
      <c r="D45" s="18"/>
      <c r="E45" s="53">
        <v>2230720</v>
      </c>
    </row>
    <row r="46" spans="1:5" ht="15.75">
      <c r="A46" s="18"/>
      <c r="B46" s="18"/>
      <c r="C46" s="18"/>
      <c r="D46" s="18"/>
      <c r="E46" s="39"/>
    </row>
    <row r="47" spans="1:5" ht="15.75">
      <c r="A47" s="29" t="s">
        <v>422</v>
      </c>
      <c r="B47" s="29"/>
      <c r="C47" s="54"/>
      <c r="D47" s="55">
        <f>D6-3</f>
        <v>2009</v>
      </c>
      <c r="E47" s="55">
        <f>D6-2</f>
        <v>2010</v>
      </c>
    </row>
    <row r="48" spans="1:5" ht="15.75">
      <c r="A48" s="56" t="s">
        <v>362</v>
      </c>
      <c r="B48" s="56"/>
      <c r="C48" s="57"/>
      <c r="D48" s="58">
        <v>0</v>
      </c>
      <c r="E48" s="58">
        <v>0</v>
      </c>
    </row>
    <row r="49" spans="1:5" ht="15.75">
      <c r="A49" s="59" t="s">
        <v>363</v>
      </c>
      <c r="B49" s="59"/>
      <c r="C49" s="60"/>
      <c r="D49" s="58">
        <v>0</v>
      </c>
      <c r="E49" s="58">
        <v>0</v>
      </c>
    </row>
    <row r="50" spans="1:5" ht="15.75">
      <c r="A50" s="59" t="s">
        <v>144</v>
      </c>
      <c r="B50" s="59"/>
      <c r="C50" s="60"/>
      <c r="D50" s="58">
        <v>0</v>
      </c>
      <c r="E50" s="58">
        <v>0</v>
      </c>
    </row>
    <row r="51" spans="1:5" ht="15.75">
      <c r="A51" s="59" t="s">
        <v>364</v>
      </c>
      <c r="B51" s="59"/>
      <c r="C51" s="60"/>
      <c r="D51" s="58">
        <v>0</v>
      </c>
      <c r="E51" s="58">
        <v>0</v>
      </c>
    </row>
    <row r="52" spans="1:5" ht="15.75">
      <c r="A52" s="59"/>
      <c r="B52" s="59"/>
      <c r="C52" s="61"/>
      <c r="D52" s="58">
        <v>0</v>
      </c>
      <c r="E52" s="58">
        <v>0</v>
      </c>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3" t="s">
        <v>350</v>
      </c>
      <c r="C1" s="663"/>
      <c r="D1" s="663"/>
      <c r="E1" s="663"/>
      <c r="F1" s="663"/>
      <c r="G1" s="663"/>
      <c r="H1" s="663"/>
    </row>
    <row r="2" spans="2:8" ht="15.75">
      <c r="B2" s="6"/>
      <c r="C2"/>
      <c r="D2"/>
      <c r="E2"/>
      <c r="F2"/>
      <c r="G2"/>
      <c r="H2"/>
    </row>
    <row r="3" spans="2:8" ht="15.75">
      <c r="B3" s="664" t="s">
        <v>347</v>
      </c>
      <c r="C3" s="664"/>
      <c r="D3" s="664"/>
      <c r="E3" s="664"/>
      <c r="F3" s="664"/>
      <c r="G3" s="664"/>
      <c r="H3" s="664"/>
    </row>
    <row r="4" spans="2:8" ht="15.75">
      <c r="B4" s="7"/>
      <c r="C4"/>
      <c r="D4"/>
      <c r="E4"/>
      <c r="F4"/>
      <c r="G4"/>
      <c r="H4"/>
    </row>
    <row r="5" spans="2:8" ht="15.75">
      <c r="B5" s="669" t="str">
        <f>CONCATENATE("A resolution expressing the property taxation policy of the Board of ",(inputPrYr!D3)," District with respect to financing the ",inputPrYr!D6," annual budget for ",(inputPrYr!D3)," , ",(inputPrYr!D4)," , Kansas.")</f>
        <v>A resolution expressing the property taxation policy of the Board of Springfield Cemetery District with respect to financing the 2012 annual budget for Springfield Cemetery , Anderson County , Kansas.</v>
      </c>
      <c r="C5" s="670"/>
      <c r="D5" s="670"/>
      <c r="E5" s="670"/>
      <c r="F5" s="670"/>
      <c r="G5" s="670"/>
      <c r="H5" s="670"/>
    </row>
    <row r="6" spans="2:10" ht="15.75">
      <c r="B6" s="670"/>
      <c r="C6" s="670"/>
      <c r="D6" s="670"/>
      <c r="E6" s="670"/>
      <c r="F6" s="670"/>
      <c r="G6" s="670"/>
      <c r="H6" s="670"/>
      <c r="J6" s="2">
        <f>CONCATENATE(J7)</f>
      </c>
    </row>
    <row r="7" spans="2:8" ht="15.75">
      <c r="B7" s="11"/>
      <c r="C7"/>
      <c r="D7"/>
      <c r="E7"/>
      <c r="F7"/>
      <c r="G7"/>
      <c r="H7"/>
    </row>
    <row r="8" spans="2:8" ht="15.75">
      <c r="B8" s="12" t="s">
        <v>387</v>
      </c>
      <c r="C8"/>
      <c r="D8"/>
      <c r="E8"/>
      <c r="F8"/>
      <c r="G8"/>
      <c r="H8"/>
    </row>
    <row r="9" spans="2:8" ht="15.75">
      <c r="B9" s="12" t="str">
        <f>CONCATENATE("",inputPrYr!D6," ",(inputPrYr!D3)," district budget exceed the amount levied to finance the")</f>
        <v>2012 Springfield Cemetery district budget exceed the amount levied to finance the</v>
      </c>
      <c r="C9"/>
      <c r="D9"/>
      <c r="E9"/>
      <c r="F9"/>
      <c r="G9"/>
      <c r="H9"/>
    </row>
    <row r="10" spans="2:8" ht="15.75">
      <c r="B10" s="12" t="str">
        <f>CONCATENATE("",inputPrYr!D6-1," ",inputPrYr!D3," except with regard to revenue produced and attributable to the")</f>
        <v>2011 Springfield Cemetery except with regard to revenue produced and attributable to the</v>
      </c>
      <c r="C10"/>
      <c r="D10"/>
      <c r="E10"/>
      <c r="F10"/>
      <c r="G10"/>
      <c r="H10"/>
    </row>
    <row r="11" spans="2:8" ht="15.75">
      <c r="B11" s="665" t="s">
        <v>388</v>
      </c>
      <c r="C11" s="666"/>
      <c r="D11" s="666"/>
      <c r="E11" s="666"/>
      <c r="F11" s="666"/>
      <c r="G11" s="666"/>
      <c r="H11" s="666"/>
    </row>
    <row r="12" spans="2:8" ht="15.75">
      <c r="B12" s="666"/>
      <c r="C12" s="666"/>
      <c r="D12" s="666"/>
      <c r="E12" s="666"/>
      <c r="F12" s="666"/>
      <c r="G12" s="666"/>
      <c r="H12" s="666"/>
    </row>
    <row r="13" spans="2:8" ht="15.75">
      <c r="B13" s="666"/>
      <c r="C13" s="666"/>
      <c r="D13" s="666"/>
      <c r="E13" s="666"/>
      <c r="F13" s="666"/>
      <c r="G13" s="666"/>
      <c r="H13" s="666"/>
    </row>
    <row r="14" spans="2:8" ht="15.75">
      <c r="B14" s="666"/>
      <c r="C14" s="666"/>
      <c r="D14" s="666"/>
      <c r="E14" s="666"/>
      <c r="F14" s="666"/>
      <c r="G14" s="666"/>
      <c r="H14" s="666"/>
    </row>
    <row r="15" spans="2:8" ht="15.75">
      <c r="B15" s="1"/>
      <c r="C15" s="1"/>
      <c r="D15" s="1"/>
      <c r="E15" s="1"/>
      <c r="F15" s="1"/>
      <c r="G15" s="1"/>
      <c r="H15" s="1"/>
    </row>
    <row r="16" spans="2:8" ht="15.75">
      <c r="B16" s="671" t="s">
        <v>359</v>
      </c>
      <c r="C16" s="672"/>
      <c r="D16" s="672"/>
      <c r="E16" s="672"/>
      <c r="F16" s="672"/>
      <c r="G16" s="672"/>
      <c r="H16" s="672"/>
    </row>
    <row r="17" spans="2:8" ht="15.75">
      <c r="B17" s="672"/>
      <c r="C17" s="672"/>
      <c r="D17" s="672"/>
      <c r="E17" s="672"/>
      <c r="F17" s="672"/>
      <c r="G17" s="672"/>
      <c r="H17" s="672"/>
    </row>
    <row r="18" spans="2:8" ht="15.75">
      <c r="B18" s="12"/>
      <c r="C18"/>
      <c r="D18"/>
      <c r="E18"/>
      <c r="F18"/>
      <c r="G18"/>
      <c r="H18"/>
    </row>
    <row r="19" spans="2:8" ht="15.75">
      <c r="B19" s="12" t="str">
        <f>CONCATENATE("Whereas, ",(inputPrYr!D3)," provides essential services to district residents; and")</f>
        <v>Whereas, Springfield Cemetery provides essential services to district residents; and</v>
      </c>
      <c r="C19"/>
      <c r="D19"/>
      <c r="E19"/>
      <c r="F19"/>
      <c r="G19"/>
      <c r="H19"/>
    </row>
    <row r="20" spans="2:8" ht="15.75">
      <c r="B20" s="12"/>
      <c r="C20"/>
      <c r="D20"/>
      <c r="E20"/>
      <c r="F20"/>
      <c r="G20"/>
      <c r="H20"/>
    </row>
    <row r="21" spans="2:8" ht="15.75">
      <c r="B21" s="12" t="s">
        <v>360</v>
      </c>
      <c r="C21"/>
      <c r="D21"/>
      <c r="E21"/>
      <c r="F21"/>
      <c r="G21"/>
      <c r="H21"/>
    </row>
    <row r="22" spans="2:8" ht="15.75">
      <c r="B22" s="12"/>
      <c r="C22"/>
      <c r="D22"/>
      <c r="E22"/>
      <c r="F22"/>
      <c r="G22"/>
      <c r="H22"/>
    </row>
    <row r="23" spans="2:8" ht="15.75">
      <c r="B23" s="66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Springfield Cemetery that is our desire to notify the public of the possibility of increased property taxes to finance the 2012 Springfield Cemetery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1" t="str">
        <f>CONCATENATE("Adopted this _________ day of ___________, ",inputPrYr!D6-1," by the ",(inputPrYr!D3)," District Board, ",(inputPrYr!D4),", Kansas.")</f>
        <v>Adopted this _________ day of ___________, 2011 by the Springfield Cemetery District Board, Anderson County, Kansas.</v>
      </c>
      <c r="C27" s="670"/>
      <c r="D27" s="670"/>
      <c r="E27" s="670"/>
      <c r="F27" s="670"/>
      <c r="G27" s="670"/>
      <c r="H27" s="670"/>
    </row>
    <row r="28" spans="2:8" ht="15.75">
      <c r="B28" s="670"/>
      <c r="C28" s="670"/>
      <c r="D28" s="670"/>
      <c r="E28" s="670"/>
      <c r="F28" s="670"/>
      <c r="G28" s="670"/>
      <c r="H28" s="670"/>
    </row>
    <row r="29" spans="2:8" ht="15.75">
      <c r="B29" s="8"/>
      <c r="C29"/>
      <c r="D29"/>
      <c r="E29"/>
      <c r="F29"/>
      <c r="G29"/>
      <c r="H29"/>
    </row>
    <row r="30" spans="2:8" ht="15.75">
      <c r="B30" s="8"/>
      <c r="C30"/>
      <c r="D30"/>
      <c r="E30"/>
      <c r="F30"/>
      <c r="G30"/>
      <c r="H30"/>
    </row>
    <row r="31" spans="2:8" ht="15.75">
      <c r="B31" s="9" t="str">
        <f>CONCATENATE(" ",(inputPrYr!D3)," District Board")</f>
        <v> Springfield Cemetery District Board</v>
      </c>
      <c r="C31"/>
      <c r="D31"/>
      <c r="E31"/>
      <c r="F31"/>
      <c r="G31"/>
      <c r="H31"/>
    </row>
    <row r="32" spans="2:8" ht="15.75">
      <c r="B32" s="8"/>
      <c r="C32"/>
      <c r="D32"/>
      <c r="E32"/>
      <c r="F32"/>
      <c r="G32"/>
      <c r="H32"/>
    </row>
    <row r="33" spans="2:8" ht="15.75">
      <c r="B33"/>
      <c r="C33"/>
      <c r="D33"/>
      <c r="E33" s="667" t="s">
        <v>348</v>
      </c>
      <c r="F33" s="667"/>
      <c r="G33" s="667"/>
      <c r="H33" s="667"/>
    </row>
    <row r="34" spans="2:8" ht="15.75">
      <c r="B34"/>
      <c r="C34"/>
      <c r="D34"/>
      <c r="E34" s="667" t="s">
        <v>351</v>
      </c>
      <c r="F34" s="667"/>
      <c r="G34" s="667"/>
      <c r="H34" s="667"/>
    </row>
    <row r="35" spans="2:8" ht="15.75">
      <c r="B35" s="8"/>
      <c r="C35"/>
      <c r="D35"/>
      <c r="E35" s="667"/>
      <c r="F35" s="667"/>
      <c r="G35" s="667"/>
      <c r="H35" s="667"/>
    </row>
    <row r="36" spans="2:8" ht="15.75">
      <c r="B36"/>
      <c r="C36"/>
      <c r="D36"/>
      <c r="E36" s="667" t="s">
        <v>348</v>
      </c>
      <c r="F36" s="667"/>
      <c r="G36" s="667"/>
      <c r="H36" s="667"/>
    </row>
    <row r="37" spans="2:8" ht="15.75">
      <c r="B37"/>
      <c r="C37"/>
      <c r="D37"/>
      <c r="E37" s="667" t="s">
        <v>352</v>
      </c>
      <c r="F37" s="667"/>
      <c r="G37" s="667"/>
      <c r="H37" s="667"/>
    </row>
    <row r="38" spans="2:8" ht="15.75">
      <c r="B38" s="8"/>
      <c r="C38"/>
      <c r="D38"/>
      <c r="E38" s="667"/>
      <c r="F38" s="667"/>
      <c r="G38" s="667"/>
      <c r="H38" s="667"/>
    </row>
    <row r="39" spans="2:8" ht="15.75">
      <c r="B39"/>
      <c r="C39"/>
      <c r="D39"/>
      <c r="E39" s="667" t="s">
        <v>348</v>
      </c>
      <c r="F39" s="667"/>
      <c r="G39" s="667"/>
      <c r="H39" s="667"/>
    </row>
    <row r="40" spans="2:8" ht="15.75">
      <c r="B40"/>
      <c r="C40"/>
      <c r="D40"/>
      <c r="E40" s="667" t="s">
        <v>353</v>
      </c>
      <c r="F40" s="667"/>
      <c r="G40" s="667"/>
      <c r="H40" s="66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251</v>
      </c>
      <c r="E45" s="15"/>
      <c r="F45" s="13"/>
      <c r="G45" s="13"/>
      <c r="H45" s="13"/>
    </row>
    <row r="46" spans="2:8" ht="15.75">
      <c r="B46" s="10" t="s">
        <v>349</v>
      </c>
      <c r="E46" s="668"/>
      <c r="F46" s="668"/>
      <c r="G46" s="668"/>
      <c r="H46" s="668"/>
    </row>
    <row r="47" spans="2:8" ht="15.75">
      <c r="B47" s="3"/>
      <c r="E47" s="668"/>
      <c r="F47" s="668"/>
      <c r="G47" s="668"/>
      <c r="H47" s="668"/>
    </row>
    <row r="48" spans="5:8" ht="15.75">
      <c r="E48" s="668"/>
      <c r="F48" s="668"/>
      <c r="G48" s="668"/>
      <c r="H48" s="668"/>
    </row>
    <row r="49" spans="5:8" ht="15.75">
      <c r="E49" s="668"/>
      <c r="F49" s="668"/>
      <c r="G49" s="668"/>
      <c r="H49" s="668"/>
    </row>
    <row r="50" spans="2:8" ht="15.75">
      <c r="B50" s="3"/>
      <c r="E50" s="668"/>
      <c r="F50" s="668"/>
      <c r="G50" s="668"/>
      <c r="H50" s="66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553</v>
      </c>
      <c r="B3" s="383"/>
      <c r="C3" s="383"/>
      <c r="D3" s="383"/>
      <c r="E3" s="383"/>
      <c r="F3" s="383"/>
      <c r="G3" s="383"/>
      <c r="H3" s="383"/>
      <c r="I3" s="383"/>
      <c r="J3" s="383"/>
      <c r="K3" s="383"/>
      <c r="L3" s="383"/>
    </row>
    <row r="5" ht="15">
      <c r="A5" s="384" t="s">
        <v>554</v>
      </c>
    </row>
    <row r="6" ht="15">
      <c r="A6" s="384" t="str">
        <f>CONCATENATE(inputPrYr!D6-2," 'total expenditures' exceed your ",inputPrYr!D6-2," 'budget authority.'")</f>
        <v>2010 'total expenditures' exceed your 2010 'budget authority.'</v>
      </c>
    </row>
    <row r="7" ht="15">
      <c r="A7" s="384"/>
    </row>
    <row r="8" ht="15">
      <c r="A8" s="384" t="s">
        <v>555</v>
      </c>
    </row>
    <row r="9" ht="15">
      <c r="A9" s="384" t="s">
        <v>556</v>
      </c>
    </row>
    <row r="10" ht="15">
      <c r="A10" s="384" t="s">
        <v>557</v>
      </c>
    </row>
    <row r="11" ht="15">
      <c r="A11" s="384"/>
    </row>
    <row r="12" ht="15">
      <c r="A12" s="384"/>
    </row>
    <row r="13" ht="15">
      <c r="A13" s="385" t="s">
        <v>558</v>
      </c>
    </row>
    <row r="15" ht="15">
      <c r="A15" s="384" t="s">
        <v>559</v>
      </c>
    </row>
    <row r="16" ht="15">
      <c r="A16" s="384" t="str">
        <f>CONCATENATE("(i.e. an audit has not been completed, or the ",inputPrYr!D6," adopted")</f>
        <v>(i.e. an audit has not been completed, or the 2012 adopted</v>
      </c>
    </row>
    <row r="17" ht="15">
      <c r="A17" s="384" t="s">
        <v>560</v>
      </c>
    </row>
    <row r="18" ht="15">
      <c r="A18" s="384" t="s">
        <v>561</v>
      </c>
    </row>
    <row r="19" ht="15">
      <c r="A19" s="384" t="s">
        <v>562</v>
      </c>
    </row>
    <row r="21" ht="15">
      <c r="A21" s="385" t="s">
        <v>563</v>
      </c>
    </row>
    <row r="22" ht="15">
      <c r="A22" s="385"/>
    </row>
    <row r="23" ht="15">
      <c r="A23" s="384" t="s">
        <v>564</v>
      </c>
    </row>
    <row r="24" ht="15">
      <c r="A24" s="384" t="s">
        <v>565</v>
      </c>
    </row>
    <row r="25" ht="15">
      <c r="A25" s="384" t="str">
        <f>CONCATENATE("particular fund.  If your ",inputPrYr!D6-2," budget was amended, did you")</f>
        <v>particular fund.  If your 2010 budget was amended, did you</v>
      </c>
    </row>
    <row r="26" ht="15">
      <c r="A26" s="384" t="s">
        <v>566</v>
      </c>
    </row>
    <row r="27" ht="15">
      <c r="A27" s="384"/>
    </row>
    <row r="28" ht="15">
      <c r="A28" s="384" t="str">
        <f>CONCATENATE("Next, look to see if any of your ",inputPrYr!D6-2," expenditures can be")</f>
        <v>Next, look to see if any of your 2010 expenditures can be</v>
      </c>
    </row>
    <row r="29" ht="15">
      <c r="A29" s="384" t="s">
        <v>567</v>
      </c>
    </row>
    <row r="30" ht="15">
      <c r="A30" s="384" t="s">
        <v>568</v>
      </c>
    </row>
    <row r="31" ht="15">
      <c r="A31" s="384" t="s">
        <v>569</v>
      </c>
    </row>
    <row r="32" ht="15">
      <c r="A32" s="384"/>
    </row>
    <row r="33" ht="15">
      <c r="A33" s="384" t="str">
        <f>CONCATENATE("Additionally, do your ",inputPrYr!D6-2," receipts contain a reimbursement")</f>
        <v>Additionally, do your 2010 receipts contain a reimbursement</v>
      </c>
    </row>
    <row r="34" ht="15">
      <c r="A34" s="384" t="s">
        <v>570</v>
      </c>
    </row>
    <row r="35" ht="15">
      <c r="A35" s="384" t="s">
        <v>571</v>
      </c>
    </row>
    <row r="36" ht="15">
      <c r="A36" s="384"/>
    </row>
    <row r="37" ht="15">
      <c r="A37" s="384" t="s">
        <v>575</v>
      </c>
    </row>
    <row r="38" ht="15">
      <c r="A38" s="384" t="s">
        <v>576</v>
      </c>
    </row>
    <row r="39" ht="15">
      <c r="A39" s="384" t="s">
        <v>577</v>
      </c>
    </row>
    <row r="40" ht="15">
      <c r="A40" s="384"/>
    </row>
    <row r="41" ht="15">
      <c r="A41" s="385" t="s">
        <v>578</v>
      </c>
    </row>
    <row r="42" ht="15">
      <c r="A42" s="384"/>
    </row>
    <row r="43" ht="15">
      <c r="A43" s="384" t="s">
        <v>579</v>
      </c>
    </row>
    <row r="44" ht="15">
      <c r="A44" s="384" t="s">
        <v>580</v>
      </c>
    </row>
    <row r="45" ht="15">
      <c r="A45" s="384" t="s">
        <v>581</v>
      </c>
    </row>
    <row r="46" ht="15">
      <c r="A46" s="384" t="s">
        <v>582</v>
      </c>
    </row>
    <row r="47" ht="15">
      <c r="A47" s="384" t="s">
        <v>583</v>
      </c>
    </row>
    <row r="48" ht="15">
      <c r="A48" s="384" t="s">
        <v>584</v>
      </c>
    </row>
    <row r="49" ht="15">
      <c r="A49" s="384" t="s">
        <v>585</v>
      </c>
    </row>
    <row r="50" ht="15">
      <c r="A50" s="384" t="s">
        <v>586</v>
      </c>
    </row>
    <row r="51" ht="15">
      <c r="A51" s="384" t="s">
        <v>587</v>
      </c>
    </row>
    <row r="52" ht="15">
      <c r="A52" s="384" t="s">
        <v>588</v>
      </c>
    </row>
    <row r="53" ht="15">
      <c r="A53" s="384" t="s">
        <v>589</v>
      </c>
    </row>
    <row r="54" ht="15">
      <c r="A54" s="384" t="s">
        <v>590</v>
      </c>
    </row>
    <row r="55" ht="15">
      <c r="A55" s="384" t="s">
        <v>591</v>
      </c>
    </row>
    <row r="56" ht="15">
      <c r="A56" s="384"/>
    </row>
    <row r="57" ht="15">
      <c r="A57" s="384" t="s">
        <v>592</v>
      </c>
    </row>
    <row r="58" ht="15">
      <c r="A58" s="384" t="s">
        <v>593</v>
      </c>
    </row>
    <row r="59" ht="15">
      <c r="A59" s="384" t="s">
        <v>594</v>
      </c>
    </row>
    <row r="60" ht="15">
      <c r="A60" s="384"/>
    </row>
    <row r="61" ht="15">
      <c r="A61" s="385" t="str">
        <f>CONCATENATE("What if the ",inputPrYr!D6-2," financial records have been closed?")</f>
        <v>What if the 2010 financial records have been closed?</v>
      </c>
    </row>
    <row r="63" ht="15">
      <c r="A63" s="384" t="s">
        <v>595</v>
      </c>
    </row>
    <row r="64" ht="15">
      <c r="A64" s="384" t="str">
        <f>CONCATENATE("(i.e. an audit for ",inputPrYr!D6-2," has been completed, or the ",inputPrYr!D6)</f>
        <v>(i.e. an audit for 2010 has been completed, or the 2012</v>
      </c>
    </row>
    <row r="65" ht="15">
      <c r="A65" s="384" t="s">
        <v>596</v>
      </c>
    </row>
    <row r="66" ht="15">
      <c r="A66" s="384" t="s">
        <v>597</v>
      </c>
    </row>
    <row r="67" ht="15">
      <c r="A67" s="384"/>
    </row>
    <row r="68" ht="15">
      <c r="A68" s="384" t="s">
        <v>598</v>
      </c>
    </row>
    <row r="69" ht="15">
      <c r="A69" s="384" t="s">
        <v>599</v>
      </c>
    </row>
    <row r="70" ht="15">
      <c r="A70" s="384" t="s">
        <v>600</v>
      </c>
    </row>
    <row r="71" ht="15">
      <c r="A71" s="384"/>
    </row>
    <row r="72" ht="15">
      <c r="A72" s="384" t="s">
        <v>601</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602</v>
      </c>
      <c r="B3" s="383"/>
      <c r="C3" s="383"/>
      <c r="D3" s="383"/>
      <c r="E3" s="383"/>
      <c r="F3" s="383"/>
      <c r="G3" s="383"/>
      <c r="H3" s="386"/>
      <c r="I3" s="386"/>
      <c r="J3" s="386"/>
    </row>
    <row r="5" ht="15">
      <c r="A5" s="384" t="s">
        <v>603</v>
      </c>
    </row>
    <row r="6" ht="15">
      <c r="A6" t="str">
        <f>CONCATENATE(inputPrYr!D6-2," expenditures show that you finished the year with a ")</f>
        <v>2010 expenditures show that you finished the year with a </v>
      </c>
    </row>
    <row r="7" ht="15">
      <c r="A7" t="s">
        <v>604</v>
      </c>
    </row>
    <row r="9" ht="15">
      <c r="A9" t="s">
        <v>605</v>
      </c>
    </row>
    <row r="10" ht="15">
      <c r="A10" t="s">
        <v>606</v>
      </c>
    </row>
    <row r="11" ht="15">
      <c r="A11" t="s">
        <v>607</v>
      </c>
    </row>
    <row r="13" ht="15">
      <c r="A13" s="385" t="s">
        <v>608</v>
      </c>
    </row>
    <row r="14" ht="15">
      <c r="A14" s="385"/>
    </row>
    <row r="15" ht="15">
      <c r="A15" s="384" t="s">
        <v>609</v>
      </c>
    </row>
    <row r="16" ht="15">
      <c r="A16" s="384" t="s">
        <v>610</v>
      </c>
    </row>
    <row r="17" ht="15">
      <c r="A17" s="384" t="s">
        <v>611</v>
      </c>
    </row>
    <row r="18" ht="15">
      <c r="A18" s="384"/>
    </row>
    <row r="19" ht="15">
      <c r="A19" s="385" t="s">
        <v>612</v>
      </c>
    </row>
    <row r="20" ht="15">
      <c r="A20" s="385"/>
    </row>
    <row r="21" ht="15">
      <c r="A21" s="384" t="s">
        <v>613</v>
      </c>
    </row>
    <row r="22" ht="15">
      <c r="A22" s="384" t="s">
        <v>614</v>
      </c>
    </row>
    <row r="23" ht="15">
      <c r="A23" s="384" t="s">
        <v>615</v>
      </c>
    </row>
    <row r="24" ht="15">
      <c r="A24" s="384"/>
    </row>
    <row r="25" ht="15">
      <c r="A25" s="385" t="s">
        <v>616</v>
      </c>
    </row>
    <row r="26" ht="15">
      <c r="A26" s="385"/>
    </row>
    <row r="27" ht="15">
      <c r="A27" s="384" t="s">
        <v>617</v>
      </c>
    </row>
    <row r="28" ht="15">
      <c r="A28" s="384" t="s">
        <v>618</v>
      </c>
    </row>
    <row r="29" ht="15">
      <c r="A29" s="384" t="s">
        <v>619</v>
      </c>
    </row>
    <row r="30" ht="15">
      <c r="A30" s="384"/>
    </row>
    <row r="31" ht="15">
      <c r="A31" s="385" t="s">
        <v>620</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621</v>
      </c>
      <c r="B35" s="384"/>
      <c r="C35" s="384"/>
      <c r="D35" s="384"/>
      <c r="E35" s="384"/>
      <c r="F35" s="384"/>
      <c r="G35" s="384"/>
      <c r="H35" s="384"/>
    </row>
    <row r="36" spans="1:8" ht="15">
      <c r="A36" s="384" t="s">
        <v>622</v>
      </c>
      <c r="B36" s="384"/>
      <c r="C36" s="384"/>
      <c r="D36" s="384"/>
      <c r="E36" s="384"/>
      <c r="F36" s="384"/>
      <c r="G36" s="384"/>
      <c r="H36" s="384"/>
    </row>
    <row r="37" spans="1:8" ht="15">
      <c r="A37" s="384" t="s">
        <v>623</v>
      </c>
      <c r="B37" s="384"/>
      <c r="C37" s="384"/>
      <c r="D37" s="384"/>
      <c r="E37" s="384"/>
      <c r="F37" s="384"/>
      <c r="G37" s="384"/>
      <c r="H37" s="384"/>
    </row>
    <row r="38" spans="1:8" ht="15">
      <c r="A38" s="384" t="s">
        <v>624</v>
      </c>
      <c r="B38" s="384"/>
      <c r="C38" s="384"/>
      <c r="D38" s="384"/>
      <c r="E38" s="384"/>
      <c r="F38" s="384"/>
      <c r="G38" s="384"/>
      <c r="H38" s="384"/>
    </row>
    <row r="39" spans="1:8" ht="15">
      <c r="A39" s="384" t="s">
        <v>625</v>
      </c>
      <c r="B39" s="384"/>
      <c r="C39" s="384"/>
      <c r="D39" s="384"/>
      <c r="E39" s="384"/>
      <c r="F39" s="384"/>
      <c r="G39" s="384"/>
      <c r="H39" s="384"/>
    </row>
    <row r="40" spans="1:8" ht="15">
      <c r="A40" s="384"/>
      <c r="B40" s="384"/>
      <c r="C40" s="384"/>
      <c r="D40" s="384"/>
      <c r="E40" s="384"/>
      <c r="F40" s="384"/>
      <c r="G40" s="384"/>
      <c r="H40" s="384"/>
    </row>
    <row r="41" spans="1:8" ht="15">
      <c r="A41" s="384" t="s">
        <v>626</v>
      </c>
      <c r="B41" s="384"/>
      <c r="C41" s="384"/>
      <c r="D41" s="384"/>
      <c r="E41" s="384"/>
      <c r="F41" s="384"/>
      <c r="G41" s="384"/>
      <c r="H41" s="384"/>
    </row>
    <row r="42" spans="1:8" ht="15">
      <c r="A42" s="384" t="s">
        <v>627</v>
      </c>
      <c r="B42" s="384"/>
      <c r="C42" s="384"/>
      <c r="D42" s="384"/>
      <c r="E42" s="384"/>
      <c r="F42" s="384"/>
      <c r="G42" s="384"/>
      <c r="H42" s="384"/>
    </row>
    <row r="43" spans="1:8" ht="15">
      <c r="A43" s="384" t="s">
        <v>628</v>
      </c>
      <c r="B43" s="384"/>
      <c r="C43" s="384"/>
      <c r="D43" s="384"/>
      <c r="E43" s="384"/>
      <c r="F43" s="384"/>
      <c r="G43" s="384"/>
      <c r="H43" s="384"/>
    </row>
    <row r="44" spans="1:8" ht="15">
      <c r="A44" s="384" t="s">
        <v>629</v>
      </c>
      <c r="B44" s="384"/>
      <c r="C44" s="384"/>
      <c r="D44" s="384"/>
      <c r="E44" s="384"/>
      <c r="F44" s="384"/>
      <c r="G44" s="384"/>
      <c r="H44" s="384"/>
    </row>
    <row r="45" spans="1:8" ht="15">
      <c r="A45" s="384"/>
      <c r="B45" s="384"/>
      <c r="C45" s="384"/>
      <c r="D45" s="384"/>
      <c r="E45" s="384"/>
      <c r="F45" s="384"/>
      <c r="G45" s="384"/>
      <c r="H45" s="384"/>
    </row>
    <row r="46" spans="1:8" ht="15">
      <c r="A46" s="384" t="s">
        <v>630</v>
      </c>
      <c r="B46" s="384"/>
      <c r="C46" s="384"/>
      <c r="D46" s="384"/>
      <c r="E46" s="384"/>
      <c r="F46" s="384"/>
      <c r="G46" s="384"/>
      <c r="H46" s="384"/>
    </row>
    <row r="47" spans="1:8" ht="15">
      <c r="A47" s="384" t="s">
        <v>631</v>
      </c>
      <c r="B47" s="384"/>
      <c r="C47" s="384"/>
      <c r="D47" s="384"/>
      <c r="E47" s="384"/>
      <c r="F47" s="384"/>
      <c r="G47" s="384"/>
      <c r="H47" s="384"/>
    </row>
    <row r="48" spans="1:8" ht="15">
      <c r="A48" s="384" t="s">
        <v>632</v>
      </c>
      <c r="B48" s="384"/>
      <c r="C48" s="384"/>
      <c r="D48" s="384"/>
      <c r="E48" s="384"/>
      <c r="F48" s="384"/>
      <c r="G48" s="384"/>
      <c r="H48" s="384"/>
    </row>
    <row r="49" spans="1:8" ht="15">
      <c r="A49" s="384" t="s">
        <v>633</v>
      </c>
      <c r="B49" s="384"/>
      <c r="C49" s="384"/>
      <c r="D49" s="384"/>
      <c r="E49" s="384"/>
      <c r="F49" s="384"/>
      <c r="G49" s="384"/>
      <c r="H49" s="384"/>
    </row>
    <row r="50" spans="1:8" ht="15">
      <c r="A50" s="384" t="s">
        <v>634</v>
      </c>
      <c r="B50" s="384"/>
      <c r="C50" s="384"/>
      <c r="D50" s="384"/>
      <c r="E50" s="384"/>
      <c r="F50" s="384"/>
      <c r="G50" s="384"/>
      <c r="H50" s="384"/>
    </row>
    <row r="51" spans="1:8" ht="15">
      <c r="A51" s="384"/>
      <c r="B51" s="384"/>
      <c r="C51" s="384"/>
      <c r="D51" s="384"/>
      <c r="E51" s="384"/>
      <c r="F51" s="384"/>
      <c r="G51" s="384"/>
      <c r="H51" s="384"/>
    </row>
    <row r="52" spans="1:8" ht="15">
      <c r="A52" s="385" t="s">
        <v>635</v>
      </c>
      <c r="B52" s="385"/>
      <c r="C52" s="385"/>
      <c r="D52" s="385"/>
      <c r="E52" s="385"/>
      <c r="F52" s="385"/>
      <c r="G52" s="385"/>
      <c r="H52" s="384"/>
    </row>
    <row r="53" spans="1:8" ht="15">
      <c r="A53" s="385" t="s">
        <v>636</v>
      </c>
      <c r="B53" s="385"/>
      <c r="C53" s="385"/>
      <c r="D53" s="385"/>
      <c r="E53" s="385"/>
      <c r="F53" s="385"/>
      <c r="G53" s="385"/>
      <c r="H53" s="384"/>
    </row>
    <row r="54" spans="1:8" ht="15">
      <c r="A54" s="384"/>
      <c r="B54" s="384"/>
      <c r="C54" s="384"/>
      <c r="D54" s="384"/>
      <c r="E54" s="384"/>
      <c r="F54" s="384"/>
      <c r="G54" s="384"/>
      <c r="H54" s="384"/>
    </row>
    <row r="55" spans="1:8" ht="15">
      <c r="A55" s="384" t="s">
        <v>637</v>
      </c>
      <c r="B55" s="384"/>
      <c r="C55" s="384"/>
      <c r="D55" s="384"/>
      <c r="E55" s="384"/>
      <c r="F55" s="384"/>
      <c r="G55" s="384"/>
      <c r="H55" s="384"/>
    </row>
    <row r="56" spans="1:8" ht="15">
      <c r="A56" s="384" t="s">
        <v>638</v>
      </c>
      <c r="B56" s="384"/>
      <c r="C56" s="384"/>
      <c r="D56" s="384"/>
      <c r="E56" s="384"/>
      <c r="F56" s="384"/>
      <c r="G56" s="384"/>
      <c r="H56" s="384"/>
    </row>
    <row r="57" spans="1:8" ht="15">
      <c r="A57" s="384" t="s">
        <v>639</v>
      </c>
      <c r="B57" s="384"/>
      <c r="C57" s="384"/>
      <c r="D57" s="384"/>
      <c r="E57" s="384"/>
      <c r="F57" s="384"/>
      <c r="G57" s="384"/>
      <c r="H57" s="384"/>
    </row>
    <row r="58" spans="1:8" ht="15">
      <c r="A58" s="384" t="s">
        <v>640</v>
      </c>
      <c r="B58" s="384"/>
      <c r="C58" s="384"/>
      <c r="D58" s="384"/>
      <c r="E58" s="384"/>
      <c r="F58" s="384"/>
      <c r="G58" s="384"/>
      <c r="H58" s="384"/>
    </row>
    <row r="59" spans="1:8" ht="15">
      <c r="A59" s="384"/>
      <c r="B59" s="384"/>
      <c r="C59" s="384"/>
      <c r="D59" s="384"/>
      <c r="E59" s="384"/>
      <c r="F59" s="384"/>
      <c r="G59" s="384"/>
      <c r="H59" s="384"/>
    </row>
    <row r="60" spans="1:8" ht="15">
      <c r="A60" s="384" t="s">
        <v>641</v>
      </c>
      <c r="B60" s="384"/>
      <c r="C60" s="384"/>
      <c r="D60" s="384"/>
      <c r="E60" s="384"/>
      <c r="F60" s="384"/>
      <c r="G60" s="384"/>
      <c r="H60" s="384"/>
    </row>
    <row r="61" spans="1:8" ht="15">
      <c r="A61" s="384" t="s">
        <v>642</v>
      </c>
      <c r="B61" s="384"/>
      <c r="C61" s="384"/>
      <c r="D61" s="384"/>
      <c r="E61" s="384"/>
      <c r="F61" s="384"/>
      <c r="G61" s="384"/>
      <c r="H61" s="384"/>
    </row>
    <row r="62" spans="1:8" ht="15">
      <c r="A62" s="384" t="s">
        <v>643</v>
      </c>
      <c r="B62" s="384"/>
      <c r="C62" s="384"/>
      <c r="D62" s="384"/>
      <c r="E62" s="384"/>
      <c r="F62" s="384"/>
      <c r="G62" s="384"/>
      <c r="H62" s="384"/>
    </row>
    <row r="63" spans="1:8" ht="15">
      <c r="A63" s="384" t="s">
        <v>644</v>
      </c>
      <c r="B63" s="384"/>
      <c r="C63" s="384"/>
      <c r="D63" s="384"/>
      <c r="E63" s="384"/>
      <c r="F63" s="384"/>
      <c r="G63" s="384"/>
      <c r="H63" s="384"/>
    </row>
    <row r="64" spans="1:8" ht="15">
      <c r="A64" s="384" t="s">
        <v>645</v>
      </c>
      <c r="B64" s="384"/>
      <c r="C64" s="384"/>
      <c r="D64" s="384"/>
      <c r="E64" s="384"/>
      <c r="F64" s="384"/>
      <c r="G64" s="384"/>
      <c r="H64" s="384"/>
    </row>
    <row r="65" spans="1:8" ht="15">
      <c r="A65" s="384" t="s">
        <v>646</v>
      </c>
      <c r="B65" s="384"/>
      <c r="C65" s="384"/>
      <c r="D65" s="384"/>
      <c r="E65" s="384"/>
      <c r="F65" s="384"/>
      <c r="G65" s="384"/>
      <c r="H65" s="384"/>
    </row>
    <row r="66" spans="1:8" ht="15">
      <c r="A66" s="384"/>
      <c r="B66" s="384"/>
      <c r="C66" s="384"/>
      <c r="D66" s="384"/>
      <c r="E66" s="384"/>
      <c r="F66" s="384"/>
      <c r="G66" s="384"/>
      <c r="H66" s="384"/>
    </row>
    <row r="67" spans="1:8" ht="15">
      <c r="A67" s="384" t="s">
        <v>647</v>
      </c>
      <c r="B67" s="384"/>
      <c r="C67" s="384"/>
      <c r="D67" s="384"/>
      <c r="E67" s="384"/>
      <c r="F67" s="384"/>
      <c r="G67" s="384"/>
      <c r="H67" s="384"/>
    </row>
    <row r="68" spans="1:8" ht="15">
      <c r="A68" s="384" t="s">
        <v>648</v>
      </c>
      <c r="B68" s="384"/>
      <c r="C68" s="384"/>
      <c r="D68" s="384"/>
      <c r="E68" s="384"/>
      <c r="F68" s="384"/>
      <c r="G68" s="384"/>
      <c r="H68" s="384"/>
    </row>
    <row r="69" spans="1:8" ht="15">
      <c r="A69" s="384" t="s">
        <v>649</v>
      </c>
      <c r="B69" s="384"/>
      <c r="C69" s="384"/>
      <c r="D69" s="384"/>
      <c r="E69" s="384"/>
      <c r="F69" s="384"/>
      <c r="G69" s="384"/>
      <c r="H69" s="384"/>
    </row>
    <row r="70" spans="1:8" ht="15">
      <c r="A70" s="384" t="s">
        <v>650</v>
      </c>
      <c r="B70" s="384"/>
      <c r="C70" s="384"/>
      <c r="D70" s="384"/>
      <c r="E70" s="384"/>
      <c r="F70" s="384"/>
      <c r="G70" s="384"/>
      <c r="H70" s="384"/>
    </row>
    <row r="71" spans="1:8" ht="15">
      <c r="A71" s="384" t="s">
        <v>651</v>
      </c>
      <c r="B71" s="384"/>
      <c r="C71" s="384"/>
      <c r="D71" s="384"/>
      <c r="E71" s="384"/>
      <c r="F71" s="384"/>
      <c r="G71" s="384"/>
      <c r="H71" s="384"/>
    </row>
    <row r="72" spans="1:8" ht="15">
      <c r="A72" s="384" t="s">
        <v>652</v>
      </c>
      <c r="B72" s="384"/>
      <c r="C72" s="384"/>
      <c r="D72" s="384"/>
      <c r="E72" s="384"/>
      <c r="F72" s="384"/>
      <c r="G72" s="384"/>
      <c r="H72" s="384"/>
    </row>
    <row r="73" spans="1:8" ht="15">
      <c r="A73" s="384" t="s">
        <v>653</v>
      </c>
      <c r="B73" s="384"/>
      <c r="C73" s="384"/>
      <c r="D73" s="384"/>
      <c r="E73" s="384"/>
      <c r="F73" s="384"/>
      <c r="G73" s="384"/>
      <c r="H73" s="384"/>
    </row>
    <row r="74" spans="1:8" ht="15">
      <c r="A74" s="384"/>
      <c r="B74" s="384"/>
      <c r="C74" s="384"/>
      <c r="D74" s="384"/>
      <c r="E74" s="384"/>
      <c r="F74" s="384"/>
      <c r="G74" s="384"/>
      <c r="H74" s="384"/>
    </row>
    <row r="75" spans="1:8" ht="15">
      <c r="A75" s="384" t="s">
        <v>654</v>
      </c>
      <c r="B75" s="384"/>
      <c r="C75" s="384"/>
      <c r="D75" s="384"/>
      <c r="E75" s="384"/>
      <c r="F75" s="384"/>
      <c r="G75" s="384"/>
      <c r="H75" s="384"/>
    </row>
    <row r="76" spans="1:8" ht="15">
      <c r="A76" s="384" t="s">
        <v>655</v>
      </c>
      <c r="B76" s="384"/>
      <c r="C76" s="384"/>
      <c r="D76" s="384"/>
      <c r="E76" s="384"/>
      <c r="F76" s="384"/>
      <c r="G76" s="384"/>
      <c r="H76" s="384"/>
    </row>
    <row r="77" spans="1:8" ht="15">
      <c r="A77" s="384" t="s">
        <v>656</v>
      </c>
      <c r="B77" s="384"/>
      <c r="C77" s="384"/>
      <c r="D77" s="384"/>
      <c r="E77" s="384"/>
      <c r="F77" s="384"/>
      <c r="G77" s="384"/>
      <c r="H77" s="384"/>
    </row>
    <row r="78" spans="1:8" ht="15">
      <c r="A78" s="384"/>
      <c r="B78" s="384"/>
      <c r="C78" s="384"/>
      <c r="D78" s="384"/>
      <c r="E78" s="384"/>
      <c r="F78" s="384"/>
      <c r="G78" s="384"/>
      <c r="H78" s="384"/>
    </row>
    <row r="79" ht="15">
      <c r="A79" s="384" t="s">
        <v>601</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657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554</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658</v>
      </c>
      <c r="I7" s="383"/>
      <c r="J7" s="383"/>
      <c r="K7" s="383"/>
      <c r="L7" s="383"/>
    </row>
    <row r="8" spans="1:12" ht="15">
      <c r="A8" s="384"/>
      <c r="I8" s="383"/>
      <c r="J8" s="383"/>
      <c r="K8" s="383"/>
      <c r="L8" s="383"/>
    </row>
    <row r="9" spans="1:12" ht="15">
      <c r="A9" s="384" t="s">
        <v>659</v>
      </c>
      <c r="I9" s="383"/>
      <c r="J9" s="383"/>
      <c r="K9" s="383"/>
      <c r="L9" s="383"/>
    </row>
    <row r="10" spans="1:12" ht="15">
      <c r="A10" s="384" t="s">
        <v>660</v>
      </c>
      <c r="I10" s="383"/>
      <c r="J10" s="383"/>
      <c r="K10" s="383"/>
      <c r="L10" s="383"/>
    </row>
    <row r="11" spans="1:12" ht="15">
      <c r="A11" s="384" t="s">
        <v>661</v>
      </c>
      <c r="I11" s="383"/>
      <c r="J11" s="383"/>
      <c r="K11" s="383"/>
      <c r="L11" s="383"/>
    </row>
    <row r="12" spans="1:12" ht="15">
      <c r="A12" s="384" t="s">
        <v>662</v>
      </c>
      <c r="I12" s="383"/>
      <c r="J12" s="383"/>
      <c r="K12" s="383"/>
      <c r="L12" s="383"/>
    </row>
    <row r="13" spans="1:12" ht="15">
      <c r="A13" s="384" t="s">
        <v>663</v>
      </c>
      <c r="I13" s="383"/>
      <c r="J13" s="383"/>
      <c r="K13" s="383"/>
      <c r="L13" s="383"/>
    </row>
    <row r="14" spans="1:12" ht="15">
      <c r="A14" s="383"/>
      <c r="B14" s="383"/>
      <c r="C14" s="383"/>
      <c r="D14" s="383"/>
      <c r="E14" s="383"/>
      <c r="F14" s="383"/>
      <c r="G14" s="383"/>
      <c r="H14" s="383"/>
      <c r="I14" s="383"/>
      <c r="J14" s="383"/>
      <c r="K14" s="383"/>
      <c r="L14" s="383"/>
    </row>
    <row r="15" ht="15">
      <c r="A15" s="385" t="s">
        <v>664</v>
      </c>
    </row>
    <row r="16" ht="15">
      <c r="A16" s="385" t="s">
        <v>665</v>
      </c>
    </row>
    <row r="17" ht="15">
      <c r="A17" s="385"/>
    </row>
    <row r="18" spans="1:7" ht="15">
      <c r="A18" s="384" t="s">
        <v>666</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667</v>
      </c>
      <c r="B20" s="384"/>
      <c r="C20" s="384"/>
      <c r="D20" s="384"/>
      <c r="E20" s="384"/>
      <c r="F20" s="384"/>
      <c r="G20" s="384"/>
    </row>
    <row r="21" spans="1:7" ht="15">
      <c r="A21" s="384" t="s">
        <v>668</v>
      </c>
      <c r="B21" s="384"/>
      <c r="C21" s="384"/>
      <c r="D21" s="384"/>
      <c r="E21" s="384"/>
      <c r="F21" s="384"/>
      <c r="G21" s="384"/>
    </row>
    <row r="22" ht="15">
      <c r="A22" s="384"/>
    </row>
    <row r="23" ht="15">
      <c r="A23" s="385" t="s">
        <v>669</v>
      </c>
    </row>
    <row r="24" ht="15">
      <c r="A24" s="385"/>
    </row>
    <row r="25" ht="15">
      <c r="A25" s="384" t="s">
        <v>670</v>
      </c>
    </row>
    <row r="26" spans="1:6" ht="15">
      <c r="A26" s="384" t="s">
        <v>671</v>
      </c>
      <c r="B26" s="384"/>
      <c r="C26" s="384"/>
      <c r="D26" s="384"/>
      <c r="E26" s="384"/>
      <c r="F26" s="384"/>
    </row>
    <row r="27" spans="1:6" ht="15">
      <c r="A27" s="384" t="s">
        <v>672</v>
      </c>
      <c r="B27" s="384"/>
      <c r="C27" s="384"/>
      <c r="D27" s="384"/>
      <c r="E27" s="384"/>
      <c r="F27" s="384"/>
    </row>
    <row r="28" spans="1:6" ht="15">
      <c r="A28" s="384" t="s">
        <v>673</v>
      </c>
      <c r="B28" s="384"/>
      <c r="C28" s="384"/>
      <c r="D28" s="384"/>
      <c r="E28" s="384"/>
      <c r="F28" s="384"/>
    </row>
    <row r="29" spans="1:6" ht="15">
      <c r="A29" s="384"/>
      <c r="B29" s="384"/>
      <c r="C29" s="384"/>
      <c r="D29" s="384"/>
      <c r="E29" s="384"/>
      <c r="F29" s="384"/>
    </row>
    <row r="30" spans="1:7" ht="15">
      <c r="A30" s="385" t="s">
        <v>674</v>
      </c>
      <c r="B30" s="385"/>
      <c r="C30" s="385"/>
      <c r="D30" s="385"/>
      <c r="E30" s="385"/>
      <c r="F30" s="385"/>
      <c r="G30" s="385"/>
    </row>
    <row r="31" spans="1:7" ht="15">
      <c r="A31" s="385" t="s">
        <v>675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676</v>
      </c>
      <c r="B34" s="384"/>
      <c r="C34" s="384"/>
      <c r="D34" s="384"/>
      <c r="E34" s="384"/>
      <c r="F34" s="384"/>
    </row>
    <row r="35" spans="1:6" ht="15">
      <c r="A35" s="376" t="s">
        <v>568</v>
      </c>
      <c r="B35" s="384"/>
      <c r="C35" s="384"/>
      <c r="D35" s="384"/>
      <c r="E35" s="384"/>
      <c r="F35" s="384"/>
    </row>
    <row r="36" spans="1:6" ht="15">
      <c r="A36" s="376" t="s">
        <v>569</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570</v>
      </c>
      <c r="B39" s="384"/>
      <c r="C39" s="384"/>
      <c r="D39" s="384"/>
      <c r="E39" s="384"/>
      <c r="F39" s="384"/>
    </row>
    <row r="40" spans="1:6" ht="15">
      <c r="A40" s="376" t="s">
        <v>571</v>
      </c>
      <c r="B40" s="384"/>
      <c r="C40" s="384"/>
      <c r="D40" s="384"/>
      <c r="E40" s="384"/>
      <c r="F40" s="384"/>
    </row>
    <row r="41" spans="1:6" ht="15">
      <c r="A41" s="376"/>
      <c r="B41" s="384"/>
      <c r="C41" s="384"/>
      <c r="D41" s="384"/>
      <c r="E41" s="384"/>
      <c r="F41" s="384"/>
    </row>
    <row r="42" spans="1:6" ht="15">
      <c r="A42" s="376" t="s">
        <v>677</v>
      </c>
      <c r="B42" s="384"/>
      <c r="C42" s="384"/>
      <c r="D42" s="384"/>
      <c r="E42" s="384"/>
      <c r="F42" s="384"/>
    </row>
    <row r="43" spans="1:6" ht="15">
      <c r="A43" s="376" t="s">
        <v>678</v>
      </c>
      <c r="B43" s="384"/>
      <c r="C43" s="384"/>
      <c r="D43" s="384"/>
      <c r="E43" s="384"/>
      <c r="F43" s="384"/>
    </row>
    <row r="44" spans="1:6" ht="15">
      <c r="A44" s="376" t="s">
        <v>679</v>
      </c>
      <c r="B44" s="384"/>
      <c r="C44" s="384"/>
      <c r="D44" s="384"/>
      <c r="E44" s="384"/>
      <c r="F44" s="384"/>
    </row>
    <row r="45" spans="1:6" ht="15">
      <c r="A45" s="376" t="s">
        <v>680</v>
      </c>
      <c r="B45" s="384"/>
      <c r="C45" s="384"/>
      <c r="D45" s="384"/>
      <c r="E45" s="384"/>
      <c r="F45" s="384"/>
    </row>
    <row r="46" spans="1:6" ht="15">
      <c r="A46" s="376" t="s">
        <v>681</v>
      </c>
      <c r="B46" s="384"/>
      <c r="C46" s="384"/>
      <c r="D46" s="384"/>
      <c r="E46" s="384"/>
      <c r="F46" s="384"/>
    </row>
    <row r="47" spans="1:6" ht="15">
      <c r="A47" s="376"/>
      <c r="B47" s="384"/>
      <c r="C47" s="384"/>
      <c r="D47" s="384"/>
      <c r="E47" s="384"/>
      <c r="F47" s="384"/>
    </row>
    <row r="48" spans="1:6" ht="15">
      <c r="A48" s="377" t="s">
        <v>682</v>
      </c>
      <c r="B48" s="384"/>
      <c r="C48" s="384"/>
      <c r="D48" s="384"/>
      <c r="E48" s="384"/>
      <c r="F48" s="384"/>
    </row>
    <row r="49" spans="1:6" ht="15">
      <c r="A49" s="377" t="s">
        <v>683</v>
      </c>
      <c r="B49" s="384"/>
      <c r="C49" s="384"/>
      <c r="D49" s="384"/>
      <c r="E49" s="384"/>
      <c r="F49" s="384"/>
    </row>
    <row r="50" spans="1:6" ht="15">
      <c r="A50" s="377" t="s">
        <v>684</v>
      </c>
      <c r="B50" s="384"/>
      <c r="C50" s="384"/>
      <c r="D50" s="384"/>
      <c r="E50" s="384"/>
      <c r="F50" s="384"/>
    </row>
    <row r="51" ht="15">
      <c r="A51" s="377" t="s">
        <v>685</v>
      </c>
    </row>
    <row r="52" ht="15">
      <c r="A52" s="377" t="s">
        <v>686</v>
      </c>
    </row>
    <row r="53" ht="15">
      <c r="A53" s="377" t="s">
        <v>687</v>
      </c>
    </row>
    <row r="55" ht="15">
      <c r="A55" s="384" t="s">
        <v>688</v>
      </c>
    </row>
    <row r="56" ht="15">
      <c r="A56" s="384" t="s">
        <v>689</v>
      </c>
    </row>
    <row r="57" ht="15">
      <c r="A57" s="384" t="s">
        <v>690</v>
      </c>
    </row>
    <row r="58" ht="15">
      <c r="A58" s="384" t="s">
        <v>691</v>
      </c>
    </row>
    <row r="59" ht="15">
      <c r="A59" s="384" t="s">
        <v>692</v>
      </c>
    </row>
    <row r="60" ht="15">
      <c r="A60" s="384" t="s">
        <v>693</v>
      </c>
    </row>
    <row r="62" ht="15">
      <c r="A62" s="384" t="s">
        <v>601</v>
      </c>
    </row>
  </sheetData>
  <sheetProtection/>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694</v>
      </c>
      <c r="B3" s="383"/>
      <c r="C3" s="383"/>
      <c r="D3" s="383"/>
      <c r="E3" s="383"/>
      <c r="F3" s="383"/>
      <c r="G3" s="383"/>
    </row>
    <row r="4" spans="1:7" ht="15">
      <c r="A4" s="383"/>
      <c r="B4" s="383"/>
      <c r="C4" s="383"/>
      <c r="D4" s="383"/>
      <c r="E4" s="383"/>
      <c r="F4" s="383"/>
      <c r="G4" s="383"/>
    </row>
    <row r="5" ht="15">
      <c r="A5" s="384" t="s">
        <v>603</v>
      </c>
    </row>
    <row r="6" ht="15">
      <c r="A6" s="384" t="str">
        <f>CONCATENATE(inputPrYr!D6-1," estimated expenditures show that at the end of this year")</f>
        <v>2011 estimated expenditures show that at the end of this year</v>
      </c>
    </row>
    <row r="7" ht="15">
      <c r="A7" s="384" t="s">
        <v>695</v>
      </c>
    </row>
    <row r="8" ht="15">
      <c r="A8" s="384" t="s">
        <v>696</v>
      </c>
    </row>
    <row r="10" ht="15">
      <c r="A10" t="s">
        <v>605</v>
      </c>
    </row>
    <row r="11" ht="15">
      <c r="A11" t="s">
        <v>606</v>
      </c>
    </row>
    <row r="12" ht="15">
      <c r="A12" t="s">
        <v>607</v>
      </c>
    </row>
    <row r="13" spans="1:7" ht="15">
      <c r="A13" s="383"/>
      <c r="B13" s="383"/>
      <c r="C13" s="383"/>
      <c r="D13" s="383"/>
      <c r="E13" s="383"/>
      <c r="F13" s="383"/>
      <c r="G13" s="383"/>
    </row>
    <row r="14" ht="15">
      <c r="A14" s="385" t="s">
        <v>697</v>
      </c>
    </row>
    <row r="15" ht="15">
      <c r="A15" s="384"/>
    </row>
    <row r="16" ht="15">
      <c r="A16" s="384" t="s">
        <v>698</v>
      </c>
    </row>
    <row r="17" ht="15">
      <c r="A17" s="384" t="s">
        <v>699</v>
      </c>
    </row>
    <row r="18" ht="15">
      <c r="A18" s="384" t="s">
        <v>700</v>
      </c>
    </row>
    <row r="19" ht="15">
      <c r="A19" s="384"/>
    </row>
    <row r="20" ht="15">
      <c r="A20" s="384" t="s">
        <v>701</v>
      </c>
    </row>
    <row r="21" ht="15">
      <c r="A21" s="384" t="s">
        <v>702</v>
      </c>
    </row>
    <row r="22" ht="15">
      <c r="A22" s="384" t="s">
        <v>703</v>
      </c>
    </row>
    <row r="23" ht="15">
      <c r="A23" s="384" t="s">
        <v>704</v>
      </c>
    </row>
    <row r="24" ht="15">
      <c r="A24" s="384"/>
    </row>
    <row r="25" ht="15">
      <c r="A25" s="385" t="s">
        <v>669</v>
      </c>
    </row>
    <row r="26" ht="15">
      <c r="A26" s="385"/>
    </row>
    <row r="27" ht="15">
      <c r="A27" s="384" t="s">
        <v>670</v>
      </c>
    </row>
    <row r="28" spans="1:6" ht="15">
      <c r="A28" s="384" t="s">
        <v>671</v>
      </c>
      <c r="B28" s="384"/>
      <c r="C28" s="384"/>
      <c r="D28" s="384"/>
      <c r="E28" s="384"/>
      <c r="F28" s="384"/>
    </row>
    <row r="29" spans="1:6" ht="15">
      <c r="A29" s="384" t="s">
        <v>672</v>
      </c>
      <c r="B29" s="384"/>
      <c r="C29" s="384"/>
      <c r="D29" s="384"/>
      <c r="E29" s="384"/>
      <c r="F29" s="384"/>
    </row>
    <row r="30" spans="1:6" ht="15">
      <c r="A30" s="384" t="s">
        <v>673</v>
      </c>
      <c r="B30" s="384"/>
      <c r="C30" s="384"/>
      <c r="D30" s="384"/>
      <c r="E30" s="384"/>
      <c r="F30" s="384"/>
    </row>
    <row r="31" ht="15">
      <c r="A31" s="384"/>
    </row>
    <row r="32" spans="1:7" ht="15">
      <c r="A32" s="385" t="s">
        <v>674</v>
      </c>
      <c r="B32" s="385"/>
      <c r="C32" s="385"/>
      <c r="D32" s="385"/>
      <c r="E32" s="385"/>
      <c r="F32" s="385"/>
      <c r="G32" s="385"/>
    </row>
    <row r="33" spans="1:7" ht="15">
      <c r="A33" s="385" t="s">
        <v>675</v>
      </c>
      <c r="B33" s="385"/>
      <c r="C33" s="385"/>
      <c r="D33" s="385"/>
      <c r="E33" s="385"/>
      <c r="F33" s="385"/>
      <c r="G33" s="385"/>
    </row>
    <row r="34" spans="1:7" ht="15">
      <c r="A34" s="385"/>
      <c r="B34" s="385"/>
      <c r="C34" s="385"/>
      <c r="D34" s="385"/>
      <c r="E34" s="385"/>
      <c r="F34" s="385"/>
      <c r="G34" s="385"/>
    </row>
    <row r="35" spans="1:7" ht="15">
      <c r="A35" s="384" t="s">
        <v>705</v>
      </c>
      <c r="B35" s="384"/>
      <c r="C35" s="384"/>
      <c r="D35" s="384"/>
      <c r="E35" s="384"/>
      <c r="F35" s="384"/>
      <c r="G35" s="384"/>
    </row>
    <row r="36" spans="1:7" ht="15">
      <c r="A36" s="384" t="s">
        <v>706</v>
      </c>
      <c r="B36" s="384"/>
      <c r="C36" s="384"/>
      <c r="D36" s="384"/>
      <c r="E36" s="384"/>
      <c r="F36" s="384"/>
      <c r="G36" s="384"/>
    </row>
    <row r="37" spans="1:7" ht="15">
      <c r="A37" s="384" t="s">
        <v>707</v>
      </c>
      <c r="B37" s="384"/>
      <c r="C37" s="384"/>
      <c r="D37" s="384"/>
      <c r="E37" s="384"/>
      <c r="F37" s="384"/>
      <c r="G37" s="384"/>
    </row>
    <row r="38" spans="1:7" ht="15">
      <c r="A38" s="384" t="s">
        <v>708</v>
      </c>
      <c r="B38" s="384"/>
      <c r="C38" s="384"/>
      <c r="D38" s="384"/>
      <c r="E38" s="384"/>
      <c r="F38" s="384"/>
      <c r="G38" s="384"/>
    </row>
    <row r="39" spans="1:7" ht="15">
      <c r="A39" s="384" t="s">
        <v>709</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676</v>
      </c>
      <c r="B42" s="384"/>
      <c r="C42" s="384"/>
      <c r="D42" s="384"/>
      <c r="E42" s="384"/>
      <c r="F42" s="384"/>
    </row>
    <row r="43" spans="1:6" ht="15">
      <c r="A43" s="376" t="s">
        <v>568</v>
      </c>
      <c r="B43" s="384"/>
      <c r="C43" s="384"/>
      <c r="D43" s="384"/>
      <c r="E43" s="384"/>
      <c r="F43" s="384"/>
    </row>
    <row r="44" spans="1:6" ht="15">
      <c r="A44" s="376" t="s">
        <v>569</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570</v>
      </c>
      <c r="B47" s="384"/>
      <c r="C47" s="384"/>
      <c r="D47" s="384"/>
      <c r="E47" s="384"/>
      <c r="F47" s="384"/>
    </row>
    <row r="48" spans="1:6" ht="15">
      <c r="A48" s="376" t="s">
        <v>571</v>
      </c>
      <c r="B48" s="384"/>
      <c r="C48" s="384"/>
      <c r="D48" s="384"/>
      <c r="E48" s="384"/>
      <c r="F48" s="384"/>
    </row>
    <row r="49" spans="1:7" ht="15">
      <c r="A49" s="384"/>
      <c r="B49" s="384"/>
      <c r="C49" s="384"/>
      <c r="D49" s="384"/>
      <c r="E49" s="384"/>
      <c r="F49" s="384"/>
      <c r="G49" s="384"/>
    </row>
    <row r="50" spans="1:7" ht="15">
      <c r="A50" s="384" t="s">
        <v>630</v>
      </c>
      <c r="B50" s="384"/>
      <c r="C50" s="384"/>
      <c r="D50" s="384"/>
      <c r="E50" s="384"/>
      <c r="F50" s="384"/>
      <c r="G50" s="384"/>
    </row>
    <row r="51" spans="1:7" ht="15">
      <c r="A51" s="384" t="s">
        <v>631</v>
      </c>
      <c r="B51" s="384"/>
      <c r="C51" s="384"/>
      <c r="D51" s="384"/>
      <c r="E51" s="384"/>
      <c r="F51" s="384"/>
      <c r="G51" s="384"/>
    </row>
    <row r="52" spans="1:7" ht="15">
      <c r="A52" s="384" t="s">
        <v>632</v>
      </c>
      <c r="B52" s="384"/>
      <c r="C52" s="384"/>
      <c r="D52" s="384"/>
      <c r="E52" s="384"/>
      <c r="F52" s="384"/>
      <c r="G52" s="384"/>
    </row>
    <row r="53" spans="1:7" ht="15">
      <c r="A53" s="384" t="s">
        <v>633</v>
      </c>
      <c r="B53" s="384"/>
      <c r="C53" s="384"/>
      <c r="D53" s="384"/>
      <c r="E53" s="384"/>
      <c r="F53" s="384"/>
      <c r="G53" s="384"/>
    </row>
    <row r="54" spans="1:7" ht="15">
      <c r="A54" s="384" t="s">
        <v>634</v>
      </c>
      <c r="B54" s="384"/>
      <c r="C54" s="384"/>
      <c r="D54" s="384"/>
      <c r="E54" s="384"/>
      <c r="F54" s="384"/>
      <c r="G54" s="384"/>
    </row>
    <row r="55" spans="1:7" ht="15">
      <c r="A55" s="384"/>
      <c r="B55" s="384"/>
      <c r="C55" s="384"/>
      <c r="D55" s="384"/>
      <c r="E55" s="384"/>
      <c r="F55" s="384"/>
      <c r="G55" s="384"/>
    </row>
    <row r="56" spans="1:6" ht="15">
      <c r="A56" s="376" t="s">
        <v>572</v>
      </c>
      <c r="B56" s="384"/>
      <c r="C56" s="384"/>
      <c r="D56" s="384"/>
      <c r="E56" s="384"/>
      <c r="F56" s="384"/>
    </row>
    <row r="57" spans="1:6" ht="15">
      <c r="A57" s="376" t="s">
        <v>573</v>
      </c>
      <c r="B57" s="384"/>
      <c r="C57" s="384"/>
      <c r="D57" s="384"/>
      <c r="E57" s="384"/>
      <c r="F57" s="384"/>
    </row>
    <row r="58" spans="1:6" ht="15">
      <c r="A58" s="376" t="s">
        <v>574</v>
      </c>
      <c r="B58" s="384"/>
      <c r="C58" s="384"/>
      <c r="D58" s="384"/>
      <c r="E58" s="384"/>
      <c r="F58" s="384"/>
    </row>
    <row r="59" spans="1:6" ht="15">
      <c r="A59" s="376"/>
      <c r="B59" s="384"/>
      <c r="C59" s="384"/>
      <c r="D59" s="384"/>
      <c r="E59" s="384"/>
      <c r="F59" s="384"/>
    </row>
    <row r="60" spans="1:7" ht="15">
      <c r="A60" s="384" t="s">
        <v>710</v>
      </c>
      <c r="B60" s="384"/>
      <c r="C60" s="384"/>
      <c r="D60" s="384"/>
      <c r="E60" s="384"/>
      <c r="F60" s="384"/>
      <c r="G60" s="384"/>
    </row>
    <row r="61" spans="1:7" ht="15">
      <c r="A61" s="384" t="s">
        <v>711</v>
      </c>
      <c r="B61" s="384"/>
      <c r="C61" s="384"/>
      <c r="D61" s="384"/>
      <c r="E61" s="384"/>
      <c r="F61" s="384"/>
      <c r="G61" s="384"/>
    </row>
    <row r="62" spans="1:7" ht="15">
      <c r="A62" s="384" t="s">
        <v>712</v>
      </c>
      <c r="B62" s="384"/>
      <c r="C62" s="384"/>
      <c r="D62" s="384"/>
      <c r="E62" s="384"/>
      <c r="F62" s="384"/>
      <c r="G62" s="384"/>
    </row>
    <row r="63" spans="1:7" ht="15">
      <c r="A63" s="384" t="s">
        <v>713</v>
      </c>
      <c r="B63" s="384"/>
      <c r="C63" s="384"/>
      <c r="D63" s="384"/>
      <c r="E63" s="384"/>
      <c r="F63" s="384"/>
      <c r="G63" s="384"/>
    </row>
    <row r="64" spans="1:7" ht="15">
      <c r="A64" s="384" t="s">
        <v>714</v>
      </c>
      <c r="B64" s="384"/>
      <c r="C64" s="384"/>
      <c r="D64" s="384"/>
      <c r="E64" s="384"/>
      <c r="F64" s="384"/>
      <c r="G64" s="384"/>
    </row>
    <row r="66" spans="1:6" ht="15">
      <c r="A66" s="376" t="s">
        <v>677</v>
      </c>
      <c r="B66" s="384"/>
      <c r="C66" s="384"/>
      <c r="D66" s="384"/>
      <c r="E66" s="384"/>
      <c r="F66" s="384"/>
    </row>
    <row r="67" spans="1:6" ht="15">
      <c r="A67" s="376" t="s">
        <v>678</v>
      </c>
      <c r="B67" s="384"/>
      <c r="C67" s="384"/>
      <c r="D67" s="384"/>
      <c r="E67" s="384"/>
      <c r="F67" s="384"/>
    </row>
    <row r="68" spans="1:6" ht="15">
      <c r="A68" s="376" t="s">
        <v>679</v>
      </c>
      <c r="B68" s="384"/>
      <c r="C68" s="384"/>
      <c r="D68" s="384"/>
      <c r="E68" s="384"/>
      <c r="F68" s="384"/>
    </row>
    <row r="69" spans="1:6" ht="15">
      <c r="A69" s="376" t="s">
        <v>680</v>
      </c>
      <c r="B69" s="384"/>
      <c r="C69" s="384"/>
      <c r="D69" s="384"/>
      <c r="E69" s="384"/>
      <c r="F69" s="384"/>
    </row>
    <row r="70" spans="1:6" ht="15">
      <c r="A70" s="376" t="s">
        <v>681</v>
      </c>
      <c r="B70" s="384"/>
      <c r="C70" s="384"/>
      <c r="D70" s="384"/>
      <c r="E70" s="384"/>
      <c r="F70" s="384"/>
    </row>
    <row r="71" ht="15">
      <c r="A71" s="384"/>
    </row>
    <row r="72" ht="15">
      <c r="A72" s="384" t="s">
        <v>601</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715</v>
      </c>
      <c r="B3" s="383"/>
      <c r="C3" s="383"/>
      <c r="D3" s="383"/>
      <c r="E3" s="383"/>
      <c r="F3" s="383"/>
      <c r="G3" s="383"/>
    </row>
    <row r="4" spans="1:7" ht="15">
      <c r="A4" s="383" t="s">
        <v>716</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554</v>
      </c>
    </row>
    <row r="8" ht="15">
      <c r="A8" s="384" t="str">
        <f>CONCATENATE("estimated ",inputPrYr!D6," 'total expenditures' exceed your ",inputPrYr!D6,"")</f>
        <v>estimated 2012 'total expenditures' exceed your 2012</v>
      </c>
    </row>
    <row r="9" ht="15">
      <c r="A9" s="387" t="s">
        <v>717</v>
      </c>
    </row>
    <row r="10" ht="15">
      <c r="A10" s="384"/>
    </row>
    <row r="11" ht="15">
      <c r="A11" s="384" t="s">
        <v>718</v>
      </c>
    </row>
    <row r="12" ht="15">
      <c r="A12" s="384" t="s">
        <v>719</v>
      </c>
    </row>
    <row r="13" ht="15">
      <c r="A13" s="384" t="s">
        <v>720</v>
      </c>
    </row>
    <row r="14" ht="15">
      <c r="A14" s="384"/>
    </row>
    <row r="15" ht="15">
      <c r="A15" s="385" t="s">
        <v>721</v>
      </c>
    </row>
    <row r="16" spans="1:7" ht="15">
      <c r="A16" s="383"/>
      <c r="B16" s="383"/>
      <c r="C16" s="383"/>
      <c r="D16" s="383"/>
      <c r="E16" s="383"/>
      <c r="F16" s="383"/>
      <c r="G16" s="383"/>
    </row>
    <row r="17" spans="1:8" ht="15">
      <c r="A17" s="388" t="s">
        <v>722</v>
      </c>
      <c r="B17" s="380"/>
      <c r="C17" s="380"/>
      <c r="D17" s="380"/>
      <c r="E17" s="380"/>
      <c r="F17" s="380"/>
      <c r="G17" s="380"/>
      <c r="H17" s="380"/>
    </row>
    <row r="18" spans="1:7" ht="15">
      <c r="A18" s="384" t="s">
        <v>723</v>
      </c>
      <c r="B18" s="389"/>
      <c r="C18" s="389"/>
      <c r="D18" s="389"/>
      <c r="E18" s="389"/>
      <c r="F18" s="389"/>
      <c r="G18" s="389"/>
    </row>
    <row r="19" ht="15">
      <c r="A19" s="384" t="s">
        <v>724</v>
      </c>
    </row>
    <row r="20" ht="15">
      <c r="A20" s="384" t="s">
        <v>725</v>
      </c>
    </row>
    <row r="22" ht="15">
      <c r="A22" s="385" t="s">
        <v>726</v>
      </c>
    </row>
    <row r="24" ht="15">
      <c r="A24" s="384" t="s">
        <v>727</v>
      </c>
    </row>
    <row r="25" ht="15">
      <c r="A25" s="384" t="s">
        <v>728</v>
      </c>
    </row>
    <row r="26" ht="15">
      <c r="A26" s="384" t="s">
        <v>729</v>
      </c>
    </row>
    <row r="28" ht="15">
      <c r="A28" s="385" t="s">
        <v>730</v>
      </c>
    </row>
    <row r="30" ht="15">
      <c r="A30" t="s">
        <v>731</v>
      </c>
    </row>
    <row r="31" ht="15">
      <c r="A31" t="s">
        <v>732</v>
      </c>
    </row>
    <row r="32" ht="15">
      <c r="A32" t="s">
        <v>733</v>
      </c>
    </row>
    <row r="33" ht="15">
      <c r="A33" s="384" t="s">
        <v>734</v>
      </c>
    </row>
    <row r="35" ht="15">
      <c r="A35" t="s">
        <v>735</v>
      </c>
    </row>
    <row r="36" ht="15">
      <c r="A36" t="s">
        <v>736</v>
      </c>
    </row>
    <row r="37" ht="15">
      <c r="A37" t="s">
        <v>737</v>
      </c>
    </row>
    <row r="38" ht="15">
      <c r="A38" t="s">
        <v>738</v>
      </c>
    </row>
    <row r="40" ht="15">
      <c r="A40" t="s">
        <v>739</v>
      </c>
    </row>
    <row r="41" ht="15">
      <c r="A41" t="s">
        <v>740</v>
      </c>
    </row>
    <row r="42" ht="15">
      <c r="A42" t="s">
        <v>741</v>
      </c>
    </row>
    <row r="43" ht="15">
      <c r="A43" t="s">
        <v>742</v>
      </c>
    </row>
    <row r="44" ht="15">
      <c r="A44" t="s">
        <v>743</v>
      </c>
    </row>
    <row r="45" ht="15">
      <c r="A45" t="s">
        <v>744</v>
      </c>
    </row>
    <row r="47" ht="15">
      <c r="A47" t="s">
        <v>745</v>
      </c>
    </row>
    <row r="48" ht="15">
      <c r="A48" t="s">
        <v>746</v>
      </c>
    </row>
    <row r="49" ht="15">
      <c r="A49" s="384" t="s">
        <v>747</v>
      </c>
    </row>
    <row r="50" ht="15">
      <c r="A50" s="384" t="s">
        <v>748</v>
      </c>
    </row>
    <row r="52" ht="15">
      <c r="A52" t="s">
        <v>601</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3" t="s">
        <v>41</v>
      </c>
      <c r="C6" s="691"/>
      <c r="D6" s="691"/>
      <c r="E6" s="691"/>
      <c r="F6" s="691"/>
      <c r="G6" s="691"/>
      <c r="H6" s="691"/>
      <c r="I6" s="691"/>
      <c r="J6" s="691"/>
      <c r="K6" s="691"/>
      <c r="L6" s="440"/>
    </row>
    <row r="7" spans="1:12" ht="40.5" customHeight="1">
      <c r="A7" s="437"/>
      <c r="B7" s="702" t="s">
        <v>42</v>
      </c>
      <c r="C7" s="703"/>
      <c r="D7" s="703"/>
      <c r="E7" s="703"/>
      <c r="F7" s="703"/>
      <c r="G7" s="703"/>
      <c r="H7" s="703"/>
      <c r="I7" s="703"/>
      <c r="J7" s="703"/>
      <c r="K7" s="703"/>
      <c r="L7" s="437"/>
    </row>
    <row r="8" spans="1:12" ht="14.25">
      <c r="A8" s="437"/>
      <c r="B8" s="699" t="s">
        <v>43</v>
      </c>
      <c r="C8" s="699"/>
      <c r="D8" s="699"/>
      <c r="E8" s="699"/>
      <c r="F8" s="699"/>
      <c r="G8" s="699"/>
      <c r="H8" s="699"/>
      <c r="I8" s="699"/>
      <c r="J8" s="699"/>
      <c r="K8" s="699"/>
      <c r="L8" s="437"/>
    </row>
    <row r="9" spans="1:12" ht="14.25">
      <c r="A9" s="437"/>
      <c r="L9" s="437"/>
    </row>
    <row r="10" spans="1:12" ht="14.25">
      <c r="A10" s="437"/>
      <c r="B10" s="699" t="s">
        <v>44</v>
      </c>
      <c r="C10" s="699"/>
      <c r="D10" s="699"/>
      <c r="E10" s="699"/>
      <c r="F10" s="699"/>
      <c r="G10" s="699"/>
      <c r="H10" s="699"/>
      <c r="I10" s="699"/>
      <c r="J10" s="699"/>
      <c r="K10" s="699"/>
      <c r="L10" s="437"/>
    </row>
    <row r="11" spans="1:12" ht="14.25">
      <c r="A11" s="437"/>
      <c r="B11" s="441"/>
      <c r="C11" s="441"/>
      <c r="D11" s="441"/>
      <c r="E11" s="441"/>
      <c r="F11" s="441"/>
      <c r="G11" s="441"/>
      <c r="H11" s="441"/>
      <c r="I11" s="441"/>
      <c r="J11" s="441"/>
      <c r="K11" s="441"/>
      <c r="L11" s="437"/>
    </row>
    <row r="12" spans="1:12" ht="32.25" customHeight="1">
      <c r="A12" s="437"/>
      <c r="B12" s="684" t="s">
        <v>45</v>
      </c>
      <c r="C12" s="684"/>
      <c r="D12" s="684"/>
      <c r="E12" s="684"/>
      <c r="F12" s="684"/>
      <c r="G12" s="684"/>
      <c r="H12" s="684"/>
      <c r="I12" s="684"/>
      <c r="J12" s="684"/>
      <c r="K12" s="684"/>
      <c r="L12" s="437"/>
    </row>
    <row r="13" spans="1:12" ht="14.25">
      <c r="A13" s="437"/>
      <c r="L13" s="437"/>
    </row>
    <row r="14" spans="1:12" ht="14.25">
      <c r="A14" s="437"/>
      <c r="B14" s="442" t="s">
        <v>46</v>
      </c>
      <c r="L14" s="437"/>
    </row>
    <row r="15" spans="1:12" ht="14.25">
      <c r="A15" s="437"/>
      <c r="L15" s="437"/>
    </row>
    <row r="16" spans="1:12" ht="14.25">
      <c r="A16" s="437"/>
      <c r="B16" s="439" t="s">
        <v>47</v>
      </c>
      <c r="L16" s="437"/>
    </row>
    <row r="17" spans="1:12" ht="14.25">
      <c r="A17" s="437"/>
      <c r="B17" s="439" t="s">
        <v>48</v>
      </c>
      <c r="L17" s="437"/>
    </row>
    <row r="18" spans="1:12" ht="14.25">
      <c r="A18" s="437"/>
      <c r="L18" s="437"/>
    </row>
    <row r="19" spans="1:12" ht="14.25">
      <c r="A19" s="437"/>
      <c r="B19" s="442" t="s">
        <v>49</v>
      </c>
      <c r="L19" s="437"/>
    </row>
    <row r="20" spans="1:12" ht="14.25">
      <c r="A20" s="437"/>
      <c r="B20" s="442"/>
      <c r="L20" s="437"/>
    </row>
    <row r="21" spans="1:12" ht="14.25">
      <c r="A21" s="437"/>
      <c r="B21" s="439" t="s">
        <v>50</v>
      </c>
      <c r="L21" s="437"/>
    </row>
    <row r="22" spans="1:12" ht="14.25">
      <c r="A22" s="437"/>
      <c r="L22" s="437"/>
    </row>
    <row r="23" spans="1:12" ht="14.25">
      <c r="A23" s="437"/>
      <c r="B23" s="439" t="s">
        <v>51</v>
      </c>
      <c r="E23" s="439" t="s">
        <v>52</v>
      </c>
      <c r="F23" s="686">
        <v>133685008</v>
      </c>
      <c r="G23" s="686"/>
      <c r="L23" s="437"/>
    </row>
    <row r="24" spans="1:12" ht="14.25">
      <c r="A24" s="437"/>
      <c r="L24" s="437"/>
    </row>
    <row r="25" spans="1:12" ht="14.25">
      <c r="A25" s="437"/>
      <c r="C25" s="700">
        <f>F23</f>
        <v>133685008</v>
      </c>
      <c r="D25" s="700"/>
      <c r="E25" s="439" t="s">
        <v>53</v>
      </c>
      <c r="F25" s="443">
        <v>1000</v>
      </c>
      <c r="G25" s="443" t="s">
        <v>52</v>
      </c>
      <c r="H25" s="444">
        <f>F23/F25</f>
        <v>133685.008</v>
      </c>
      <c r="L25" s="437"/>
    </row>
    <row r="26" spans="1:12" ht="15" thickBot="1">
      <c r="A26" s="437"/>
      <c r="L26" s="437"/>
    </row>
    <row r="27" spans="1:12" ht="14.25">
      <c r="A27" s="437"/>
      <c r="B27" s="445" t="s">
        <v>46</v>
      </c>
      <c r="C27" s="446"/>
      <c r="D27" s="446"/>
      <c r="E27" s="446"/>
      <c r="F27" s="446"/>
      <c r="G27" s="446"/>
      <c r="H27" s="446"/>
      <c r="I27" s="446"/>
      <c r="J27" s="446"/>
      <c r="K27" s="447"/>
      <c r="L27" s="437"/>
    </row>
    <row r="28" spans="1:12" ht="14.25">
      <c r="A28" s="437"/>
      <c r="B28" s="448">
        <f>F23</f>
        <v>133685008</v>
      </c>
      <c r="C28" s="449" t="s">
        <v>54</v>
      </c>
      <c r="D28" s="449"/>
      <c r="E28" s="449" t="s">
        <v>53</v>
      </c>
      <c r="F28" s="450">
        <v>1000</v>
      </c>
      <c r="G28" s="450" t="s">
        <v>52</v>
      </c>
      <c r="H28" s="451">
        <f>B28/F28</f>
        <v>133685.008</v>
      </c>
      <c r="I28" s="449" t="s">
        <v>55</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8" t="s">
        <v>42</v>
      </c>
      <c r="C30" s="688"/>
      <c r="D30" s="688"/>
      <c r="E30" s="688"/>
      <c r="F30" s="688"/>
      <c r="G30" s="688"/>
      <c r="H30" s="688"/>
      <c r="I30" s="688"/>
      <c r="J30" s="688"/>
      <c r="K30" s="688"/>
      <c r="L30" s="437"/>
    </row>
    <row r="31" spans="1:12" ht="14.25">
      <c r="A31" s="437"/>
      <c r="B31" s="699" t="s">
        <v>56</v>
      </c>
      <c r="C31" s="699"/>
      <c r="D31" s="699"/>
      <c r="E31" s="699"/>
      <c r="F31" s="699"/>
      <c r="G31" s="699"/>
      <c r="H31" s="699"/>
      <c r="I31" s="699"/>
      <c r="J31" s="699"/>
      <c r="K31" s="699"/>
      <c r="L31" s="437"/>
    </row>
    <row r="32" spans="1:12" ht="14.25">
      <c r="A32" s="437"/>
      <c r="L32" s="437"/>
    </row>
    <row r="33" spans="1:12" ht="14.25">
      <c r="A33" s="437"/>
      <c r="B33" s="699" t="s">
        <v>57</v>
      </c>
      <c r="C33" s="699"/>
      <c r="D33" s="699"/>
      <c r="E33" s="699"/>
      <c r="F33" s="699"/>
      <c r="G33" s="699"/>
      <c r="H33" s="699"/>
      <c r="I33" s="699"/>
      <c r="J33" s="699"/>
      <c r="K33" s="699"/>
      <c r="L33" s="437"/>
    </row>
    <row r="34" spans="1:12" ht="14.25">
      <c r="A34" s="437"/>
      <c r="L34" s="437"/>
    </row>
    <row r="35" spans="1:12" ht="89.25" customHeight="1">
      <c r="A35" s="437"/>
      <c r="B35" s="684" t="s">
        <v>58</v>
      </c>
      <c r="C35" s="694"/>
      <c r="D35" s="694"/>
      <c r="E35" s="694"/>
      <c r="F35" s="694"/>
      <c r="G35" s="694"/>
      <c r="H35" s="694"/>
      <c r="I35" s="694"/>
      <c r="J35" s="694"/>
      <c r="K35" s="694"/>
      <c r="L35" s="437"/>
    </row>
    <row r="36" spans="1:12" ht="14.25">
      <c r="A36" s="437"/>
      <c r="L36" s="437"/>
    </row>
    <row r="37" spans="1:12" ht="14.25">
      <c r="A37" s="437"/>
      <c r="B37" s="442" t="s">
        <v>59</v>
      </c>
      <c r="L37" s="437"/>
    </row>
    <row r="38" spans="1:12" ht="14.25">
      <c r="A38" s="437"/>
      <c r="L38" s="437"/>
    </row>
    <row r="39" spans="1:12" ht="14.25">
      <c r="A39" s="437"/>
      <c r="B39" s="439" t="s">
        <v>60</v>
      </c>
      <c r="L39" s="437"/>
    </row>
    <row r="40" spans="1:12" ht="14.25">
      <c r="A40" s="437"/>
      <c r="L40" s="437"/>
    </row>
    <row r="41" spans="1:12" ht="14.25">
      <c r="A41" s="437"/>
      <c r="C41" s="701">
        <v>3120000</v>
      </c>
      <c r="D41" s="701"/>
      <c r="E41" s="439" t="s">
        <v>53</v>
      </c>
      <c r="F41" s="443">
        <v>1000</v>
      </c>
      <c r="G41" s="443" t="s">
        <v>52</v>
      </c>
      <c r="H41" s="456">
        <f>C41/F41</f>
        <v>3120</v>
      </c>
      <c r="L41" s="437"/>
    </row>
    <row r="42" spans="1:12" ht="14.25">
      <c r="A42" s="437"/>
      <c r="L42" s="437"/>
    </row>
    <row r="43" spans="1:12" ht="14.25">
      <c r="A43" s="437"/>
      <c r="B43" s="439" t="s">
        <v>61</v>
      </c>
      <c r="L43" s="437"/>
    </row>
    <row r="44" spans="1:12" ht="14.25">
      <c r="A44" s="437"/>
      <c r="L44" s="437"/>
    </row>
    <row r="45" spans="1:12" ht="14.25">
      <c r="A45" s="437"/>
      <c r="B45" s="439" t="s">
        <v>62</v>
      </c>
      <c r="L45" s="437"/>
    </row>
    <row r="46" spans="1:12" ht="15" thickBot="1">
      <c r="A46" s="437"/>
      <c r="L46" s="437"/>
    </row>
    <row r="47" spans="1:12" ht="14.25">
      <c r="A47" s="437"/>
      <c r="B47" s="457" t="s">
        <v>46</v>
      </c>
      <c r="C47" s="446"/>
      <c r="D47" s="446"/>
      <c r="E47" s="446"/>
      <c r="F47" s="446"/>
      <c r="G47" s="446"/>
      <c r="H47" s="446"/>
      <c r="I47" s="446"/>
      <c r="J47" s="446"/>
      <c r="K47" s="447"/>
      <c r="L47" s="437"/>
    </row>
    <row r="48" spans="1:12" ht="14.25">
      <c r="A48" s="437"/>
      <c r="B48" s="686">
        <v>133685008</v>
      </c>
      <c r="C48" s="686"/>
      <c r="D48" s="449" t="s">
        <v>63</v>
      </c>
      <c r="E48" s="449" t="s">
        <v>53</v>
      </c>
      <c r="F48" s="450">
        <v>1000</v>
      </c>
      <c r="G48" s="450" t="s">
        <v>52</v>
      </c>
      <c r="H48" s="451">
        <f>B48/F48</f>
        <v>133685.008</v>
      </c>
      <c r="I48" s="449" t="s">
        <v>64</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65</v>
      </c>
      <c r="D50" s="449"/>
      <c r="E50" s="449" t="s">
        <v>53</v>
      </c>
      <c r="F50" s="451">
        <f>H48</f>
        <v>133685.008</v>
      </c>
      <c r="G50" s="695" t="s">
        <v>66</v>
      </c>
      <c r="H50" s="696"/>
      <c r="I50" s="450" t="s">
        <v>52</v>
      </c>
      <c r="J50" s="460">
        <f>B50/F50</f>
        <v>52.8690023342034</v>
      </c>
      <c r="K50" s="452"/>
      <c r="L50" s="437"/>
    </row>
    <row r="51" spans="1:15" ht="15" thickBot="1">
      <c r="A51" s="437"/>
      <c r="B51" s="453"/>
      <c r="C51" s="454"/>
      <c r="D51" s="454"/>
      <c r="E51" s="454"/>
      <c r="F51" s="454"/>
      <c r="G51" s="454"/>
      <c r="H51" s="454"/>
      <c r="I51" s="697" t="s">
        <v>67</v>
      </c>
      <c r="J51" s="697"/>
      <c r="K51" s="698"/>
      <c r="L51" s="437"/>
      <c r="O51" s="461"/>
    </row>
    <row r="52" spans="1:12" ht="40.5" customHeight="1">
      <c r="A52" s="437"/>
      <c r="B52" s="688" t="s">
        <v>42</v>
      </c>
      <c r="C52" s="688"/>
      <c r="D52" s="688"/>
      <c r="E52" s="688"/>
      <c r="F52" s="688"/>
      <c r="G52" s="688"/>
      <c r="H52" s="688"/>
      <c r="I52" s="688"/>
      <c r="J52" s="688"/>
      <c r="K52" s="688"/>
      <c r="L52" s="437"/>
    </row>
    <row r="53" spans="1:12" ht="14.25">
      <c r="A53" s="437"/>
      <c r="B53" s="699" t="s">
        <v>68</v>
      </c>
      <c r="C53" s="699"/>
      <c r="D53" s="699"/>
      <c r="E53" s="699"/>
      <c r="F53" s="699"/>
      <c r="G53" s="699"/>
      <c r="H53" s="699"/>
      <c r="I53" s="699"/>
      <c r="J53" s="699"/>
      <c r="K53" s="699"/>
      <c r="L53" s="437"/>
    </row>
    <row r="54" spans="1:12" ht="14.25">
      <c r="A54" s="437"/>
      <c r="B54" s="441"/>
      <c r="C54" s="441"/>
      <c r="D54" s="441"/>
      <c r="E54" s="441"/>
      <c r="F54" s="441"/>
      <c r="G54" s="441"/>
      <c r="H54" s="441"/>
      <c r="I54" s="441"/>
      <c r="J54" s="441"/>
      <c r="K54" s="441"/>
      <c r="L54" s="437"/>
    </row>
    <row r="55" spans="1:12" ht="14.25">
      <c r="A55" s="437"/>
      <c r="B55" s="683" t="s">
        <v>69</v>
      </c>
      <c r="C55" s="683"/>
      <c r="D55" s="683"/>
      <c r="E55" s="683"/>
      <c r="F55" s="683"/>
      <c r="G55" s="683"/>
      <c r="H55" s="683"/>
      <c r="I55" s="683"/>
      <c r="J55" s="683"/>
      <c r="K55" s="683"/>
      <c r="L55" s="437"/>
    </row>
    <row r="56" spans="1:12" ht="15" customHeight="1">
      <c r="A56" s="437"/>
      <c r="L56" s="437"/>
    </row>
    <row r="57" spans="1:24" ht="74.25" customHeight="1">
      <c r="A57" s="437"/>
      <c r="B57" s="684" t="s">
        <v>70</v>
      </c>
      <c r="C57" s="694"/>
      <c r="D57" s="694"/>
      <c r="E57" s="694"/>
      <c r="F57" s="694"/>
      <c r="G57" s="694"/>
      <c r="H57" s="694"/>
      <c r="I57" s="694"/>
      <c r="J57" s="694"/>
      <c r="K57" s="694"/>
      <c r="L57" s="437"/>
      <c r="M57" s="462"/>
      <c r="N57" s="463"/>
      <c r="O57" s="463"/>
      <c r="P57" s="463"/>
      <c r="Q57" s="463"/>
      <c r="R57" s="463"/>
      <c r="S57" s="463"/>
      <c r="T57" s="463"/>
      <c r="U57" s="463"/>
      <c r="V57" s="463"/>
      <c r="W57" s="463"/>
      <c r="X57" s="463"/>
    </row>
    <row r="58" spans="1:24" ht="15" customHeight="1">
      <c r="A58" s="437"/>
      <c r="B58" s="684"/>
      <c r="C58" s="694"/>
      <c r="D58" s="694"/>
      <c r="E58" s="694"/>
      <c r="F58" s="694"/>
      <c r="G58" s="694"/>
      <c r="H58" s="694"/>
      <c r="I58" s="694"/>
      <c r="J58" s="694"/>
      <c r="K58" s="694"/>
      <c r="L58" s="437"/>
      <c r="M58" s="462"/>
      <c r="N58" s="463"/>
      <c r="O58" s="463"/>
      <c r="P58" s="463"/>
      <c r="Q58" s="463"/>
      <c r="R58" s="463"/>
      <c r="S58" s="463"/>
      <c r="T58" s="463"/>
      <c r="U58" s="463"/>
      <c r="V58" s="463"/>
      <c r="W58" s="463"/>
      <c r="X58" s="463"/>
    </row>
    <row r="59" spans="1:24" ht="14.25">
      <c r="A59" s="437"/>
      <c r="B59" s="442" t="s">
        <v>59</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71</v>
      </c>
      <c r="L61" s="437"/>
      <c r="M61" s="463"/>
      <c r="N61" s="463"/>
      <c r="O61" s="463"/>
      <c r="P61" s="463"/>
      <c r="Q61" s="463"/>
      <c r="R61" s="463"/>
      <c r="S61" s="463"/>
      <c r="T61" s="463"/>
      <c r="U61" s="463"/>
      <c r="V61" s="463"/>
      <c r="W61" s="463"/>
      <c r="X61" s="463"/>
    </row>
    <row r="62" spans="1:24" ht="14.25">
      <c r="A62" s="437"/>
      <c r="B62" s="439" t="s">
        <v>72</v>
      </c>
      <c r="L62" s="437"/>
      <c r="M62" s="463"/>
      <c r="N62" s="463"/>
      <c r="O62" s="463"/>
      <c r="P62" s="463"/>
      <c r="Q62" s="463"/>
      <c r="R62" s="463"/>
      <c r="S62" s="463"/>
      <c r="T62" s="463"/>
      <c r="U62" s="463"/>
      <c r="V62" s="463"/>
      <c r="W62" s="463"/>
      <c r="X62" s="463"/>
    </row>
    <row r="63" spans="1:24" ht="14.25">
      <c r="A63" s="437"/>
      <c r="B63" s="439" t="s">
        <v>73</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74</v>
      </c>
      <c r="L65" s="437"/>
      <c r="M65" s="463"/>
      <c r="N65" s="463"/>
      <c r="O65" s="463"/>
      <c r="P65" s="463"/>
      <c r="Q65" s="463"/>
      <c r="R65" s="463"/>
      <c r="S65" s="463"/>
      <c r="T65" s="463"/>
      <c r="U65" s="463"/>
      <c r="V65" s="463"/>
      <c r="W65" s="463"/>
      <c r="X65" s="463"/>
    </row>
    <row r="66" spans="1:24" ht="14.25">
      <c r="A66" s="437"/>
      <c r="B66" s="439" t="s">
        <v>75</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76</v>
      </c>
      <c r="L68" s="437"/>
      <c r="M68" s="464"/>
      <c r="N68" s="465"/>
      <c r="O68" s="465"/>
      <c r="P68" s="465"/>
      <c r="Q68" s="465"/>
      <c r="R68" s="465"/>
      <c r="S68" s="465"/>
      <c r="T68" s="465"/>
      <c r="U68" s="465"/>
      <c r="V68" s="465"/>
      <c r="W68" s="465"/>
      <c r="X68" s="463"/>
    </row>
    <row r="69" spans="1:24" ht="14.25">
      <c r="A69" s="437"/>
      <c r="B69" s="439" t="s">
        <v>77</v>
      </c>
      <c r="L69" s="437"/>
      <c r="M69" s="463"/>
      <c r="N69" s="463"/>
      <c r="O69" s="463"/>
      <c r="P69" s="463"/>
      <c r="Q69" s="463"/>
      <c r="R69" s="463"/>
      <c r="S69" s="463"/>
      <c r="T69" s="463"/>
      <c r="U69" s="463"/>
      <c r="V69" s="463"/>
      <c r="W69" s="463"/>
      <c r="X69" s="463"/>
    </row>
    <row r="70" spans="1:24" ht="14.25">
      <c r="A70" s="437"/>
      <c r="B70" s="439" t="s">
        <v>78</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46</v>
      </c>
      <c r="C72" s="446"/>
      <c r="D72" s="446"/>
      <c r="E72" s="446"/>
      <c r="F72" s="446"/>
      <c r="G72" s="446"/>
      <c r="H72" s="446"/>
      <c r="I72" s="446"/>
      <c r="J72" s="446"/>
      <c r="K72" s="447"/>
      <c r="L72" s="466"/>
    </row>
    <row r="73" spans="1:12" ht="14.25">
      <c r="A73" s="437"/>
      <c r="B73" s="458"/>
      <c r="C73" s="449" t="s">
        <v>54</v>
      </c>
      <c r="D73" s="449"/>
      <c r="E73" s="449"/>
      <c r="F73" s="449"/>
      <c r="G73" s="449"/>
      <c r="H73" s="449"/>
      <c r="I73" s="449"/>
      <c r="J73" s="449"/>
      <c r="K73" s="452"/>
      <c r="L73" s="466"/>
    </row>
    <row r="74" spans="1:12" ht="14.25">
      <c r="A74" s="437"/>
      <c r="B74" s="458" t="s">
        <v>79</v>
      </c>
      <c r="C74" s="686">
        <v>133685008</v>
      </c>
      <c r="D74" s="686"/>
      <c r="E74" s="450" t="s">
        <v>53</v>
      </c>
      <c r="F74" s="450">
        <v>1000</v>
      </c>
      <c r="G74" s="450" t="s">
        <v>52</v>
      </c>
      <c r="H74" s="467">
        <f>C74/F74</f>
        <v>133685.008</v>
      </c>
      <c r="I74" s="449" t="s">
        <v>80</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81</v>
      </c>
      <c r="D76" s="449"/>
      <c r="E76" s="450"/>
      <c r="F76" s="449" t="s">
        <v>80</v>
      </c>
      <c r="G76" s="449"/>
      <c r="H76" s="449"/>
      <c r="I76" s="449"/>
      <c r="J76" s="449"/>
      <c r="K76" s="452"/>
      <c r="L76" s="466"/>
    </row>
    <row r="77" spans="1:12" ht="14.25">
      <c r="A77" s="437"/>
      <c r="B77" s="458" t="s">
        <v>82</v>
      </c>
      <c r="C77" s="686">
        <v>5000</v>
      </c>
      <c r="D77" s="686"/>
      <c r="E77" s="450" t="s">
        <v>53</v>
      </c>
      <c r="F77" s="467">
        <f>H74</f>
        <v>133685.008</v>
      </c>
      <c r="G77" s="450" t="s">
        <v>52</v>
      </c>
      <c r="H77" s="460">
        <f>C77/F77</f>
        <v>0.03740135169083432</v>
      </c>
      <c r="I77" s="449" t="s">
        <v>83</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84</v>
      </c>
      <c r="D79" s="469"/>
      <c r="E79" s="470"/>
      <c r="F79" s="469"/>
      <c r="G79" s="469"/>
      <c r="H79" s="469"/>
      <c r="I79" s="469"/>
      <c r="J79" s="469"/>
      <c r="K79" s="471"/>
      <c r="L79" s="466"/>
    </row>
    <row r="80" spans="1:12" ht="14.25">
      <c r="A80" s="437"/>
      <c r="B80" s="458" t="s">
        <v>85</v>
      </c>
      <c r="C80" s="686">
        <v>100000</v>
      </c>
      <c r="D80" s="686"/>
      <c r="E80" s="450" t="s">
        <v>235</v>
      </c>
      <c r="F80" s="450">
        <v>0.115</v>
      </c>
      <c r="G80" s="450" t="s">
        <v>52</v>
      </c>
      <c r="H80" s="467">
        <f>C80*F80</f>
        <v>11500</v>
      </c>
      <c r="I80" s="449" t="s">
        <v>86</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87</v>
      </c>
      <c r="D82" s="469"/>
      <c r="E82" s="470"/>
      <c r="F82" s="469" t="s">
        <v>83</v>
      </c>
      <c r="G82" s="469"/>
      <c r="H82" s="469"/>
      <c r="I82" s="469"/>
      <c r="J82" s="469" t="s">
        <v>88</v>
      </c>
      <c r="K82" s="471"/>
      <c r="L82" s="466"/>
    </row>
    <row r="83" spans="1:12" ht="14.25">
      <c r="A83" s="437"/>
      <c r="B83" s="458" t="s">
        <v>89</v>
      </c>
      <c r="C83" s="687">
        <f>H80</f>
        <v>11500</v>
      </c>
      <c r="D83" s="687"/>
      <c r="E83" s="450" t="s">
        <v>235</v>
      </c>
      <c r="F83" s="460">
        <f>H77</f>
        <v>0.03740135169083432</v>
      </c>
      <c r="G83" s="450" t="s">
        <v>53</v>
      </c>
      <c r="H83" s="450">
        <v>1000</v>
      </c>
      <c r="I83" s="450" t="s">
        <v>52</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8" t="s">
        <v>42</v>
      </c>
      <c r="C85" s="688"/>
      <c r="D85" s="688"/>
      <c r="E85" s="688"/>
      <c r="F85" s="688"/>
      <c r="G85" s="688"/>
      <c r="H85" s="688"/>
      <c r="I85" s="688"/>
      <c r="J85" s="688"/>
      <c r="K85" s="688"/>
      <c r="L85" s="437"/>
    </row>
    <row r="86" spans="1:12" ht="14.25">
      <c r="A86" s="437"/>
      <c r="B86" s="683" t="s">
        <v>90</v>
      </c>
      <c r="C86" s="683"/>
      <c r="D86" s="683"/>
      <c r="E86" s="683"/>
      <c r="F86" s="683"/>
      <c r="G86" s="683"/>
      <c r="H86" s="683"/>
      <c r="I86" s="683"/>
      <c r="J86" s="683"/>
      <c r="K86" s="683"/>
      <c r="L86" s="437"/>
    </row>
    <row r="87" spans="1:12" ht="14.25">
      <c r="A87" s="437"/>
      <c r="B87" s="477"/>
      <c r="C87" s="477"/>
      <c r="D87" s="477"/>
      <c r="E87" s="477"/>
      <c r="F87" s="477"/>
      <c r="G87" s="477"/>
      <c r="H87" s="477"/>
      <c r="I87" s="477"/>
      <c r="J87" s="477"/>
      <c r="K87" s="477"/>
      <c r="L87" s="437"/>
    </row>
    <row r="88" spans="1:12" ht="14.25">
      <c r="A88" s="437"/>
      <c r="B88" s="683" t="s">
        <v>91</v>
      </c>
      <c r="C88" s="683"/>
      <c r="D88" s="683"/>
      <c r="E88" s="683"/>
      <c r="F88" s="683"/>
      <c r="G88" s="683"/>
      <c r="H88" s="683"/>
      <c r="I88" s="683"/>
      <c r="J88" s="683"/>
      <c r="K88" s="683"/>
      <c r="L88" s="437"/>
    </row>
    <row r="89" spans="1:12" ht="14.25">
      <c r="A89" s="437"/>
      <c r="B89" s="478"/>
      <c r="C89" s="478"/>
      <c r="D89" s="478"/>
      <c r="E89" s="478"/>
      <c r="F89" s="478"/>
      <c r="G89" s="478"/>
      <c r="H89" s="478"/>
      <c r="I89" s="478"/>
      <c r="J89" s="478"/>
      <c r="K89" s="478"/>
      <c r="L89" s="437"/>
    </row>
    <row r="90" spans="1:12" ht="45" customHeight="1">
      <c r="A90" s="437"/>
      <c r="B90" s="684" t="s">
        <v>92</v>
      </c>
      <c r="C90" s="684"/>
      <c r="D90" s="684"/>
      <c r="E90" s="684"/>
      <c r="F90" s="684"/>
      <c r="G90" s="684"/>
      <c r="H90" s="684"/>
      <c r="I90" s="684"/>
      <c r="J90" s="684"/>
      <c r="K90" s="684"/>
      <c r="L90" s="437"/>
    </row>
    <row r="91" spans="1:12" ht="15" customHeight="1" thickBot="1">
      <c r="A91" s="437"/>
      <c r="L91" s="437"/>
    </row>
    <row r="92" spans="1:12" ht="15" customHeight="1">
      <c r="A92" s="437"/>
      <c r="B92" s="479" t="s">
        <v>46</v>
      </c>
      <c r="C92" s="480"/>
      <c r="D92" s="480"/>
      <c r="E92" s="480"/>
      <c r="F92" s="480"/>
      <c r="G92" s="480"/>
      <c r="H92" s="480"/>
      <c r="I92" s="480"/>
      <c r="J92" s="480"/>
      <c r="K92" s="481"/>
      <c r="L92" s="437"/>
    </row>
    <row r="93" spans="1:12" ht="15" customHeight="1">
      <c r="A93" s="437"/>
      <c r="B93" s="482"/>
      <c r="C93" s="483" t="s">
        <v>54</v>
      </c>
      <c r="D93" s="483"/>
      <c r="E93" s="483"/>
      <c r="F93" s="483"/>
      <c r="G93" s="483"/>
      <c r="H93" s="483"/>
      <c r="I93" s="483"/>
      <c r="J93" s="483"/>
      <c r="K93" s="484"/>
      <c r="L93" s="437"/>
    </row>
    <row r="94" spans="1:12" ht="15" customHeight="1">
      <c r="A94" s="437"/>
      <c r="B94" s="482" t="s">
        <v>79</v>
      </c>
      <c r="C94" s="686">
        <v>133685008</v>
      </c>
      <c r="D94" s="686"/>
      <c r="E94" s="450" t="s">
        <v>53</v>
      </c>
      <c r="F94" s="450">
        <v>1000</v>
      </c>
      <c r="G94" s="450" t="s">
        <v>52</v>
      </c>
      <c r="H94" s="467">
        <f>C94/F94</f>
        <v>133685.008</v>
      </c>
      <c r="I94" s="483" t="s">
        <v>80</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81</v>
      </c>
      <c r="D96" s="483"/>
      <c r="E96" s="450"/>
      <c r="F96" s="483" t="s">
        <v>80</v>
      </c>
      <c r="G96" s="483"/>
      <c r="H96" s="483"/>
      <c r="I96" s="483"/>
      <c r="J96" s="483"/>
      <c r="K96" s="484"/>
      <c r="L96" s="437"/>
    </row>
    <row r="97" spans="1:12" ht="15" customHeight="1">
      <c r="A97" s="437"/>
      <c r="B97" s="482" t="s">
        <v>82</v>
      </c>
      <c r="C97" s="686">
        <v>50000</v>
      </c>
      <c r="D97" s="686"/>
      <c r="E97" s="450" t="s">
        <v>53</v>
      </c>
      <c r="F97" s="467">
        <f>H94</f>
        <v>133685.008</v>
      </c>
      <c r="G97" s="450" t="s">
        <v>52</v>
      </c>
      <c r="H97" s="460">
        <f>C97/F97</f>
        <v>0.3740135169083432</v>
      </c>
      <c r="I97" s="483" t="s">
        <v>83</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93</v>
      </c>
      <c r="D99" s="486"/>
      <c r="E99" s="470"/>
      <c r="F99" s="486"/>
      <c r="G99" s="486"/>
      <c r="H99" s="486"/>
      <c r="I99" s="486"/>
      <c r="J99" s="486"/>
      <c r="K99" s="487"/>
      <c r="L99" s="437"/>
    </row>
    <row r="100" spans="1:12" ht="15" customHeight="1">
      <c r="A100" s="437"/>
      <c r="B100" s="482" t="s">
        <v>85</v>
      </c>
      <c r="C100" s="686">
        <v>2500000</v>
      </c>
      <c r="D100" s="686"/>
      <c r="E100" s="450" t="s">
        <v>235</v>
      </c>
      <c r="F100" s="488">
        <v>0.3</v>
      </c>
      <c r="G100" s="450" t="s">
        <v>52</v>
      </c>
      <c r="H100" s="467">
        <f>C100*F100</f>
        <v>750000</v>
      </c>
      <c r="I100" s="483" t="s">
        <v>86</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87</v>
      </c>
      <c r="D102" s="486"/>
      <c r="E102" s="470"/>
      <c r="F102" s="486" t="s">
        <v>83</v>
      </c>
      <c r="G102" s="486"/>
      <c r="H102" s="486"/>
      <c r="I102" s="486"/>
      <c r="J102" s="486" t="s">
        <v>88</v>
      </c>
      <c r="K102" s="487"/>
      <c r="L102" s="437"/>
    </row>
    <row r="103" spans="1:12" ht="15" customHeight="1">
      <c r="A103" s="437"/>
      <c r="B103" s="482" t="s">
        <v>89</v>
      </c>
      <c r="C103" s="687">
        <f>H100</f>
        <v>750000</v>
      </c>
      <c r="D103" s="687"/>
      <c r="E103" s="450" t="s">
        <v>235</v>
      </c>
      <c r="F103" s="460">
        <f>H97</f>
        <v>0.3740135169083432</v>
      </c>
      <c r="G103" s="450" t="s">
        <v>53</v>
      </c>
      <c r="H103" s="450">
        <v>1000</v>
      </c>
      <c r="I103" s="450" t="s">
        <v>52</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8" t="s">
        <v>42</v>
      </c>
      <c r="C105" s="689"/>
      <c r="D105" s="689"/>
      <c r="E105" s="689"/>
      <c r="F105" s="689"/>
      <c r="G105" s="689"/>
      <c r="H105" s="689"/>
      <c r="I105" s="689"/>
      <c r="J105" s="689"/>
      <c r="K105" s="689"/>
      <c r="L105" s="437"/>
    </row>
    <row r="106" spans="1:12" ht="15" customHeight="1">
      <c r="A106" s="437"/>
      <c r="B106" s="690" t="s">
        <v>94</v>
      </c>
      <c r="C106" s="691"/>
      <c r="D106" s="691"/>
      <c r="E106" s="691"/>
      <c r="F106" s="691"/>
      <c r="G106" s="691"/>
      <c r="H106" s="691"/>
      <c r="I106" s="691"/>
      <c r="J106" s="691"/>
      <c r="K106" s="691"/>
      <c r="L106" s="437"/>
    </row>
    <row r="107" spans="1:12" ht="15" customHeight="1">
      <c r="A107" s="437"/>
      <c r="B107" s="483"/>
      <c r="C107" s="491"/>
      <c r="D107" s="491"/>
      <c r="E107" s="450"/>
      <c r="F107" s="460"/>
      <c r="G107" s="450"/>
      <c r="H107" s="450"/>
      <c r="I107" s="450"/>
      <c r="J107" s="472"/>
      <c r="K107" s="483"/>
      <c r="L107" s="437"/>
    </row>
    <row r="108" spans="1:12" ht="15" customHeight="1">
      <c r="A108" s="437"/>
      <c r="B108" s="690" t="s">
        <v>95</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96</v>
      </c>
      <c r="C110" s="694"/>
      <c r="D110" s="694"/>
      <c r="E110" s="694"/>
      <c r="F110" s="694"/>
      <c r="G110" s="694"/>
      <c r="H110" s="694"/>
      <c r="I110" s="694"/>
      <c r="J110" s="694"/>
      <c r="K110" s="694"/>
      <c r="L110" s="437"/>
    </row>
    <row r="111" spans="1:12" ht="15" thickBot="1">
      <c r="A111" s="437"/>
      <c r="B111" s="441"/>
      <c r="C111" s="441"/>
      <c r="D111" s="441"/>
      <c r="E111" s="441"/>
      <c r="F111" s="441"/>
      <c r="G111" s="441"/>
      <c r="H111" s="441"/>
      <c r="I111" s="441"/>
      <c r="J111" s="441"/>
      <c r="K111" s="441"/>
      <c r="L111" s="492"/>
    </row>
    <row r="112" spans="1:12" ht="14.25">
      <c r="A112" s="437"/>
      <c r="B112" s="445" t="s">
        <v>46</v>
      </c>
      <c r="C112" s="446"/>
      <c r="D112" s="446"/>
      <c r="E112" s="446"/>
      <c r="F112" s="446"/>
      <c r="G112" s="446"/>
      <c r="H112" s="446"/>
      <c r="I112" s="446"/>
      <c r="J112" s="446"/>
      <c r="K112" s="447"/>
      <c r="L112" s="437"/>
    </row>
    <row r="113" spans="1:12" ht="14.25">
      <c r="A113" s="437"/>
      <c r="B113" s="458"/>
      <c r="C113" s="449" t="s">
        <v>54</v>
      </c>
      <c r="D113" s="449"/>
      <c r="E113" s="449"/>
      <c r="F113" s="449"/>
      <c r="G113" s="449"/>
      <c r="H113" s="449"/>
      <c r="I113" s="449"/>
      <c r="J113" s="449"/>
      <c r="K113" s="452"/>
      <c r="L113" s="437"/>
    </row>
    <row r="114" spans="1:12" ht="14.25">
      <c r="A114" s="437"/>
      <c r="B114" s="458" t="s">
        <v>79</v>
      </c>
      <c r="C114" s="686">
        <v>133685008</v>
      </c>
      <c r="D114" s="686"/>
      <c r="E114" s="450" t="s">
        <v>53</v>
      </c>
      <c r="F114" s="450">
        <v>1000</v>
      </c>
      <c r="G114" s="450" t="s">
        <v>52</v>
      </c>
      <c r="H114" s="467">
        <f>C114/F114</f>
        <v>133685.008</v>
      </c>
      <c r="I114" s="449" t="s">
        <v>80</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81</v>
      </c>
      <c r="D116" s="449"/>
      <c r="E116" s="450"/>
      <c r="F116" s="449" t="s">
        <v>80</v>
      </c>
      <c r="G116" s="449"/>
      <c r="H116" s="449"/>
      <c r="I116" s="449"/>
      <c r="J116" s="449"/>
      <c r="K116" s="452"/>
      <c r="L116" s="437"/>
    </row>
    <row r="117" spans="1:12" ht="14.25">
      <c r="A117" s="437"/>
      <c r="B117" s="458" t="s">
        <v>82</v>
      </c>
      <c r="C117" s="686">
        <v>50000</v>
      </c>
      <c r="D117" s="686"/>
      <c r="E117" s="450" t="s">
        <v>53</v>
      </c>
      <c r="F117" s="467">
        <f>H114</f>
        <v>133685.008</v>
      </c>
      <c r="G117" s="450" t="s">
        <v>52</v>
      </c>
      <c r="H117" s="460">
        <f>C117/F117</f>
        <v>0.3740135169083432</v>
      </c>
      <c r="I117" s="449" t="s">
        <v>83</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93</v>
      </c>
      <c r="D119" s="469"/>
      <c r="E119" s="470"/>
      <c r="F119" s="469"/>
      <c r="G119" s="469"/>
      <c r="H119" s="469"/>
      <c r="I119" s="469"/>
      <c r="J119" s="469"/>
      <c r="K119" s="471"/>
      <c r="L119" s="437"/>
    </row>
    <row r="120" spans="1:12" ht="14.25">
      <c r="A120" s="437"/>
      <c r="B120" s="458" t="s">
        <v>85</v>
      </c>
      <c r="C120" s="686">
        <v>2500000</v>
      </c>
      <c r="D120" s="686"/>
      <c r="E120" s="450" t="s">
        <v>235</v>
      </c>
      <c r="F120" s="488">
        <v>0.25</v>
      </c>
      <c r="G120" s="450" t="s">
        <v>52</v>
      </c>
      <c r="H120" s="467">
        <f>C120*F120</f>
        <v>625000</v>
      </c>
      <c r="I120" s="449" t="s">
        <v>86</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87</v>
      </c>
      <c r="D122" s="469"/>
      <c r="E122" s="470"/>
      <c r="F122" s="469" t="s">
        <v>83</v>
      </c>
      <c r="G122" s="469"/>
      <c r="H122" s="469"/>
      <c r="I122" s="469"/>
      <c r="J122" s="469" t="s">
        <v>88</v>
      </c>
      <c r="K122" s="471"/>
      <c r="L122" s="437"/>
    </row>
    <row r="123" spans="1:12" ht="14.25">
      <c r="A123" s="437"/>
      <c r="B123" s="458" t="s">
        <v>89</v>
      </c>
      <c r="C123" s="687">
        <f>H120</f>
        <v>625000</v>
      </c>
      <c r="D123" s="687"/>
      <c r="E123" s="450" t="s">
        <v>235</v>
      </c>
      <c r="F123" s="460">
        <f>H117</f>
        <v>0.3740135169083432</v>
      </c>
      <c r="G123" s="450" t="s">
        <v>53</v>
      </c>
      <c r="H123" s="450">
        <v>1000</v>
      </c>
      <c r="I123" s="450" t="s">
        <v>52</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8" t="s">
        <v>42</v>
      </c>
      <c r="C125" s="688"/>
      <c r="D125" s="688"/>
      <c r="E125" s="688"/>
      <c r="F125" s="688"/>
      <c r="G125" s="688"/>
      <c r="H125" s="688"/>
      <c r="I125" s="688"/>
      <c r="J125" s="688"/>
      <c r="K125" s="688"/>
      <c r="L125" s="492"/>
    </row>
    <row r="126" spans="1:12" ht="14.25">
      <c r="A126" s="437"/>
      <c r="B126" s="683" t="s">
        <v>97</v>
      </c>
      <c r="C126" s="683"/>
      <c r="D126" s="683"/>
      <c r="E126" s="683"/>
      <c r="F126" s="683"/>
      <c r="G126" s="683"/>
      <c r="H126" s="683"/>
      <c r="I126" s="683"/>
      <c r="J126" s="683"/>
      <c r="K126" s="683"/>
      <c r="L126" s="492"/>
    </row>
    <row r="127" spans="1:12" ht="14.25">
      <c r="A127" s="437"/>
      <c r="B127" s="441"/>
      <c r="C127" s="441"/>
      <c r="D127" s="441"/>
      <c r="E127" s="441"/>
      <c r="F127" s="441"/>
      <c r="G127" s="441"/>
      <c r="H127" s="441"/>
      <c r="I127" s="441"/>
      <c r="J127" s="441"/>
      <c r="K127" s="441"/>
      <c r="L127" s="492"/>
    </row>
    <row r="128" spans="1:12" ht="14.25">
      <c r="A128" s="437"/>
      <c r="B128" s="683" t="s">
        <v>98</v>
      </c>
      <c r="C128" s="683"/>
      <c r="D128" s="683"/>
      <c r="E128" s="683"/>
      <c r="F128" s="683"/>
      <c r="G128" s="683"/>
      <c r="H128" s="683"/>
      <c r="I128" s="683"/>
      <c r="J128" s="683"/>
      <c r="K128" s="683"/>
      <c r="L128" s="492"/>
    </row>
    <row r="129" spans="1:12" ht="14.25">
      <c r="A129" s="437"/>
      <c r="B129" s="478"/>
      <c r="C129" s="478"/>
      <c r="D129" s="478"/>
      <c r="E129" s="478"/>
      <c r="F129" s="478"/>
      <c r="G129" s="478"/>
      <c r="H129" s="478"/>
      <c r="I129" s="478"/>
      <c r="J129" s="478"/>
      <c r="K129" s="478"/>
      <c r="L129" s="492"/>
    </row>
    <row r="130" spans="1:12" ht="74.25" customHeight="1">
      <c r="A130" s="437"/>
      <c r="B130" s="684" t="s">
        <v>99</v>
      </c>
      <c r="C130" s="684"/>
      <c r="D130" s="684"/>
      <c r="E130" s="684"/>
      <c r="F130" s="684"/>
      <c r="G130" s="684"/>
      <c r="H130" s="684"/>
      <c r="I130" s="684"/>
      <c r="J130" s="684"/>
      <c r="K130" s="684"/>
      <c r="L130" s="492"/>
    </row>
    <row r="131" spans="1:12" ht="15" thickBot="1">
      <c r="A131" s="437"/>
      <c r="L131" s="437"/>
    </row>
    <row r="132" spans="1:12" ht="14.25">
      <c r="A132" s="437"/>
      <c r="B132" s="445" t="s">
        <v>46</v>
      </c>
      <c r="C132" s="446"/>
      <c r="D132" s="446"/>
      <c r="E132" s="446"/>
      <c r="F132" s="446"/>
      <c r="G132" s="446"/>
      <c r="H132" s="446"/>
      <c r="I132" s="446"/>
      <c r="J132" s="446"/>
      <c r="K132" s="447"/>
      <c r="L132" s="437"/>
    </row>
    <row r="133" spans="1:12" ht="14.25">
      <c r="A133" s="437"/>
      <c r="B133" s="458"/>
      <c r="C133" s="685" t="s">
        <v>100</v>
      </c>
      <c r="D133" s="685"/>
      <c r="E133" s="449"/>
      <c r="F133" s="450" t="s">
        <v>101</v>
      </c>
      <c r="G133" s="449"/>
      <c r="H133" s="685" t="s">
        <v>86</v>
      </c>
      <c r="I133" s="685"/>
      <c r="J133" s="449"/>
      <c r="K133" s="452"/>
      <c r="L133" s="437"/>
    </row>
    <row r="134" spans="1:12" ht="14.25">
      <c r="A134" s="437"/>
      <c r="B134" s="458" t="s">
        <v>79</v>
      </c>
      <c r="C134" s="686">
        <v>100000</v>
      </c>
      <c r="D134" s="686"/>
      <c r="E134" s="450" t="s">
        <v>235</v>
      </c>
      <c r="F134" s="450">
        <v>0.115</v>
      </c>
      <c r="G134" s="450" t="s">
        <v>52</v>
      </c>
      <c r="H134" s="675">
        <f>C134*F134</f>
        <v>11500</v>
      </c>
      <c r="I134" s="67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4" t="s">
        <v>86</v>
      </c>
      <c r="D136" s="674"/>
      <c r="E136" s="469"/>
      <c r="F136" s="470" t="s">
        <v>102</v>
      </c>
      <c r="G136" s="470"/>
      <c r="H136" s="469"/>
      <c r="I136" s="469"/>
      <c r="J136" s="469" t="s">
        <v>103</v>
      </c>
      <c r="K136" s="471"/>
      <c r="L136" s="437"/>
    </row>
    <row r="137" spans="1:12" ht="14.25">
      <c r="A137" s="437"/>
      <c r="B137" s="458" t="s">
        <v>82</v>
      </c>
      <c r="C137" s="675">
        <f>H134</f>
        <v>11500</v>
      </c>
      <c r="D137" s="675"/>
      <c r="E137" s="450" t="s">
        <v>235</v>
      </c>
      <c r="F137" s="493">
        <v>52.869</v>
      </c>
      <c r="G137" s="450" t="s">
        <v>53</v>
      </c>
      <c r="H137" s="450">
        <v>1000</v>
      </c>
      <c r="I137" s="450" t="s">
        <v>52</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42</v>
      </c>
      <c r="C139" s="499"/>
      <c r="D139" s="499"/>
      <c r="E139" s="500"/>
      <c r="F139" s="501"/>
      <c r="G139" s="500"/>
      <c r="H139" s="500"/>
      <c r="I139" s="500"/>
      <c r="J139" s="502"/>
      <c r="K139" s="503"/>
      <c r="L139" s="437"/>
    </row>
    <row r="140" spans="1:12" ht="14.25">
      <c r="A140" s="437"/>
      <c r="B140" s="504" t="s">
        <v>104</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105</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6" t="s">
        <v>106</v>
      </c>
      <c r="C144" s="677"/>
      <c r="D144" s="677"/>
      <c r="E144" s="677"/>
      <c r="F144" s="677"/>
      <c r="G144" s="677"/>
      <c r="H144" s="677"/>
      <c r="I144" s="677"/>
      <c r="J144" s="677"/>
      <c r="K144" s="678"/>
      <c r="L144" s="437"/>
    </row>
    <row r="145" spans="1:12" ht="15" thickBot="1">
      <c r="A145" s="437"/>
      <c r="B145" s="458"/>
      <c r="C145" s="467"/>
      <c r="D145" s="467"/>
      <c r="E145" s="450"/>
      <c r="F145" s="510"/>
      <c r="G145" s="450"/>
      <c r="H145" s="450"/>
      <c r="I145" s="450"/>
      <c r="J145" s="494"/>
      <c r="K145" s="452"/>
      <c r="L145" s="437"/>
    </row>
    <row r="146" spans="1:12" ht="14.25">
      <c r="A146" s="437"/>
      <c r="B146" s="445" t="s">
        <v>46</v>
      </c>
      <c r="C146" s="511"/>
      <c r="D146" s="511"/>
      <c r="E146" s="512"/>
      <c r="F146" s="513"/>
      <c r="G146" s="512"/>
      <c r="H146" s="512"/>
      <c r="I146" s="512"/>
      <c r="J146" s="514"/>
      <c r="K146" s="447"/>
      <c r="L146" s="437"/>
    </row>
    <row r="147" spans="1:12" ht="14.25">
      <c r="A147" s="437"/>
      <c r="B147" s="458"/>
      <c r="C147" s="675" t="s">
        <v>107</v>
      </c>
      <c r="D147" s="675"/>
      <c r="E147" s="450"/>
      <c r="F147" s="510" t="s">
        <v>108</v>
      </c>
      <c r="G147" s="450"/>
      <c r="H147" s="450"/>
      <c r="I147" s="450"/>
      <c r="J147" s="679" t="s">
        <v>109</v>
      </c>
      <c r="K147" s="680"/>
      <c r="L147" s="437"/>
    </row>
    <row r="148" spans="1:12" ht="14.25">
      <c r="A148" s="437"/>
      <c r="B148" s="458"/>
      <c r="C148" s="681">
        <v>52.869</v>
      </c>
      <c r="D148" s="681"/>
      <c r="E148" s="450" t="s">
        <v>235</v>
      </c>
      <c r="F148" s="515">
        <v>133685008</v>
      </c>
      <c r="G148" s="516" t="s">
        <v>53</v>
      </c>
      <c r="H148" s="450">
        <v>1000</v>
      </c>
      <c r="I148" s="450" t="s">
        <v>52</v>
      </c>
      <c r="J148" s="675">
        <f>C148*(F148/1000)</f>
        <v>7067792.687952</v>
      </c>
      <c r="K148" s="682"/>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110</v>
      </c>
    </row>
    <row r="3" ht="31.5">
      <c r="A3" s="519" t="s">
        <v>111</v>
      </c>
    </row>
    <row r="4" ht="15.75">
      <c r="A4" s="520" t="s">
        <v>112</v>
      </c>
    </row>
    <row r="7" ht="31.5">
      <c r="A7" s="519" t="s">
        <v>113</v>
      </c>
    </row>
    <row r="8" ht="15.75">
      <c r="A8" s="520" t="s">
        <v>114</v>
      </c>
    </row>
    <row r="11" ht="15.75">
      <c r="A11" s="521" t="s">
        <v>115</v>
      </c>
    </row>
    <row r="12" ht="15.75">
      <c r="A12" s="520" t="s">
        <v>116</v>
      </c>
    </row>
    <row r="15" ht="15.75">
      <c r="A15" s="521" t="s">
        <v>117</v>
      </c>
    </row>
    <row r="16" ht="15.75">
      <c r="A16" s="520" t="s">
        <v>118</v>
      </c>
    </row>
    <row r="19" ht="15.75">
      <c r="A19" s="521" t="s">
        <v>119</v>
      </c>
    </row>
    <row r="20" ht="15.75">
      <c r="A20" s="520" t="s">
        <v>120</v>
      </c>
    </row>
    <row r="23" ht="15.75">
      <c r="A23" s="521" t="s">
        <v>121</v>
      </c>
    </row>
    <row r="24" ht="15.75">
      <c r="A24" s="520" t="s">
        <v>122</v>
      </c>
    </row>
    <row r="27" ht="15.75">
      <c r="A27" s="521" t="s">
        <v>123</v>
      </c>
    </row>
    <row r="28" ht="15.75">
      <c r="A28" s="520" t="s">
        <v>124</v>
      </c>
    </row>
    <row r="31" ht="15.75">
      <c r="A31" s="521" t="s">
        <v>125</v>
      </c>
    </row>
    <row r="32" ht="15.75">
      <c r="A32" s="520" t="s">
        <v>126</v>
      </c>
    </row>
    <row r="35" ht="15.75">
      <c r="A35" s="521" t="s">
        <v>127</v>
      </c>
    </row>
    <row r="36" ht="15.75">
      <c r="A36" s="520" t="s">
        <v>128</v>
      </c>
    </row>
    <row r="39" ht="15.75">
      <c r="A39" s="521" t="s">
        <v>129</v>
      </c>
    </row>
    <row r="40" ht="15.75">
      <c r="A40" s="520" t="s">
        <v>130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196</v>
      </c>
    </row>
    <row r="2" ht="15.75">
      <c r="A2" s="590" t="s">
        <v>197</v>
      </c>
    </row>
    <row r="3" ht="15.75">
      <c r="A3" s="590" t="s">
        <v>198</v>
      </c>
    </row>
    <row r="5" ht="15.75">
      <c r="A5" s="381" t="s">
        <v>150</v>
      </c>
    </row>
    <row r="6" ht="15.75">
      <c r="A6" s="590" t="s">
        <v>151</v>
      </c>
    </row>
    <row r="7" ht="15.75">
      <c r="A7" s="590" t="s">
        <v>152</v>
      </c>
    </row>
    <row r="8" ht="31.5">
      <c r="A8" s="591" t="s">
        <v>192</v>
      </c>
    </row>
    <row r="9" ht="15.75">
      <c r="A9" s="590" t="s">
        <v>153</v>
      </c>
    </row>
    <row r="10" ht="15.75">
      <c r="A10" s="590" t="s">
        <v>154</v>
      </c>
    </row>
    <row r="11" ht="15.75">
      <c r="A11" s="590" t="s">
        <v>155</v>
      </c>
    </row>
    <row r="12" ht="15.75">
      <c r="A12" s="590" t="s">
        <v>156</v>
      </c>
    </row>
    <row r="13" ht="15.75">
      <c r="A13" s="590" t="s">
        <v>157</v>
      </c>
    </row>
    <row r="14" ht="15.75">
      <c r="A14" s="590" t="s">
        <v>158</v>
      </c>
    </row>
    <row r="15" ht="15.75">
      <c r="A15" s="590" t="s">
        <v>159</v>
      </c>
    </row>
    <row r="16" ht="15.75">
      <c r="A16" s="590" t="s">
        <v>160</v>
      </c>
    </row>
    <row r="17" ht="15.75">
      <c r="A17" s="590" t="s">
        <v>161</v>
      </c>
    </row>
    <row r="18" ht="15.75">
      <c r="A18" s="590" t="s">
        <v>162</v>
      </c>
    </row>
    <row r="19" ht="15.75">
      <c r="A19" s="590" t="s">
        <v>163</v>
      </c>
    </row>
    <row r="20" ht="15.75">
      <c r="A20" s="590" t="s">
        <v>164</v>
      </c>
    </row>
    <row r="21" ht="15.75">
      <c r="A21" s="590" t="s">
        <v>165</v>
      </c>
    </row>
    <row r="22" ht="15.75">
      <c r="A22" s="590" t="s">
        <v>166</v>
      </c>
    </row>
    <row r="23" ht="15.75">
      <c r="A23" s="590" t="s">
        <v>167</v>
      </c>
    </row>
    <row r="24" ht="15.75">
      <c r="A24" s="590" t="s">
        <v>168</v>
      </c>
    </row>
    <row r="25" ht="15.75">
      <c r="A25" s="590" t="s">
        <v>169</v>
      </c>
    </row>
    <row r="26" ht="15.75">
      <c r="A26" s="590" t="s">
        <v>170</v>
      </c>
    </row>
    <row r="27" ht="15.75">
      <c r="A27" s="590" t="s">
        <v>171</v>
      </c>
    </row>
    <row r="28" ht="15.75">
      <c r="A28" s="590" t="s">
        <v>193</v>
      </c>
    </row>
    <row r="30" ht="15.75">
      <c r="A30" s="381" t="s">
        <v>31</v>
      </c>
    </row>
    <row r="31" ht="15.75">
      <c r="A31" s="98" t="s">
        <v>34</v>
      </c>
    </row>
    <row r="32" ht="15.75">
      <c r="A32" s="98" t="s">
        <v>32</v>
      </c>
    </row>
    <row r="33" ht="15.75">
      <c r="A33" s="98" t="s">
        <v>33</v>
      </c>
    </row>
    <row r="35" ht="15.75">
      <c r="A35" s="394" t="s">
        <v>23</v>
      </c>
    </row>
    <row r="36" ht="15.75">
      <c r="A36" s="98" t="s">
        <v>30</v>
      </c>
    </row>
    <row r="38" ht="15.75">
      <c r="A38" s="381" t="s">
        <v>548</v>
      </c>
    </row>
    <row r="39" ht="15.75">
      <c r="A39" s="382" t="s">
        <v>549</v>
      </c>
    </row>
    <row r="40" ht="15.75">
      <c r="A40" s="382" t="s">
        <v>550</v>
      </c>
    </row>
    <row r="41" ht="15.75">
      <c r="A41" s="382" t="s">
        <v>551</v>
      </c>
    </row>
    <row r="42" ht="15.75">
      <c r="A42" s="98" t="s">
        <v>552</v>
      </c>
    </row>
    <row r="44" ht="15.75">
      <c r="A44" s="340" t="s">
        <v>504</v>
      </c>
    </row>
    <row r="45" ht="15.75">
      <c r="A45" s="98" t="s">
        <v>495</v>
      </c>
    </row>
    <row r="46" ht="15.75">
      <c r="A46" s="98" t="s">
        <v>496</v>
      </c>
    </row>
    <row r="47" ht="15.75">
      <c r="A47" s="98" t="s">
        <v>497</v>
      </c>
    </row>
    <row r="48" ht="15.75">
      <c r="A48" s="98" t="s">
        <v>498</v>
      </c>
    </row>
    <row r="49" ht="15.75">
      <c r="A49" s="98" t="s">
        <v>499</v>
      </c>
    </row>
    <row r="50" ht="15.75">
      <c r="A50" s="98" t="s">
        <v>500</v>
      </c>
    </row>
    <row r="51" ht="15.75">
      <c r="A51" s="98" t="s">
        <v>517</v>
      </c>
    </row>
    <row r="52" ht="15.75">
      <c r="A52" s="98" t="s">
        <v>518</v>
      </c>
    </row>
    <row r="53" ht="15.75">
      <c r="A53" s="98" t="s">
        <v>519</v>
      </c>
    </row>
    <row r="54" ht="15.75">
      <c r="A54" s="98" t="s">
        <v>520</v>
      </c>
    </row>
    <row r="55" ht="15.75">
      <c r="A55" s="98" t="s">
        <v>521</v>
      </c>
    </row>
    <row r="56" ht="15.75">
      <c r="A56" s="98" t="s">
        <v>522</v>
      </c>
    </row>
    <row r="58" ht="15.75">
      <c r="A58" s="340" t="s">
        <v>490</v>
      </c>
    </row>
    <row r="59" ht="15.75">
      <c r="A59" s="98" t="s">
        <v>501</v>
      </c>
    </row>
    <row r="60" ht="15.75">
      <c r="A60" s="98" t="s">
        <v>491</v>
      </c>
    </row>
    <row r="61" ht="15.75">
      <c r="A61" s="98" t="s">
        <v>492</v>
      </c>
    </row>
    <row r="63" ht="15.75">
      <c r="A63" s="340" t="s">
        <v>486</v>
      </c>
    </row>
    <row r="64" ht="15.75">
      <c r="A64" s="98" t="s">
        <v>487</v>
      </c>
    </row>
    <row r="65" ht="15.75">
      <c r="A65" s="98" t="s">
        <v>488</v>
      </c>
    </row>
    <row r="67" ht="15.75">
      <c r="A67" s="340" t="s">
        <v>467</v>
      </c>
    </row>
    <row r="68" ht="15.75">
      <c r="A68" s="98" t="s">
        <v>468</v>
      </c>
    </row>
    <row r="69" ht="36" customHeight="1">
      <c r="A69" s="341" t="s">
        <v>469</v>
      </c>
    </row>
    <row r="70" ht="15.75">
      <c r="A70" s="98" t="s">
        <v>470</v>
      </c>
    </row>
    <row r="71" ht="18.75" customHeight="1">
      <c r="A71" s="98" t="s">
        <v>471</v>
      </c>
    </row>
    <row r="72" ht="15.75">
      <c r="A72" s="98" t="s">
        <v>472</v>
      </c>
    </row>
    <row r="73" ht="24.75" customHeight="1">
      <c r="A73" s="98" t="s">
        <v>473</v>
      </c>
    </row>
    <row r="74" ht="39" customHeight="1">
      <c r="A74" s="341" t="s">
        <v>474</v>
      </c>
    </row>
    <row r="75" ht="38.25" customHeight="1">
      <c r="A75" s="341" t="s">
        <v>475</v>
      </c>
    </row>
    <row r="76" ht="37.5" customHeight="1">
      <c r="A76" s="341" t="s">
        <v>476</v>
      </c>
    </row>
    <row r="77" ht="21" customHeight="1">
      <c r="A77" s="341" t="s">
        <v>477</v>
      </c>
    </row>
    <row r="78" ht="35.25" customHeight="1">
      <c r="A78" s="341" t="s">
        <v>478</v>
      </c>
    </row>
    <row r="79" ht="15.75">
      <c r="A79" s="98" t="s">
        <v>479</v>
      </c>
    </row>
    <row r="80" ht="15.75">
      <c r="A80" s="98" t="s">
        <v>480</v>
      </c>
    </row>
    <row r="81" ht="15.75">
      <c r="A81" s="98" t="s">
        <v>481</v>
      </c>
    </row>
    <row r="82" ht="15.75">
      <c r="A82" s="98" t="s">
        <v>482</v>
      </c>
    </row>
    <row r="83" ht="15.75">
      <c r="A83" s="98" t="s">
        <v>483</v>
      </c>
    </row>
    <row r="86" ht="15.75">
      <c r="A86" s="340" t="s">
        <v>389</v>
      </c>
    </row>
    <row r="87" ht="15.75">
      <c r="A87" s="98" t="s">
        <v>398</v>
      </c>
    </row>
    <row r="88" ht="15.75">
      <c r="A88" s="98" t="s">
        <v>399</v>
      </c>
    </row>
    <row r="89" ht="15.75">
      <c r="A89" s="98" t="s">
        <v>400</v>
      </c>
    </row>
    <row r="90" ht="15.75">
      <c r="A90" s="98" t="s">
        <v>413</v>
      </c>
    </row>
    <row r="91" ht="15.75">
      <c r="A91" s="98" t="s">
        <v>401</v>
      </c>
    </row>
    <row r="92" ht="15.75">
      <c r="A92" s="98" t="s">
        <v>402</v>
      </c>
    </row>
    <row r="93" ht="15.75">
      <c r="A93" s="98" t="s">
        <v>403</v>
      </c>
    </row>
    <row r="94" ht="15.75">
      <c r="A94" s="98" t="s">
        <v>404</v>
      </c>
    </row>
    <row r="95" ht="15.75">
      <c r="A95" s="98" t="s">
        <v>414</v>
      </c>
    </row>
    <row r="96" ht="15.75">
      <c r="A96" s="98" t="s">
        <v>405</v>
      </c>
    </row>
    <row r="97" ht="15.75">
      <c r="A97" s="98" t="s">
        <v>406</v>
      </c>
    </row>
    <row r="98" ht="15.75">
      <c r="A98" s="98" t="s">
        <v>407</v>
      </c>
    </row>
    <row r="99" ht="15.75">
      <c r="A99" s="98" t="s">
        <v>415</v>
      </c>
    </row>
    <row r="100" ht="15.75">
      <c r="A100" s="98" t="s">
        <v>416</v>
      </c>
    </row>
    <row r="101" ht="15.75">
      <c r="A101" s="98" t="s">
        <v>423</v>
      </c>
    </row>
    <row r="102" ht="15.75">
      <c r="A102" s="98" t="s">
        <v>502</v>
      </c>
    </row>
    <row r="103" ht="15.75">
      <c r="A103" s="98" t="s">
        <v>207</v>
      </c>
    </row>
    <row r="104" ht="15.75">
      <c r="A104" s="98" t="s">
        <v>208</v>
      </c>
    </row>
    <row r="105" ht="15.75">
      <c r="A105" s="98" t="s">
        <v>209</v>
      </c>
    </row>
    <row r="106" ht="15.75">
      <c r="A106" s="98" t="s">
        <v>503</v>
      </c>
    </row>
    <row r="107" ht="15.75">
      <c r="A107" s="98" t="s">
        <v>432</v>
      </c>
    </row>
    <row r="108" ht="15.75">
      <c r="A108" s="98" t="s">
        <v>433</v>
      </c>
    </row>
    <row r="109" ht="15.75">
      <c r="A109" s="98" t="s">
        <v>210</v>
      </c>
    </row>
    <row r="110" ht="15.75">
      <c r="A110" s="98" t="s">
        <v>211</v>
      </c>
    </row>
    <row r="111" ht="15.75">
      <c r="A111" s="98" t="s">
        <v>441</v>
      </c>
    </row>
    <row r="112" ht="15.75">
      <c r="A112" s="98" t="s">
        <v>442</v>
      </c>
    </row>
    <row r="113" ht="15.75">
      <c r="A113" s="98" t="s">
        <v>447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60" sqref="B6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Springfield Cemetery</v>
      </c>
      <c r="B1" s="62"/>
      <c r="C1" s="62"/>
      <c r="D1" s="62"/>
      <c r="E1" s="62">
        <f>inputPrYr!D6</f>
        <v>2012</v>
      </c>
    </row>
    <row r="2" spans="1:5" ht="15.75">
      <c r="A2" s="62" t="str">
        <f>inputPrYr!D4</f>
        <v>Anderson County</v>
      </c>
      <c r="B2" s="62"/>
      <c r="C2" s="62"/>
      <c r="D2" s="62"/>
      <c r="E2" s="62"/>
    </row>
    <row r="3" spans="1:5" ht="15">
      <c r="A3" s="64"/>
      <c r="B3" s="64"/>
      <c r="C3" s="64"/>
      <c r="D3" s="64"/>
      <c r="E3" s="64"/>
    </row>
    <row r="4" spans="1:5" ht="15.75">
      <c r="A4" s="615" t="s">
        <v>408</v>
      </c>
      <c r="B4" s="616"/>
      <c r="C4" s="616"/>
      <c r="D4" s="616"/>
      <c r="E4" s="616"/>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2331326</v>
      </c>
    </row>
    <row r="8" spans="1:5" ht="15.75">
      <c r="A8" s="68" t="str">
        <f>CONCATENATE("New Improvements for ",inputPrYr!D6-1,"")</f>
        <v>New Improvements for 2011</v>
      </c>
      <c r="B8" s="69"/>
      <c r="C8" s="69"/>
      <c r="D8" s="69"/>
      <c r="E8" s="70">
        <v>8386</v>
      </c>
    </row>
    <row r="9" spans="1:5" ht="15.75">
      <c r="A9" s="68" t="str">
        <f>CONCATENATE("Personal Property excluding oil, gas, and mobile homes- ",inputPrYr!D6-1,"")</f>
        <v>Personal Property excluding oil, gas, and mobile homes- 2011</v>
      </c>
      <c r="B9" s="69"/>
      <c r="C9" s="69"/>
      <c r="D9" s="69"/>
      <c r="E9" s="70">
        <v>37001</v>
      </c>
    </row>
    <row r="10" spans="1:5" ht="15.75">
      <c r="A10" s="68" t="str">
        <f>CONCATENATE("Property that has changed in use for ",inputPrYr!D6-1,"")</f>
        <v>Property that has changed in use for 2011</v>
      </c>
      <c r="B10" s="69"/>
      <c r="C10" s="69"/>
      <c r="D10" s="69"/>
      <c r="E10" s="70">
        <v>1485</v>
      </c>
    </row>
    <row r="11" spans="1:5" ht="15.75">
      <c r="A11" s="67" t="str">
        <f>CONCATENATE("Personal Property excluding oil, gas, and mobile homes- ",inputPrYr!D6-2,"")</f>
        <v>Personal Property excluding oil, gas, and mobile homes- 2010</v>
      </c>
      <c r="B11" s="42"/>
      <c r="C11" s="42"/>
      <c r="D11" s="42"/>
      <c r="E11" s="70">
        <v>44177</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5" t="s">
        <v>233</v>
      </c>
      <c r="B15" s="620"/>
      <c r="C15" s="64"/>
      <c r="D15" s="75" t="s">
        <v>271</v>
      </c>
      <c r="E15" s="74"/>
    </row>
    <row r="16" spans="1:5" ht="15.75">
      <c r="A16" s="67" t="s">
        <v>217</v>
      </c>
      <c r="B16" s="42"/>
      <c r="C16" s="71"/>
      <c r="D16" s="76">
        <v>1.624</v>
      </c>
      <c r="E16" s="74"/>
    </row>
    <row r="17" spans="1:5" ht="15.75">
      <c r="A17" s="68" t="s">
        <v>489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418</v>
      </c>
      <c r="C22" s="80"/>
      <c r="D22" s="81">
        <f>SUM(D16:D21)</f>
        <v>1.624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2237079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221</v>
      </c>
      <c r="B27" s="42"/>
      <c r="C27" s="42"/>
      <c r="D27" s="85"/>
      <c r="E27" s="37">
        <v>307</v>
      </c>
    </row>
    <row r="28" spans="1:5" ht="15.75">
      <c r="A28" s="68" t="s">
        <v>222</v>
      </c>
      <c r="B28" s="69"/>
      <c r="C28" s="69"/>
      <c r="D28" s="86"/>
      <c r="E28" s="37">
        <v>8</v>
      </c>
    </row>
    <row r="29" spans="1:5" ht="15.75">
      <c r="A29" s="68" t="s">
        <v>383</v>
      </c>
      <c r="B29" s="69"/>
      <c r="C29" s="69"/>
      <c r="D29" s="86"/>
      <c r="E29" s="37">
        <v>73</v>
      </c>
    </row>
    <row r="30" spans="1:5" ht="15.75">
      <c r="A30" s="68" t="s">
        <v>370</v>
      </c>
      <c r="B30" s="69"/>
      <c r="C30" s="69"/>
      <c r="D30" s="86"/>
      <c r="E30" s="37"/>
    </row>
    <row r="31" spans="1:5" ht="15.75">
      <c r="A31" s="68" t="s">
        <v>371</v>
      </c>
      <c r="B31" s="69"/>
      <c r="C31" s="69"/>
      <c r="D31" s="86"/>
      <c r="E31" s="37"/>
    </row>
    <row r="32" spans="1:5" ht="15.75">
      <c r="A32" s="67"/>
      <c r="B32" s="42"/>
      <c r="C32" s="42"/>
      <c r="D32" s="85"/>
      <c r="E32" s="37"/>
    </row>
    <row r="33" spans="1:5" ht="15.75">
      <c r="A33" s="18" t="s">
        <v>384</v>
      </c>
      <c r="B33" s="18"/>
      <c r="C33" s="18"/>
      <c r="D33" s="18"/>
      <c r="E33" s="18"/>
    </row>
    <row r="34" spans="1:5" ht="15.75">
      <c r="A34" s="87" t="s">
        <v>321</v>
      </c>
      <c r="B34" s="26"/>
      <c r="C34" s="26"/>
      <c r="D34" s="18"/>
      <c r="E34" s="18"/>
    </row>
    <row r="35" spans="1:5" ht="15.75">
      <c r="A35" s="88" t="str">
        <f>CONCATENATE("Actual Delinquency for ",E1-3," Tax (round to three decimal places)")</f>
        <v>Actual Delinquency for 2009 Tax (round to three decimal places)</v>
      </c>
      <c r="B35" s="71"/>
      <c r="C35" s="18"/>
      <c r="D35" s="18"/>
      <c r="E35" s="89">
        <v>0.0291</v>
      </c>
    </row>
    <row r="36" spans="1:5" ht="15.75">
      <c r="A36" s="88" t="s">
        <v>419</v>
      </c>
      <c r="B36" s="88"/>
      <c r="C36" s="71"/>
      <c r="D36" s="71"/>
      <c r="E36" s="413">
        <v>0</v>
      </c>
    </row>
    <row r="37" spans="1:5" ht="15.75">
      <c r="A37" s="90" t="s">
        <v>385</v>
      </c>
      <c r="B37" s="90"/>
      <c r="C37" s="91"/>
      <c r="D37" s="91"/>
      <c r="E37" s="92"/>
    </row>
    <row r="38" spans="1:5" ht="15">
      <c r="A38" s="64"/>
      <c r="B38" s="64"/>
      <c r="C38" s="64"/>
      <c r="D38" s="64"/>
      <c r="E38" s="64"/>
    </row>
    <row r="39" spans="1:5" ht="15.75">
      <c r="A39" s="626" t="str">
        <f>CONCATENATE("From the ",E1-2," Budget Certificate Page")</f>
        <v>From the 2010 Budget Certificate Page</v>
      </c>
      <c r="B39" s="627"/>
      <c r="C39" s="64"/>
      <c r="D39" s="64"/>
      <c r="E39" s="64"/>
    </row>
    <row r="40" spans="1:5" ht="15.75">
      <c r="A40" s="93"/>
      <c r="B40" s="93" t="str">
        <f>CONCATENATE("",E1-2," Expenditure Amounts")</f>
        <v>2010 Expenditure Amounts</v>
      </c>
      <c r="C40" s="628" t="str">
        <f>CONCATENATE("Note: If the ",E1-2," budget was amended, then the")</f>
        <v>Note: If the 2010 budget was amended, then the</v>
      </c>
      <c r="D40" s="629"/>
      <c r="E40" s="629"/>
    </row>
    <row r="41" spans="1:5" ht="15.75">
      <c r="A41" s="94" t="s">
        <v>428</v>
      </c>
      <c r="B41" s="94" t="s">
        <v>429</v>
      </c>
      <c r="C41" s="95" t="s">
        <v>430</v>
      </c>
      <c r="D41" s="96"/>
      <c r="E41" s="96"/>
    </row>
    <row r="42" spans="1:5" ht="15.75">
      <c r="A42" s="97" t="str">
        <f>inputPrYr!B19</f>
        <v>General</v>
      </c>
      <c r="B42" s="58">
        <v>6100</v>
      </c>
      <c r="C42" s="95" t="s">
        <v>431</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30" t="s">
        <v>537</v>
      </c>
      <c r="B2" s="631"/>
      <c r="C2" s="631"/>
      <c r="D2" s="631"/>
      <c r="E2" s="631"/>
      <c r="F2" s="631"/>
    </row>
    <row r="4" spans="1:6" ht="15.75">
      <c r="A4" s="366"/>
      <c r="B4" s="366"/>
      <c r="C4" s="366"/>
      <c r="D4" s="367"/>
      <c r="E4" s="366"/>
      <c r="F4" s="366"/>
    </row>
    <row r="5" spans="1:6" ht="15.75">
      <c r="A5" s="368" t="s">
        <v>538</v>
      </c>
      <c r="B5" s="369"/>
      <c r="C5" s="370"/>
      <c r="D5" s="368" t="s">
        <v>195</v>
      </c>
      <c r="E5" s="366"/>
      <c r="F5" s="366"/>
    </row>
    <row r="6" spans="1:6" ht="15.75">
      <c r="A6" s="368"/>
      <c r="B6" s="371"/>
      <c r="C6" s="372"/>
      <c r="D6" s="368" t="s">
        <v>194</v>
      </c>
      <c r="E6" s="366"/>
      <c r="F6" s="366"/>
    </row>
    <row r="7" spans="1:6" ht="15.75">
      <c r="A7" s="368" t="s">
        <v>539</v>
      </c>
      <c r="B7" s="369"/>
      <c r="C7" s="373"/>
      <c r="D7" s="368"/>
      <c r="E7" s="366"/>
      <c r="F7" s="366"/>
    </row>
    <row r="8" spans="1:6" ht="15.75">
      <c r="A8" s="368"/>
      <c r="B8" s="368"/>
      <c r="C8" s="368"/>
      <c r="D8" s="368"/>
      <c r="E8" s="366"/>
      <c r="F8" s="366"/>
    </row>
    <row r="9" spans="1:6" ht="15.75">
      <c r="A9" s="368" t="s">
        <v>540</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541</v>
      </c>
      <c r="B12" s="374"/>
      <c r="C12" s="374"/>
      <c r="D12" s="374"/>
      <c r="E12" s="375"/>
      <c r="F12" s="366"/>
    </row>
    <row r="15" spans="1:6" ht="15.75">
      <c r="A15" s="632" t="s">
        <v>542</v>
      </c>
      <c r="B15" s="632"/>
      <c r="C15" s="368"/>
      <c r="D15" s="368"/>
      <c r="E15" s="368"/>
      <c r="F15" s="366"/>
    </row>
    <row r="16" spans="1:6" ht="15.75">
      <c r="A16" s="368"/>
      <c r="B16" s="368"/>
      <c r="C16" s="368"/>
      <c r="D16" s="368"/>
      <c r="E16" s="368"/>
      <c r="F16" s="366"/>
    </row>
    <row r="17" spans="1:5" ht="15.75">
      <c r="A17" s="368" t="s">
        <v>538</v>
      </c>
      <c r="B17" s="371" t="s">
        <v>543</v>
      </c>
      <c r="C17" s="368"/>
      <c r="D17" s="368"/>
      <c r="E17" s="368"/>
    </row>
    <row r="18" spans="1:5" ht="15.75">
      <c r="A18" s="368"/>
      <c r="B18" s="368"/>
      <c r="C18" s="368"/>
      <c r="D18" s="368"/>
      <c r="E18" s="368"/>
    </row>
    <row r="19" spans="1:5" ht="15.75">
      <c r="A19" s="368" t="s">
        <v>539</v>
      </c>
      <c r="B19" s="368" t="s">
        <v>544</v>
      </c>
      <c r="C19" s="368"/>
      <c r="D19" s="368"/>
      <c r="E19" s="368"/>
    </row>
    <row r="20" spans="1:5" ht="15.75">
      <c r="A20" s="368"/>
      <c r="B20" s="368"/>
      <c r="C20" s="368"/>
      <c r="D20" s="368"/>
      <c r="E20" s="368"/>
    </row>
    <row r="21" spans="1:5" ht="15.75">
      <c r="A21" s="368" t="s">
        <v>540</v>
      </c>
      <c r="B21" s="368" t="s">
        <v>546</v>
      </c>
      <c r="C21" s="368"/>
      <c r="D21" s="368"/>
      <c r="E21" s="368"/>
    </row>
    <row r="22" spans="1:5" ht="15.75">
      <c r="A22" s="368"/>
      <c r="B22" s="368"/>
      <c r="C22" s="368"/>
      <c r="D22" s="368"/>
      <c r="E22" s="368"/>
    </row>
    <row r="23" spans="1:5" ht="15.75">
      <c r="A23" s="368" t="s">
        <v>541</v>
      </c>
      <c r="B23" s="368" t="s">
        <v>545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7">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3" t="s">
        <v>289</v>
      </c>
      <c r="B2" s="603"/>
      <c r="C2" s="603"/>
      <c r="D2" s="603"/>
      <c r="E2" s="603"/>
      <c r="F2" s="603"/>
      <c r="G2" s="603"/>
    </row>
    <row r="3" spans="1:7" ht="15.75">
      <c r="A3" s="18"/>
      <c r="B3" s="18"/>
      <c r="C3" s="18"/>
      <c r="D3" s="18"/>
      <c r="E3" s="18"/>
      <c r="F3" s="18"/>
      <c r="G3" s="62">
        <f>inputPrYr!D6</f>
        <v>2012</v>
      </c>
    </row>
    <row r="4" spans="1:7" ht="15.75">
      <c r="A4" s="604" t="str">
        <f>CONCATENATE("To the Clerk of ",inputPrYr!D4,", State of Kansas")</f>
        <v>To the Clerk of Anderson County, State of Kansas</v>
      </c>
      <c r="B4" s="604"/>
      <c r="C4" s="604"/>
      <c r="D4" s="604"/>
      <c r="E4" s="604"/>
      <c r="F4" s="604"/>
      <c r="G4" s="604"/>
    </row>
    <row r="5" spans="1:7" ht="15.75">
      <c r="A5" s="100" t="s">
        <v>366</v>
      </c>
      <c r="B5" s="26"/>
      <c r="C5" s="26"/>
      <c r="D5" s="26"/>
      <c r="E5" s="26"/>
      <c r="F5" s="26"/>
      <c r="G5" s="26"/>
    </row>
    <row r="6" spans="1:7" ht="15.75">
      <c r="A6" s="617" t="str">
        <f>inputPrYr!D3</f>
        <v>Springfield Cemetery</v>
      </c>
      <c r="B6" s="617"/>
      <c r="C6" s="617"/>
      <c r="D6" s="617"/>
      <c r="E6" s="617"/>
      <c r="F6" s="617"/>
      <c r="G6" s="617"/>
    </row>
    <row r="7" spans="1:7" ht="15.75">
      <c r="A7" s="18"/>
      <c r="B7" s="18"/>
      <c r="C7" s="18"/>
      <c r="D7" s="18"/>
      <c r="E7" s="18"/>
      <c r="F7" s="18"/>
      <c r="G7" s="18"/>
    </row>
    <row r="8" spans="1:7" ht="15.75">
      <c r="A8" s="100" t="s">
        <v>223</v>
      </c>
      <c r="B8" s="26"/>
      <c r="C8" s="26"/>
      <c r="D8" s="26"/>
      <c r="E8" s="26"/>
      <c r="F8" s="26"/>
      <c r="G8" s="26"/>
    </row>
    <row r="9" spans="1:7" ht="15.75">
      <c r="A9" s="100" t="s">
        <v>224</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5" t="str">
        <f>CONCATENATE("",G3," Adopted Budget")</f>
        <v>2012 Adopted Budget</v>
      </c>
      <c r="F13" s="606"/>
      <c r="G13" s="607"/>
    </row>
    <row r="14" spans="1:8" ht="15.75">
      <c r="A14" s="17"/>
      <c r="B14" s="18"/>
      <c r="C14" s="18"/>
      <c r="D14" s="42"/>
      <c r="E14" s="104" t="s">
        <v>225</v>
      </c>
      <c r="F14" s="105"/>
      <c r="G14" s="106" t="s">
        <v>226</v>
      </c>
      <c r="H14" s="107"/>
    </row>
    <row r="15" spans="1:7" ht="15.75">
      <c r="A15" s="18"/>
      <c r="B15" s="18"/>
      <c r="C15" s="18"/>
      <c r="D15" s="105" t="s">
        <v>227</v>
      </c>
      <c r="E15" s="108" t="s">
        <v>429</v>
      </c>
      <c r="F15" s="608" t="str">
        <f>CONCATENATE("Amount of ",G3-1," Ad Valorem Tax")</f>
        <v>Amount of 2011 Ad Valorem Tax</v>
      </c>
      <c r="G15" s="106" t="s">
        <v>228</v>
      </c>
    </row>
    <row r="16" spans="1:7" ht="15.75">
      <c r="A16" s="17" t="s">
        <v>229</v>
      </c>
      <c r="B16" s="18"/>
      <c r="C16" s="18"/>
      <c r="D16" s="108" t="s">
        <v>230</v>
      </c>
      <c r="E16" s="108" t="s">
        <v>35</v>
      </c>
      <c r="F16" s="608"/>
      <c r="G16" s="106" t="s">
        <v>232</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425</v>
      </c>
      <c r="B19" s="109"/>
      <c r="C19" s="109"/>
      <c r="D19" s="114">
        <v>3</v>
      </c>
      <c r="E19" s="103"/>
      <c r="F19" s="103"/>
      <c r="G19" s="115"/>
    </row>
    <row r="20" spans="1:7" ht="15.75">
      <c r="A20" s="116" t="s">
        <v>355</v>
      </c>
      <c r="B20" s="109"/>
      <c r="C20" s="109"/>
      <c r="D20" s="117">
        <v>4</v>
      </c>
      <c r="E20" s="103"/>
      <c r="F20" s="103"/>
      <c r="G20" s="115"/>
    </row>
    <row r="21" spans="1:7" ht="15.75">
      <c r="A21" s="113" t="s">
        <v>354</v>
      </c>
      <c r="B21" s="109"/>
      <c r="C21" s="109"/>
      <c r="D21" s="117">
        <v>5</v>
      </c>
      <c r="E21" s="103"/>
      <c r="F21" s="103"/>
      <c r="G21" s="115"/>
    </row>
    <row r="22" spans="1:7" ht="15.75">
      <c r="A22" s="118" t="s">
        <v>233</v>
      </c>
      <c r="B22" s="119"/>
      <c r="C22" s="120" t="s">
        <v>234</v>
      </c>
      <c r="D22" s="114"/>
      <c r="E22" s="121"/>
      <c r="F22" s="42"/>
      <c r="G22" s="46"/>
    </row>
    <row r="23" spans="1:7" ht="15.75">
      <c r="A23" s="122" t="s">
        <v>217</v>
      </c>
      <c r="B23" s="119"/>
      <c r="C23" s="114" t="str">
        <f>inputPrYr!C19</f>
        <v>17-1330</v>
      </c>
      <c r="D23" s="123">
        <v>6</v>
      </c>
      <c r="E23" s="124">
        <f>IF(gen!$E$50&lt;&gt;0,gen!$E$50,"  ")</f>
        <v>5100</v>
      </c>
      <c r="F23" s="124">
        <f>IF(gen!$E$57&lt;&gt;0,gen!$E$57,"  ")</f>
        <v>1417</v>
      </c>
      <c r="G23" s="125" t="str">
        <f>IF(AND(gen!E57=0,$G$32&gt;=0)," ",IF(AND(F23&gt;0,$G$32=0)," ",IF(AND(F23&gt;0,$G$32&gt;0),ROUND(F23/$G$32*1000,3))))</f>
        <v> </v>
      </c>
    </row>
    <row r="24" spans="1:7" ht="15.75">
      <c r="A24" s="122" t="s">
        <v>489</v>
      </c>
      <c r="B24" s="119"/>
      <c r="C24" s="114" t="s">
        <v>367</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344</v>
      </c>
      <c r="B30" s="69"/>
      <c r="C30" s="119"/>
      <c r="D30" s="135" t="s">
        <v>235</v>
      </c>
      <c r="E30" s="414">
        <f>SUM(E23:E28)</f>
        <v>5100</v>
      </c>
      <c r="F30" s="415">
        <f>SUM(F23:F28)</f>
        <v>1417</v>
      </c>
      <c r="G30" s="419">
        <f>IF(SUM(G23:G28)=0,"",SUM(G23:G28))</f>
      </c>
    </row>
    <row r="31" spans="1:7" ht="15.75">
      <c r="A31" s="122" t="s">
        <v>417</v>
      </c>
      <c r="B31" s="69"/>
      <c r="C31" s="119"/>
      <c r="D31" s="138">
        <f>summ!E41</f>
        <v>7</v>
      </c>
      <c r="E31" s="142" t="s">
        <v>412</v>
      </c>
      <c r="F31" s="418" t="str">
        <f>IF(F30&gt;computation!J34,"Yes","No")</f>
        <v>No</v>
      </c>
      <c r="G31" s="420" t="s">
        <v>346</v>
      </c>
    </row>
    <row r="32" spans="1:7" ht="15.75">
      <c r="A32" s="122" t="s">
        <v>436</v>
      </c>
      <c r="B32" s="140"/>
      <c r="C32" s="141"/>
      <c r="D32" s="138">
        <f>IF(Nhood!C35=0,"",Nhood!C35)</f>
      </c>
      <c r="E32" s="416"/>
      <c r="F32" s="71"/>
      <c r="G32" s="147"/>
    </row>
    <row r="33" spans="1:7" ht="15.75">
      <c r="A33" s="143" t="s">
        <v>411</v>
      </c>
      <c r="B33" s="69"/>
      <c r="C33" s="119"/>
      <c r="D33" s="138">
        <f>IF(Resolution!E45=0,"",Resolution!E45)</f>
      </c>
      <c r="E33" s="62"/>
      <c r="F33" s="71"/>
      <c r="G33" s="609" t="str">
        <f>CONCATENATE("Nov. 1, ",G3," Total Assessed Valuation")</f>
        <v>Nov. 1, 2012 Total Assessed Valuation</v>
      </c>
    </row>
    <row r="34" spans="1:7" ht="15.75">
      <c r="A34" s="21"/>
      <c r="B34" s="71"/>
      <c r="C34" s="18"/>
      <c r="D34" s="144"/>
      <c r="E34" s="62"/>
      <c r="F34" s="71"/>
      <c r="G34" s="610"/>
    </row>
    <row r="35" spans="1:7" ht="15.75">
      <c r="A35" s="145" t="s">
        <v>38</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39</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409</v>
      </c>
      <c r="B47" s="18"/>
      <c r="C47" s="17">
        <f>G3-1</f>
        <v>2011</v>
      </c>
      <c r="D47" s="42"/>
      <c r="E47" s="42"/>
      <c r="F47" s="151"/>
      <c r="G47" s="151"/>
    </row>
    <row r="48" spans="1:7" ht="15.75">
      <c r="A48" s="150"/>
      <c r="B48" s="71"/>
      <c r="C48" s="17"/>
      <c r="D48" s="18"/>
      <c r="E48" s="18"/>
      <c r="F48" s="26"/>
      <c r="G48" s="26"/>
    </row>
    <row r="49" spans="1:7" ht="15.75">
      <c r="A49" s="611"/>
      <c r="B49" s="612"/>
      <c r="C49" s="18"/>
      <c r="D49" s="42"/>
      <c r="E49" s="42"/>
      <c r="F49" s="42"/>
      <c r="G49" s="42"/>
    </row>
    <row r="50" spans="1:7" ht="15.75">
      <c r="A50" s="26" t="s">
        <v>237</v>
      </c>
      <c r="B50" s="26"/>
      <c r="C50" s="18"/>
      <c r="D50" s="595" t="s">
        <v>236</v>
      </c>
      <c r="E50" s="596"/>
      <c r="F50" s="596"/>
      <c r="G50" s="596"/>
    </row>
    <row r="51" spans="1:7" ht="15.75">
      <c r="A51" s="633"/>
      <c r="B51" s="633"/>
      <c r="C51" s="633"/>
      <c r="D51" s="633"/>
      <c r="E51" s="633"/>
      <c r="F51" s="633"/>
      <c r="G51" s="633"/>
    </row>
    <row r="52" spans="1:7" ht="15.75">
      <c r="A52" s="601"/>
      <c r="B52" s="601"/>
      <c r="C52" s="601"/>
      <c r="D52" s="601"/>
      <c r="E52" s="601"/>
      <c r="F52" s="601"/>
      <c r="G52" s="601"/>
    </row>
    <row r="53" spans="1:7" ht="15.75">
      <c r="A53" s="16"/>
      <c r="B53" s="16"/>
      <c r="C53" s="16"/>
      <c r="D53" s="16"/>
      <c r="E53" s="16"/>
      <c r="F53" s="16"/>
      <c r="G53" s="602"/>
    </row>
    <row r="54" spans="1:7" ht="15.75">
      <c r="A54" s="16"/>
      <c r="B54" s="16"/>
      <c r="C54" s="16"/>
      <c r="D54" s="16"/>
      <c r="E54" s="16"/>
      <c r="F54" s="16"/>
      <c r="G54" s="602"/>
    </row>
    <row r="55" spans="1:7" ht="15.75">
      <c r="A55" s="16"/>
      <c r="B55" s="16"/>
      <c r="C55" s="16"/>
      <c r="D55" s="16"/>
      <c r="E55" s="16"/>
      <c r="F55" s="16"/>
      <c r="G55" s="602"/>
    </row>
    <row r="56" spans="1:7" ht="15.75">
      <c r="A56" s="16"/>
      <c r="B56" s="16"/>
      <c r="C56" s="16"/>
      <c r="D56" s="16"/>
      <c r="E56" s="16"/>
      <c r="F56" s="16"/>
      <c r="G56" s="602"/>
    </row>
    <row r="57" spans="1:7" ht="15.75">
      <c r="A57" s="16"/>
      <c r="B57" s="16"/>
      <c r="C57" s="16"/>
      <c r="D57" s="152"/>
      <c r="E57" s="16"/>
      <c r="F57" s="16"/>
      <c r="G57" s="602"/>
    </row>
    <row r="58" ht="15.75">
      <c r="G58" s="602"/>
    </row>
    <row r="59" ht="15.75">
      <c r="G59" s="602"/>
    </row>
    <row r="60" ht="15.75">
      <c r="G60" s="602"/>
    </row>
    <row r="61" ht="15.75">
      <c r="G61" s="602"/>
    </row>
    <row r="62" ht="15.75">
      <c r="G62" s="602"/>
    </row>
    <row r="63" ht="15.75">
      <c r="G63" s="602"/>
    </row>
    <row r="64" ht="15.75">
      <c r="G64" s="602"/>
    </row>
    <row r="65" ht="15.75">
      <c r="G65" s="602"/>
    </row>
  </sheetData>
  <sheetProtection sheet="1"/>
  <mergeCells count="16">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A1" sqref="A1:IV16384"/>
    </sheetView>
  </sheetViews>
  <sheetFormatPr defaultColWidth="8.796875" defaultRowHeight="1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Springfield Cemetery</v>
      </c>
      <c r="D1" s="18"/>
      <c r="E1" s="18"/>
      <c r="F1" s="18"/>
      <c r="G1" s="18"/>
      <c r="H1" s="18"/>
      <c r="I1" s="18"/>
      <c r="J1" s="18">
        <f>inputPrYr!D6</f>
        <v>2012</v>
      </c>
    </row>
    <row r="2" spans="1:10" ht="15.75" customHeight="1">
      <c r="A2" s="18"/>
      <c r="B2" s="18"/>
      <c r="C2" s="18" t="str">
        <f>inputPrYr!D4</f>
        <v>Anderson County</v>
      </c>
      <c r="D2" s="18"/>
      <c r="E2" s="18"/>
      <c r="F2" s="18"/>
      <c r="G2" s="18"/>
      <c r="H2" s="18"/>
      <c r="I2" s="18"/>
      <c r="J2" s="18"/>
    </row>
    <row r="3" spans="1:10" ht="15.75">
      <c r="A3" s="619" t="str">
        <f>CONCATENATE("Computation to Determine Limit for ",J1,"")</f>
        <v>Computation to Determine Limit for 2012</v>
      </c>
      <c r="B3" s="603"/>
      <c r="C3" s="603"/>
      <c r="D3" s="603"/>
      <c r="E3" s="603"/>
      <c r="F3" s="603"/>
      <c r="G3" s="603"/>
      <c r="H3" s="603"/>
      <c r="I3" s="603"/>
      <c r="J3" s="603"/>
    </row>
    <row r="4" spans="1:10" ht="15.75">
      <c r="A4" s="18"/>
      <c r="B4" s="18"/>
      <c r="C4" s="18"/>
      <c r="D4" s="18"/>
      <c r="E4" s="603"/>
      <c r="F4" s="603"/>
      <c r="G4" s="603"/>
      <c r="H4" s="99"/>
      <c r="I4" s="18"/>
      <c r="J4" s="154" t="s">
        <v>300</v>
      </c>
    </row>
    <row r="5" spans="1:10" ht="15.75">
      <c r="A5" s="155" t="s">
        <v>301</v>
      </c>
      <c r="B5" s="18" t="str">
        <f>CONCATENATE("Total Tax Levy Amount in ",J1-1," Budget")</f>
        <v>Total Tax Levy Amount in 2011 Budget</v>
      </c>
      <c r="C5" s="18"/>
      <c r="D5" s="18"/>
      <c r="E5" s="39"/>
      <c r="F5" s="39"/>
      <c r="G5" s="39"/>
      <c r="H5" s="156" t="s">
        <v>302</v>
      </c>
      <c r="I5" s="39" t="s">
        <v>303</v>
      </c>
      <c r="J5" s="392">
        <f>inputPrYr!E24</f>
        <v>3632</v>
      </c>
    </row>
    <row r="6" spans="1:10" ht="15.75">
      <c r="A6" s="155" t="s">
        <v>304</v>
      </c>
      <c r="B6" s="18" t="str">
        <f>CONCATENATE("Debt Service Levy in ",J1-1," Budget")</f>
        <v>Debt Service Levy in 2011 Budget</v>
      </c>
      <c r="C6" s="18"/>
      <c r="D6" s="18"/>
      <c r="E6" s="39"/>
      <c r="F6" s="39"/>
      <c r="G6" s="39"/>
      <c r="H6" s="156" t="s">
        <v>305</v>
      </c>
      <c r="I6" s="39" t="s">
        <v>303</v>
      </c>
      <c r="J6" s="157">
        <f>inputPrYr!E20</f>
        <v>0</v>
      </c>
    </row>
    <row r="7" spans="1:10" ht="15.75">
      <c r="A7" s="155" t="s">
        <v>329</v>
      </c>
      <c r="B7" s="27" t="s">
        <v>323</v>
      </c>
      <c r="C7" s="18"/>
      <c r="D7" s="18"/>
      <c r="E7" s="39"/>
      <c r="F7" s="39"/>
      <c r="G7" s="39"/>
      <c r="H7" s="39"/>
      <c r="I7" s="39" t="s">
        <v>303</v>
      </c>
      <c r="J7" s="43">
        <f>J5-J6</f>
        <v>3632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306</v>
      </c>
      <c r="B11" s="27" t="str">
        <f>CONCATENATE("New Improvements for ",J1-1,":")</f>
        <v>New Improvements for 2011:</v>
      </c>
      <c r="C11" s="18"/>
      <c r="D11" s="18"/>
      <c r="E11" s="156"/>
      <c r="F11" s="156" t="s">
        <v>302</v>
      </c>
      <c r="G11" s="158">
        <f>inputOth!E8</f>
        <v>8386</v>
      </c>
      <c r="H11" s="159"/>
      <c r="I11" s="39"/>
      <c r="J11" s="39"/>
    </row>
    <row r="12" spans="1:10" ht="15.75">
      <c r="A12" s="155"/>
      <c r="B12" s="155"/>
      <c r="C12" s="18"/>
      <c r="D12" s="18"/>
      <c r="E12" s="156"/>
      <c r="F12" s="156"/>
      <c r="G12" s="159"/>
      <c r="H12" s="159"/>
      <c r="I12" s="39"/>
      <c r="J12" s="39"/>
    </row>
    <row r="13" spans="1:10" ht="15.75">
      <c r="A13" s="155" t="s">
        <v>307</v>
      </c>
      <c r="B13" s="27" t="str">
        <f>CONCATENATE("Increase in Personal Property for ",J1-1,":")</f>
        <v>Increase in Personal Property for 2011:</v>
      </c>
      <c r="C13" s="18"/>
      <c r="D13" s="18"/>
      <c r="E13" s="156"/>
      <c r="F13" s="156"/>
      <c r="G13" s="159"/>
      <c r="H13" s="159"/>
      <c r="I13" s="39"/>
      <c r="J13" s="39"/>
    </row>
    <row r="14" spans="1:10" ht="15.75">
      <c r="A14" s="18"/>
      <c r="B14" s="18" t="s">
        <v>308</v>
      </c>
      <c r="C14" s="18" t="str">
        <f>CONCATENATE("Personal Property ",J1-1,"")</f>
        <v>Personal Property 2011</v>
      </c>
      <c r="D14" s="155" t="s">
        <v>302</v>
      </c>
      <c r="E14" s="158">
        <f>inputOth!E9</f>
        <v>37001</v>
      </c>
      <c r="F14" s="156"/>
      <c r="G14" s="39"/>
      <c r="H14" s="39"/>
      <c r="I14" s="159"/>
      <c r="J14" s="39"/>
    </row>
    <row r="15" spans="1:10" ht="15.75">
      <c r="A15" s="155"/>
      <c r="B15" s="18" t="s">
        <v>309</v>
      </c>
      <c r="C15" s="18" t="str">
        <f>CONCATENATE("Personal Property ",J1-2,"")</f>
        <v>Personal Property 2010</v>
      </c>
      <c r="D15" s="155" t="s">
        <v>305</v>
      </c>
      <c r="E15" s="43">
        <f>inputOth!E11</f>
        <v>44177</v>
      </c>
      <c r="F15" s="156"/>
      <c r="G15" s="159"/>
      <c r="H15" s="159"/>
      <c r="I15" s="39"/>
      <c r="J15" s="39"/>
    </row>
    <row r="16" spans="1:10" ht="15.75">
      <c r="A16" s="155"/>
      <c r="B16" s="18" t="s">
        <v>310</v>
      </c>
      <c r="C16" s="18" t="s">
        <v>324</v>
      </c>
      <c r="D16" s="18"/>
      <c r="E16" s="39"/>
      <c r="F16" s="39" t="s">
        <v>302</v>
      </c>
      <c r="G16" s="158">
        <f>IF(E14&gt;E15,E14-E15,0)</f>
        <v>0</v>
      </c>
      <c r="H16" s="159"/>
      <c r="I16" s="39"/>
      <c r="J16" s="39"/>
    </row>
    <row r="17" spans="1:10" ht="15.75">
      <c r="A17" s="155"/>
      <c r="B17" s="155"/>
      <c r="C17" s="18"/>
      <c r="D17" s="18"/>
      <c r="E17" s="39"/>
      <c r="F17" s="39"/>
      <c r="G17" s="159" t="s">
        <v>318</v>
      </c>
      <c r="H17" s="159"/>
      <c r="I17" s="39"/>
      <c r="J17" s="39"/>
    </row>
    <row r="18" spans="1:10" ht="15.75">
      <c r="A18" s="155" t="s">
        <v>311</v>
      </c>
      <c r="B18" s="27" t="str">
        <f>CONCATENATE("Valuation of Property that has Changed in Use during ",J1-1,":")</f>
        <v>Valuation of Property that has Changed in Use during 2011:</v>
      </c>
      <c r="C18" s="18"/>
      <c r="D18" s="155"/>
      <c r="E18" s="39"/>
      <c r="F18" s="39"/>
      <c r="G18" s="39">
        <f>inputOth!E10</f>
        <v>1485</v>
      </c>
      <c r="H18" s="39"/>
      <c r="I18" s="39"/>
      <c r="J18" s="39"/>
    </row>
    <row r="19" spans="1:10" ht="15.75">
      <c r="A19" s="18" t="s">
        <v>225</v>
      </c>
      <c r="B19" s="18"/>
      <c r="C19" s="18"/>
      <c r="D19" s="18"/>
      <c r="E19" s="159"/>
      <c r="F19" s="39"/>
      <c r="G19" s="160"/>
      <c r="H19" s="159"/>
      <c r="I19" s="39"/>
      <c r="J19" s="39"/>
    </row>
    <row r="20" spans="1:10" ht="15.75">
      <c r="A20" s="155" t="s">
        <v>312</v>
      </c>
      <c r="B20" s="27" t="s">
        <v>325</v>
      </c>
      <c r="C20" s="18"/>
      <c r="D20" s="155"/>
      <c r="E20" s="39"/>
      <c r="F20" s="39"/>
      <c r="G20" s="158">
        <f>G11+G16+G18</f>
        <v>9871</v>
      </c>
      <c r="H20" s="159"/>
      <c r="I20" s="39"/>
      <c r="J20" s="39"/>
    </row>
    <row r="21" spans="1:10" ht="15.75">
      <c r="A21" s="155"/>
      <c r="B21" s="155"/>
      <c r="C21" s="27"/>
      <c r="D21" s="18"/>
      <c r="E21" s="39"/>
      <c r="F21" s="39"/>
      <c r="G21" s="159"/>
      <c r="H21" s="159"/>
      <c r="I21" s="39"/>
      <c r="J21" s="39"/>
    </row>
    <row r="22" spans="1:10" ht="15.75">
      <c r="A22" s="155" t="s">
        <v>313</v>
      </c>
      <c r="B22" s="18" t="str">
        <f>CONCATENATE("Total Estimated Valuation July, 1,",J1-1,"")</f>
        <v>Total Estimated Valuation July, 1,2011</v>
      </c>
      <c r="C22" s="18"/>
      <c r="D22" s="18"/>
      <c r="E22" s="158">
        <f>inputOth!E7</f>
        <v>2331326</v>
      </c>
      <c r="F22" s="39"/>
      <c r="G22" s="39"/>
      <c r="H22" s="39"/>
      <c r="I22" s="156"/>
      <c r="J22" s="39"/>
    </row>
    <row r="23" spans="1:10" ht="15.75">
      <c r="A23" s="155"/>
      <c r="B23" s="155"/>
      <c r="C23" s="18"/>
      <c r="D23" s="18"/>
      <c r="E23" s="159"/>
      <c r="F23" s="39"/>
      <c r="G23" s="39"/>
      <c r="H23" s="39"/>
      <c r="I23" s="156"/>
      <c r="J23" s="39"/>
    </row>
    <row r="24" spans="1:10" ht="15.75">
      <c r="A24" s="155" t="s">
        <v>314</v>
      </c>
      <c r="B24" s="27" t="s">
        <v>326</v>
      </c>
      <c r="C24" s="18"/>
      <c r="D24" s="18"/>
      <c r="E24" s="39"/>
      <c r="F24" s="39"/>
      <c r="G24" s="158">
        <f>E22-G20</f>
        <v>2321455</v>
      </c>
      <c r="H24" s="159"/>
      <c r="I24" s="156"/>
      <c r="J24" s="39"/>
    </row>
    <row r="25" spans="1:10" ht="15.75">
      <c r="A25" s="155"/>
      <c r="B25" s="155"/>
      <c r="C25" s="27"/>
      <c r="D25" s="18"/>
      <c r="E25" s="39"/>
      <c r="F25" s="39"/>
      <c r="G25" s="160"/>
      <c r="H25" s="159"/>
      <c r="I25" s="156"/>
      <c r="J25" s="39"/>
    </row>
    <row r="26" spans="1:10" ht="15.75">
      <c r="A26" s="155" t="s">
        <v>315</v>
      </c>
      <c r="B26" s="18" t="s">
        <v>327</v>
      </c>
      <c r="C26" s="18"/>
      <c r="D26" s="18"/>
      <c r="E26" s="18"/>
      <c r="F26" s="18"/>
      <c r="G26" s="161">
        <f>IF(G20&gt;0,G20/G24,0)</f>
        <v>0.004252074668688387</v>
      </c>
      <c r="H26" s="71"/>
      <c r="I26" s="18"/>
      <c r="J26" s="18"/>
    </row>
    <row r="27" spans="1:10" ht="15.75">
      <c r="A27" s="155"/>
      <c r="B27" s="155"/>
      <c r="C27" s="18"/>
      <c r="D27" s="18"/>
      <c r="E27" s="18"/>
      <c r="F27" s="18"/>
      <c r="G27" s="71"/>
      <c r="H27" s="71"/>
      <c r="I27" s="18"/>
      <c r="J27" s="18"/>
    </row>
    <row r="28" spans="1:10" ht="15.75">
      <c r="A28" s="155" t="s">
        <v>316</v>
      </c>
      <c r="B28" s="18" t="s">
        <v>328</v>
      </c>
      <c r="C28" s="18"/>
      <c r="D28" s="18"/>
      <c r="E28" s="18"/>
      <c r="F28" s="18"/>
      <c r="G28" s="71"/>
      <c r="H28" s="162" t="s">
        <v>302</v>
      </c>
      <c r="I28" s="18" t="s">
        <v>303</v>
      </c>
      <c r="J28" s="158">
        <f>ROUND(G26*J7,0)</f>
        <v>15</v>
      </c>
    </row>
    <row r="29" spans="1:10" ht="15.75">
      <c r="A29" s="155"/>
      <c r="B29" s="155"/>
      <c r="C29" s="18"/>
      <c r="D29" s="18"/>
      <c r="E29" s="18"/>
      <c r="F29" s="18"/>
      <c r="G29" s="71"/>
      <c r="H29" s="162"/>
      <c r="I29" s="18"/>
      <c r="J29" s="159"/>
    </row>
    <row r="30" spans="1:10" ht="16.5" thickBot="1">
      <c r="A30" s="155" t="s">
        <v>317</v>
      </c>
      <c r="B30" s="27" t="s">
        <v>333</v>
      </c>
      <c r="C30" s="18"/>
      <c r="D30" s="18"/>
      <c r="E30" s="18"/>
      <c r="F30" s="18"/>
      <c r="G30" s="18"/>
      <c r="H30" s="18"/>
      <c r="I30" s="18" t="s">
        <v>303</v>
      </c>
      <c r="J30" s="163">
        <f>J7+J28</f>
        <v>3647</v>
      </c>
    </row>
    <row r="31" spans="1:10" ht="16.5" thickTop="1">
      <c r="A31" s="155"/>
      <c r="B31" s="27"/>
      <c r="C31" s="18"/>
      <c r="D31" s="18"/>
      <c r="E31" s="18"/>
      <c r="F31" s="18"/>
      <c r="G31" s="18"/>
      <c r="H31" s="18"/>
      <c r="I31" s="18"/>
      <c r="J31" s="18"/>
    </row>
    <row r="32" spans="1:10" ht="15.75">
      <c r="A32" s="155" t="s">
        <v>331</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332</v>
      </c>
      <c r="B34" s="27" t="s">
        <v>334</v>
      </c>
      <c r="C34" s="18"/>
      <c r="D34" s="18"/>
      <c r="E34" s="18"/>
      <c r="F34" s="18"/>
      <c r="G34" s="18"/>
      <c r="H34" s="18"/>
      <c r="I34" s="18"/>
      <c r="J34" s="163">
        <f>J30+J32</f>
        <v>3647</v>
      </c>
    </row>
    <row r="35" spans="1:10" ht="16.5" thickTop="1">
      <c r="A35" s="18"/>
      <c r="B35" s="18"/>
      <c r="C35" s="18"/>
      <c r="D35" s="18"/>
      <c r="E35" s="18"/>
      <c r="F35" s="18"/>
      <c r="G35" s="18"/>
      <c r="H35" s="18"/>
      <c r="I35" s="18"/>
      <c r="J35" s="18"/>
    </row>
    <row r="36" spans="1:10" ht="15.75">
      <c r="A36" s="597" t="str">
        <f>CONCATENATE("If the ",J1," budget includes tax levies exceeding the total on line 14, you must")</f>
        <v>If the 2012 budget includes tax levies exceeding the total on line 14, you must</v>
      </c>
      <c r="B36" s="597"/>
      <c r="C36" s="597"/>
      <c r="D36" s="597"/>
      <c r="E36" s="597"/>
      <c r="F36" s="597"/>
      <c r="G36" s="597"/>
      <c r="H36" s="597"/>
      <c r="I36" s="597"/>
      <c r="J36" s="597"/>
    </row>
    <row r="37" spans="1:10" ht="15.75">
      <c r="A37" s="597" t="s">
        <v>330</v>
      </c>
      <c r="B37" s="597"/>
      <c r="C37" s="597"/>
      <c r="D37" s="597"/>
      <c r="E37" s="597"/>
      <c r="F37" s="597"/>
      <c r="G37" s="597"/>
      <c r="H37" s="597"/>
      <c r="I37" s="597"/>
      <c r="J37" s="59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Springfield Cemetery</v>
      </c>
      <c r="C1" s="18"/>
      <c r="D1" s="18"/>
      <c r="E1" s="18"/>
      <c r="F1" s="18"/>
      <c r="G1" s="18"/>
      <c r="H1" s="18"/>
      <c r="I1" s="165"/>
      <c r="J1" s="18"/>
    </row>
    <row r="2" spans="1:10" ht="15.75">
      <c r="A2" s="18"/>
      <c r="B2" s="18" t="str">
        <f>inputPrYr!D4</f>
        <v>Anderson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8" t="s">
        <v>446</v>
      </c>
      <c r="C6" s="598"/>
      <c r="D6" s="598"/>
      <c r="E6" s="598"/>
      <c r="F6" s="598"/>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3" t="str">
        <f>CONCATENATE("",J2-1,"                    Budgeted Funds")</f>
        <v>2011                    Budgeted Funds</v>
      </c>
      <c r="C9" s="599" t="str">
        <f>CONCATENATE("Tax Levy Amount in ",J2-2," Budget")</f>
        <v>Tax Levy Amount in 2010 Budget</v>
      </c>
      <c r="D9" s="605" t="str">
        <f>CONCATENATE("Allocation for Year ",J2,"")</f>
        <v>Allocation for Year 2012</v>
      </c>
      <c r="E9" s="594"/>
      <c r="F9" s="594"/>
      <c r="G9" s="607"/>
      <c r="H9" s="18"/>
      <c r="I9" s="18"/>
      <c r="J9" s="18"/>
    </row>
    <row r="10" spans="1:10" ht="15.75">
      <c r="A10" s="18"/>
      <c r="B10" s="600"/>
      <c r="C10" s="600"/>
      <c r="D10" s="117" t="s">
        <v>252</v>
      </c>
      <c r="E10" s="117" t="s">
        <v>253</v>
      </c>
      <c r="F10" s="117" t="s">
        <v>297</v>
      </c>
      <c r="G10" s="114" t="s">
        <v>371</v>
      </c>
      <c r="H10" s="18"/>
      <c r="I10" s="18"/>
      <c r="J10" s="18"/>
    </row>
    <row r="11" spans="1:10" ht="15.75">
      <c r="A11" s="18"/>
      <c r="B11" s="38" t="str">
        <f>inputPrYr!B19</f>
        <v>General</v>
      </c>
      <c r="C11" s="128">
        <f>inputPrYr!E19</f>
        <v>3632</v>
      </c>
      <c r="D11" s="128">
        <f>IF(E17=0,0,E17-D12-D13-D14)</f>
        <v>307</v>
      </c>
      <c r="E11" s="128">
        <f>IF(E19=0,0,E19-E12-E13-E14)</f>
        <v>8</v>
      </c>
      <c r="F11" s="128">
        <f>IF(E21=0,0,E21-F12-F13-F14)</f>
        <v>73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220</v>
      </c>
      <c r="C15" s="137">
        <f>SUM(C11:C14)</f>
        <v>3632</v>
      </c>
      <c r="D15" s="137">
        <f>SUM(D11:D14)</f>
        <v>307</v>
      </c>
      <c r="E15" s="137">
        <f>SUM(E11:E14)</f>
        <v>8</v>
      </c>
      <c r="F15" s="137">
        <f>SUM(F11:F14)</f>
        <v>73</v>
      </c>
      <c r="G15" s="136">
        <f>SUM(G11:G14)</f>
        <v>0</v>
      </c>
      <c r="H15" s="18"/>
      <c r="I15" s="18"/>
      <c r="J15" s="18"/>
    </row>
    <row r="16" spans="1:10" ht="16.5" thickTop="1">
      <c r="A16" s="18"/>
      <c r="B16" s="18"/>
      <c r="C16" s="18"/>
      <c r="D16" s="18"/>
      <c r="E16" s="18"/>
      <c r="F16" s="18"/>
      <c r="G16" s="18"/>
      <c r="H16" s="18"/>
      <c r="I16" s="18"/>
      <c r="J16" s="18"/>
    </row>
    <row r="17" spans="1:10" ht="15.75">
      <c r="A17" s="18"/>
      <c r="B17" s="17" t="s">
        <v>254</v>
      </c>
      <c r="C17" s="18"/>
      <c r="D17" s="18"/>
      <c r="E17" s="169">
        <f>inputOth!E27</f>
        <v>307</v>
      </c>
      <c r="F17" s="18"/>
      <c r="G17" s="18"/>
      <c r="H17" s="18"/>
      <c r="I17" s="18"/>
      <c r="J17" s="18"/>
    </row>
    <row r="18" spans="1:10" ht="15.75">
      <c r="A18" s="18"/>
      <c r="B18" s="18"/>
      <c r="C18" s="18"/>
      <c r="D18" s="166"/>
      <c r="E18" s="166"/>
      <c r="F18" s="18"/>
      <c r="G18" s="18"/>
      <c r="H18" s="18"/>
      <c r="I18" s="18"/>
      <c r="J18" s="18"/>
    </row>
    <row r="19" spans="1:10" ht="15.75">
      <c r="A19" s="18"/>
      <c r="B19" s="17" t="s">
        <v>255</v>
      </c>
      <c r="C19" s="18"/>
      <c r="D19" s="166"/>
      <c r="E19" s="169">
        <f>inputOth!E28</f>
        <v>8</v>
      </c>
      <c r="F19" s="18"/>
      <c r="G19" s="18"/>
      <c r="H19" s="18"/>
      <c r="I19" s="18"/>
      <c r="J19" s="18"/>
    </row>
    <row r="20" spans="1:10" ht="15.75">
      <c r="A20" s="18"/>
      <c r="B20" s="18"/>
      <c r="C20" s="18"/>
      <c r="D20" s="18"/>
      <c r="E20" s="18"/>
      <c r="F20" s="18"/>
      <c r="G20" s="18"/>
      <c r="H20" s="18"/>
      <c r="I20" s="18"/>
      <c r="J20" s="18"/>
    </row>
    <row r="21" spans="1:10" ht="15.75">
      <c r="A21" s="18"/>
      <c r="B21" s="17" t="s">
        <v>298</v>
      </c>
      <c r="C21" s="18"/>
      <c r="D21" s="18"/>
      <c r="E21" s="169">
        <f>inputOth!E29</f>
        <v>73</v>
      </c>
      <c r="F21" s="18"/>
      <c r="G21" s="18"/>
      <c r="H21" s="18"/>
      <c r="I21" s="18"/>
      <c r="J21" s="18"/>
    </row>
    <row r="22" spans="1:10" ht="15.75">
      <c r="A22" s="18"/>
      <c r="B22" s="18"/>
      <c r="C22" s="18"/>
      <c r="D22" s="18"/>
      <c r="E22" s="18"/>
      <c r="F22" s="18"/>
      <c r="G22" s="18"/>
      <c r="H22" s="18"/>
      <c r="I22" s="18"/>
      <c r="J22" s="18"/>
    </row>
    <row r="23" spans="1:10" ht="15.75">
      <c r="A23" s="18"/>
      <c r="B23" s="18" t="s">
        <v>426</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256</v>
      </c>
      <c r="C25" s="170">
        <f>IF(C15=0,0,E17/C15)</f>
        <v>0.08452643171806168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257</v>
      </c>
      <c r="D27" s="172">
        <f>IF(C15=0,0,E19/C15)</f>
        <v>0.0022026431718061676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299</v>
      </c>
      <c r="E29" s="172">
        <f>IF(C15=0,0,E21/C15)</f>
        <v>0.020099118942731278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427</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Springfield Cemetery</v>
      </c>
      <c r="B2" s="175"/>
      <c r="C2" s="18"/>
      <c r="D2" s="18"/>
      <c r="E2" s="165"/>
      <c r="F2" s="18"/>
    </row>
    <row r="3" spans="1:6" ht="15.75">
      <c r="A3" s="175" t="str">
        <f>inputPrYr!D4</f>
        <v>Anderson County</v>
      </c>
      <c r="B3" s="175"/>
      <c r="C3" s="18"/>
      <c r="D3" s="18"/>
      <c r="E3" s="165"/>
      <c r="F3" s="18"/>
    </row>
    <row r="4" spans="1:6" ht="15.75">
      <c r="A4" s="166"/>
      <c r="B4" s="18"/>
      <c r="C4" s="18"/>
      <c r="D4" s="18"/>
      <c r="E4" s="165"/>
      <c r="F4" s="18"/>
    </row>
    <row r="5" spans="1:6" ht="15" customHeight="1">
      <c r="A5" s="603" t="s">
        <v>355</v>
      </c>
      <c r="B5" s="603"/>
      <c r="C5" s="603"/>
      <c r="D5" s="603"/>
      <c r="E5" s="603"/>
      <c r="F5" s="603"/>
    </row>
    <row r="6" spans="1:6" ht="14.25" customHeight="1">
      <c r="A6" s="99"/>
      <c r="B6" s="176"/>
      <c r="C6" s="176"/>
      <c r="D6" s="176"/>
      <c r="E6" s="176"/>
      <c r="F6" s="176"/>
    </row>
    <row r="7" spans="1:6" ht="17.25" customHeight="1">
      <c r="A7" s="177" t="s">
        <v>231</v>
      </c>
      <c r="B7" s="177" t="s">
        <v>26</v>
      </c>
      <c r="C7" s="177" t="s">
        <v>258</v>
      </c>
      <c r="D7" s="177" t="s">
        <v>356</v>
      </c>
      <c r="E7" s="177" t="s">
        <v>357</v>
      </c>
      <c r="F7" s="177" t="s">
        <v>372</v>
      </c>
    </row>
    <row r="8" spans="1:6" ht="17.25" customHeight="1">
      <c r="A8" s="178" t="s">
        <v>27</v>
      </c>
      <c r="B8" s="178" t="s">
        <v>28</v>
      </c>
      <c r="C8" s="178" t="s">
        <v>373</v>
      </c>
      <c r="D8" s="178" t="s">
        <v>373</v>
      </c>
      <c r="E8" s="178" t="s">
        <v>373</v>
      </c>
      <c r="F8" s="178" t="s">
        <v>374</v>
      </c>
    </row>
    <row r="9" spans="1:6" s="181" customFormat="1" ht="18" customHeight="1">
      <c r="A9" s="179" t="s">
        <v>375</v>
      </c>
      <c r="B9" s="179" t="s">
        <v>376</v>
      </c>
      <c r="C9" s="180">
        <f>F1-2</f>
        <v>2010</v>
      </c>
      <c r="D9" s="180">
        <f>F1-1</f>
        <v>2011</v>
      </c>
      <c r="E9" s="180">
        <f>F1</f>
        <v>2012</v>
      </c>
      <c r="F9" s="179" t="s">
        <v>377</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344</v>
      </c>
      <c r="C24" s="186">
        <f>SUM(C10:C23)</f>
        <v>0</v>
      </c>
      <c r="D24" s="186">
        <f>SUM(D10:D23)</f>
        <v>0</v>
      </c>
      <c r="E24" s="186">
        <f>SUM(E10:E23)</f>
        <v>0</v>
      </c>
      <c r="F24" s="187"/>
      <c r="G24" s="63"/>
    </row>
    <row r="25" spans="1:7" ht="15.75">
      <c r="A25" s="32"/>
      <c r="B25" s="188" t="s">
        <v>25</v>
      </c>
      <c r="C25" s="189"/>
      <c r="D25" s="190"/>
      <c r="E25" s="190"/>
      <c r="F25" s="187"/>
      <c r="G25" s="63"/>
    </row>
    <row r="26" spans="1:7" ht="15.75">
      <c r="A26" s="32"/>
      <c r="B26" s="185" t="s">
        <v>378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29</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Anderson County Clerk</cp:lastModifiedBy>
  <cp:lastPrinted>2011-02-09T20:37:43Z</cp:lastPrinted>
  <dcterms:created xsi:type="dcterms:W3CDTF">1999-08-06T13:59:57Z</dcterms:created>
  <dcterms:modified xsi:type="dcterms:W3CDTF">2011-12-20T11:59:29Z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